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\Downloads\"/>
    </mc:Choice>
  </mc:AlternateContent>
  <xr:revisionPtr revIDLastSave="0" documentId="13_ncr:1_{0D4453A3-0B64-46C7-B09E-61EDAEBC68B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OSTOS" sheetId="2" r:id="rId1"/>
    <sheet name="PRODUCCION" sheetId="5" r:id="rId2"/>
    <sheet name="INVERSIONES" sheetId="4" r:id="rId3"/>
    <sheet name="EVALUACION FINANCIERA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H4" i="5"/>
  <c r="I4" i="5"/>
  <c r="J4" i="5"/>
  <c r="D6" i="5"/>
  <c r="E6" i="5"/>
  <c r="I6" i="5" s="1"/>
  <c r="H6" i="5"/>
  <c r="J6" i="5"/>
  <c r="D7" i="5"/>
  <c r="H7" i="5" s="1"/>
  <c r="E7" i="5"/>
  <c r="I7" i="5" s="1"/>
  <c r="J7" i="5"/>
  <c r="D8" i="5"/>
  <c r="H8" i="5" s="1"/>
  <c r="E8" i="5"/>
  <c r="I8" i="5" s="1"/>
  <c r="J8" i="5"/>
  <c r="D9" i="5"/>
  <c r="H9" i="5" s="1"/>
  <c r="E9" i="5"/>
  <c r="I9" i="5" s="1"/>
  <c r="J9" i="5"/>
  <c r="G9" i="4" l="1"/>
  <c r="G10" i="4"/>
  <c r="G11" i="4"/>
  <c r="C19" i="1"/>
  <c r="C20" i="1" s="1"/>
  <c r="C21" i="1" s="1"/>
  <c r="H9" i="1"/>
  <c r="G9" i="1"/>
  <c r="F9" i="1"/>
  <c r="E9" i="1"/>
  <c r="D9" i="1"/>
  <c r="C9" i="1"/>
  <c r="H6" i="1"/>
  <c r="G6" i="1"/>
  <c r="F6" i="1"/>
  <c r="E6" i="1"/>
  <c r="D6" i="1"/>
  <c r="C6" i="1"/>
  <c r="J5" i="5"/>
  <c r="D5" i="5"/>
  <c r="H5" i="5" s="1"/>
  <c r="E5" i="5"/>
  <c r="I5" i="5" s="1"/>
  <c r="G17" i="4"/>
  <c r="G18" i="4" s="1"/>
  <c r="C25" i="1" s="1"/>
  <c r="G12" i="4"/>
  <c r="G8" i="4"/>
  <c r="G7" i="4"/>
  <c r="G6" i="4"/>
  <c r="G83" i="2"/>
  <c r="G84" i="2"/>
  <c r="G85" i="2"/>
  <c r="G86" i="2"/>
  <c r="G87" i="2"/>
  <c r="G82" i="2"/>
  <c r="G81" i="2"/>
  <c r="G72" i="2"/>
  <c r="G73" i="2"/>
  <c r="G74" i="2"/>
  <c r="G75" i="2"/>
  <c r="G76" i="2"/>
  <c r="G67" i="2"/>
  <c r="G66" i="2"/>
  <c r="G65" i="2"/>
  <c r="G64" i="2"/>
  <c r="G63" i="2"/>
  <c r="G62" i="2"/>
  <c r="G61" i="2"/>
  <c r="E59" i="2"/>
  <c r="G51" i="2"/>
  <c r="G52" i="2"/>
  <c r="G53" i="2"/>
  <c r="G54" i="2"/>
  <c r="G55" i="2"/>
  <c r="G56" i="2"/>
  <c r="G50" i="2"/>
  <c r="E48" i="2"/>
  <c r="G40" i="2"/>
  <c r="G41" i="2"/>
  <c r="G42" i="2"/>
  <c r="G43" i="2"/>
  <c r="G44" i="2"/>
  <c r="G45" i="2"/>
  <c r="G39" i="2"/>
  <c r="E37" i="2"/>
  <c r="G29" i="2"/>
  <c r="G30" i="2"/>
  <c r="G31" i="2"/>
  <c r="G32" i="2"/>
  <c r="G33" i="2"/>
  <c r="G34" i="2"/>
  <c r="G28" i="2"/>
  <c r="E26" i="2"/>
  <c r="G18" i="2"/>
  <c r="G19" i="2"/>
  <c r="G20" i="2"/>
  <c r="G21" i="2"/>
  <c r="G22" i="2"/>
  <c r="G23" i="2"/>
  <c r="G17" i="2"/>
  <c r="G7" i="2"/>
  <c r="G8" i="2"/>
  <c r="G9" i="2"/>
  <c r="G10" i="2"/>
  <c r="G11" i="2"/>
  <c r="G12" i="2"/>
  <c r="G6" i="2"/>
  <c r="E15" i="2"/>
  <c r="E4" i="2"/>
  <c r="G77" i="2" l="1"/>
  <c r="I77" i="2" s="1"/>
  <c r="G13" i="4"/>
  <c r="C24" i="1" s="1"/>
  <c r="J10" i="5"/>
  <c r="D11" i="1" s="1"/>
  <c r="E11" i="1" s="1"/>
  <c r="F11" i="1" s="1"/>
  <c r="G11" i="1" s="1"/>
  <c r="H11" i="1" s="1"/>
  <c r="C23" i="1"/>
  <c r="C27" i="1" s="1"/>
  <c r="H10" i="5"/>
  <c r="I10" i="5"/>
  <c r="G88" i="2"/>
  <c r="I88" i="2" s="1"/>
  <c r="I90" i="2" s="1"/>
  <c r="D15" i="1" s="1"/>
  <c r="E15" i="1" s="1"/>
  <c r="F15" i="1" s="1"/>
  <c r="G15" i="1" s="1"/>
  <c r="H15" i="1" s="1"/>
  <c r="G35" i="2"/>
  <c r="G57" i="2"/>
  <c r="G68" i="2"/>
  <c r="G46" i="2"/>
  <c r="G13" i="2"/>
  <c r="G24" i="2"/>
  <c r="G7" i="1" l="1"/>
  <c r="J57" i="2"/>
  <c r="J46" i="2"/>
  <c r="F7" i="1"/>
  <c r="E7" i="1"/>
  <c r="J35" i="2"/>
  <c r="J24" i="2"/>
  <c r="D7" i="1"/>
  <c r="H7" i="1"/>
  <c r="J68" i="2"/>
  <c r="J13" i="2"/>
  <c r="C7" i="1"/>
  <c r="L68" i="2" l="1"/>
  <c r="D14" i="1" s="1"/>
  <c r="D13" i="1" s="1"/>
  <c r="D17" i="1" s="1"/>
  <c r="E14" i="1"/>
  <c r="F14" i="1" l="1"/>
  <c r="E13" i="1"/>
  <c r="E17" i="1" s="1"/>
  <c r="D18" i="1"/>
  <c r="D19" i="1" s="1"/>
  <c r="D20" i="1" l="1"/>
  <c r="D21" i="1" s="1"/>
  <c r="D27" i="1" s="1"/>
  <c r="E18" i="1"/>
  <c r="E19" i="1" s="1"/>
  <c r="G14" i="1"/>
  <c r="F13" i="1"/>
  <c r="F17" i="1" s="1"/>
  <c r="F18" i="1" s="1"/>
  <c r="F19" i="1" s="1"/>
  <c r="F20" i="1" s="1"/>
  <c r="F21" i="1" s="1"/>
  <c r="F27" i="1" s="1"/>
  <c r="E20" i="1" l="1"/>
  <c r="E21" i="1" s="1"/>
  <c r="E27" i="1" s="1"/>
  <c r="H14" i="1"/>
  <c r="H13" i="1" s="1"/>
  <c r="H17" i="1" s="1"/>
  <c r="H18" i="1" s="1"/>
  <c r="H19" i="1" s="1"/>
  <c r="H20" i="1" s="1"/>
  <c r="H21" i="1" s="1"/>
  <c r="H27" i="1" s="1"/>
  <c r="G13" i="1"/>
  <c r="G17" i="1" s="1"/>
  <c r="G18" i="1" s="1"/>
  <c r="G19" i="1" s="1"/>
  <c r="G20" i="1" l="1"/>
  <c r="G21" i="1" s="1"/>
  <c r="G27" i="1" s="1"/>
  <c r="C29" i="1" l="1"/>
  <c r="C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 NUBE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TRANSPORTE
COMUNICACIÓN
PAPELERIA
VARIOS</t>
        </r>
      </text>
    </comment>
    <comment ref="C19" authorId="0" shapeId="0" xr:uid="{00000000-0006-0000-0000-000002000000}">
      <text>
        <r>
          <rPr>
            <sz val="9"/>
            <color indexed="81"/>
            <rFont val="Tahoma"/>
            <family val="2"/>
          </rPr>
          <t>TRANSPORTE
COMUNICACIÓN
PAPELERIA
VARIOS</t>
        </r>
      </text>
    </comment>
    <comment ref="C30" authorId="0" shapeId="0" xr:uid="{00000000-0006-0000-0000-000003000000}">
      <text>
        <r>
          <rPr>
            <sz val="9"/>
            <color indexed="81"/>
            <rFont val="Tahoma"/>
            <family val="2"/>
          </rPr>
          <t>TRANSPORTE
COMUNICACIÓN
PAPELERIA
VARIOS</t>
        </r>
      </text>
    </comment>
    <comment ref="C41" authorId="0" shapeId="0" xr:uid="{00000000-0006-0000-0000-000004000000}">
      <text>
        <r>
          <rPr>
            <sz val="9"/>
            <color indexed="81"/>
            <rFont val="Tahoma"/>
            <family val="2"/>
          </rPr>
          <t>TRANSPORTE
COMUNICACIÓN
PAPELERIA
VARIOS</t>
        </r>
      </text>
    </comment>
    <comment ref="C52" authorId="0" shapeId="0" xr:uid="{00000000-0006-0000-0000-000005000000}">
      <text>
        <r>
          <rPr>
            <sz val="9"/>
            <color indexed="81"/>
            <rFont val="Tahoma"/>
            <family val="2"/>
          </rPr>
          <t>TRANSPORTE
COMUNICACIÓN
PAPELERIA
VARIOS</t>
        </r>
      </text>
    </comment>
    <comment ref="C63" authorId="0" shapeId="0" xr:uid="{00000000-0006-0000-0000-000006000000}">
      <text>
        <r>
          <rPr>
            <sz val="9"/>
            <color indexed="81"/>
            <rFont val="Tahoma"/>
            <family val="2"/>
          </rPr>
          <t>TRANSPORTE
COMUNICACIÓN
PAPELERIA
VARIOS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 NUBE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TASA DE DESCUENTO:
</t>
        </r>
        <r>
          <rPr>
            <sz val="9"/>
            <color indexed="81"/>
            <rFont val="Tahoma"/>
            <family val="2"/>
          </rPr>
          <t>Medida financiera que se aplica para determinar el valor actual de un pago futuro. En Bolivia 12%</t>
        </r>
      </text>
    </comment>
    <comment ref="D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de produccion</t>
        </r>
      </text>
    </comment>
    <comment ref="D1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DE COSTOS</t>
        </r>
      </text>
    </comment>
    <comment ref="D1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DE COSTOS</t>
        </r>
      </text>
    </comment>
    <comment ref="C2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de inversiones</t>
        </r>
      </text>
    </comment>
    <comment ref="C2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de inversiones</t>
        </r>
      </text>
    </comment>
  </commentList>
</comments>
</file>

<file path=xl/sharedStrings.xml><?xml version="1.0" encoding="utf-8"?>
<sst xmlns="http://schemas.openxmlformats.org/spreadsheetml/2006/main" count="364" uniqueCount="149">
  <si>
    <t>EVALUACION FINANCIERA</t>
  </si>
  <si>
    <t>TC</t>
  </si>
  <si>
    <t>TASA DESCUENTO:</t>
  </si>
  <si>
    <t>PARAMETROS DE PRECIO</t>
  </si>
  <si>
    <t>PRECIO DE VENTA</t>
  </si>
  <si>
    <t>COSTO UNITARIO</t>
  </si>
  <si>
    <t>COSTOS DE PRODUCCION</t>
  </si>
  <si>
    <t>ITEM</t>
  </si>
  <si>
    <t>DETALLE</t>
  </si>
  <si>
    <t>C-01</t>
  </si>
  <si>
    <t>LICENCIAS ESPECIFICAS</t>
  </si>
  <si>
    <t>C-02</t>
  </si>
  <si>
    <t>SERVICIOS WEB</t>
  </si>
  <si>
    <t>C-03</t>
  </si>
  <si>
    <t>LOGISTICA</t>
  </si>
  <si>
    <t>C-04</t>
  </si>
  <si>
    <t>HARDWARE ESPECIFICO</t>
  </si>
  <si>
    <t>C-05</t>
  </si>
  <si>
    <t>UNIDAD</t>
  </si>
  <si>
    <t>MEMBRESIA</t>
  </si>
  <si>
    <t>CANTIDAD</t>
  </si>
  <si>
    <t>C-06</t>
  </si>
  <si>
    <t>C-07</t>
  </si>
  <si>
    <t>COSTO</t>
  </si>
  <si>
    <t>COSTO (Bs.)</t>
  </si>
  <si>
    <t>AL DIA</t>
  </si>
  <si>
    <t>VOLUMEN:</t>
  </si>
  <si>
    <t>200 $US AL AÑO</t>
  </si>
  <si>
    <t>OBSERVACIONES</t>
  </si>
  <si>
    <t>AL AÑO</t>
  </si>
  <si>
    <t>15 $us AL AÑO</t>
  </si>
  <si>
    <t>180 $US AL AÑO</t>
  </si>
  <si>
    <t>6000 BS AL AÑO</t>
  </si>
  <si>
    <t>DOMINIO ESPECIFICO</t>
  </si>
  <si>
    <t>200 BS AL AÑO</t>
  </si>
  <si>
    <t>APLICACIÓN MASIVA</t>
  </si>
  <si>
    <t>SISTEMA EN LINEA</t>
  </si>
  <si>
    <t>PAGINA WEB</t>
  </si>
  <si>
    <t>APP A</t>
  </si>
  <si>
    <t>APP B</t>
  </si>
  <si>
    <t>SIS A</t>
  </si>
  <si>
    <t>WEB A</t>
  </si>
  <si>
    <t>APLICACIÓN MOVIL EXCLUSIVA</t>
  </si>
  <si>
    <t>60 $US AL AÑO</t>
  </si>
  <si>
    <t>COSTO UNITARIO (Bs.)</t>
  </si>
  <si>
    <t>HOST A</t>
  </si>
  <si>
    <t>HOSTING WEB</t>
  </si>
  <si>
    <t>100 BS X CLIENTE AL AÑO</t>
  </si>
  <si>
    <t>200 BS X CLIENTE AL AÑO</t>
  </si>
  <si>
    <t>PROD DIGITAL A</t>
  </si>
  <si>
    <t>COMISIONES</t>
  </si>
  <si>
    <t>RH-01</t>
  </si>
  <si>
    <t>DESARROLLADOR</t>
  </si>
  <si>
    <t>SECRETARIA</t>
  </si>
  <si>
    <t>RH-02</t>
  </si>
  <si>
    <t>RH-03</t>
  </si>
  <si>
    <t>RH-04</t>
  </si>
  <si>
    <t>RH-05</t>
  </si>
  <si>
    <t>GLOBAL</t>
  </si>
  <si>
    <t>PRECIO UNITARIO</t>
  </si>
  <si>
    <t>P. UNITARIO</t>
  </si>
  <si>
    <t>TOTAL</t>
  </si>
  <si>
    <t>MESES</t>
  </si>
  <si>
    <t>AÑO</t>
  </si>
  <si>
    <t>COSTOS FIJOS</t>
  </si>
  <si>
    <t>CF-01</t>
  </si>
  <si>
    <t>MES</t>
  </si>
  <si>
    <t>LICENCIAS GENERALES</t>
  </si>
  <si>
    <t>HOSTING</t>
  </si>
  <si>
    <t>CF-02</t>
  </si>
  <si>
    <t>CF-03</t>
  </si>
  <si>
    <t>LUZ</t>
  </si>
  <si>
    <t>CF-04</t>
  </si>
  <si>
    <t>AGUA</t>
  </si>
  <si>
    <t>CF-05</t>
  </si>
  <si>
    <t>INTERNET</t>
  </si>
  <si>
    <t>CF-06</t>
  </si>
  <si>
    <t>COMUNICACIÓN</t>
  </si>
  <si>
    <t>CF-07</t>
  </si>
  <si>
    <t>TOTAL ADM + FIJOS</t>
  </si>
  <si>
    <t>INVERSIONES</t>
  </si>
  <si>
    <t>INVERSIONES EN ACTIVOS</t>
  </si>
  <si>
    <t>I-01</t>
  </si>
  <si>
    <t>INVERSION</t>
  </si>
  <si>
    <t>TOTAL (Bs.)</t>
  </si>
  <si>
    <t>SILLAS</t>
  </si>
  <si>
    <t>I-02</t>
  </si>
  <si>
    <t>ESCRITORIOS</t>
  </si>
  <si>
    <t>COMPUTADORAS</t>
  </si>
  <si>
    <t>I-03</t>
  </si>
  <si>
    <t>I-04</t>
  </si>
  <si>
    <t>DISPOSITIVOS VARIOS</t>
  </si>
  <si>
    <t>CAMARA</t>
  </si>
  <si>
    <t>MICROFONO</t>
  </si>
  <si>
    <t>MICROFONO INTERFAZ DE AUDIO</t>
  </si>
  <si>
    <t>I-05</t>
  </si>
  <si>
    <t>I-06</t>
  </si>
  <si>
    <t>I-07</t>
  </si>
  <si>
    <t>CAPITAL DE TRABAJO</t>
  </si>
  <si>
    <t>CT-01</t>
  </si>
  <si>
    <t>CAPITAL DEL TRABAJO</t>
  </si>
  <si>
    <t>PRODUCCION</t>
  </si>
  <si>
    <t>P-01</t>
  </si>
  <si>
    <t>P-02</t>
  </si>
  <si>
    <t>P-03</t>
  </si>
  <si>
    <t>P-04</t>
  </si>
  <si>
    <t>P-05</t>
  </si>
  <si>
    <t>P-06</t>
  </si>
  <si>
    <t>PRODUCTO SERVICIO</t>
  </si>
  <si>
    <t>PROD DIA</t>
  </si>
  <si>
    <t>PROD MES</t>
  </si>
  <si>
    <t>PROD AÑO</t>
  </si>
  <si>
    <t>INGRESO DIA</t>
  </si>
  <si>
    <t>INGRESO MES</t>
  </si>
  <si>
    <t>INGRESO AÑO</t>
  </si>
  <si>
    <t>PRECIO UNITARIO BS (anual)</t>
  </si>
  <si>
    <t>PERIODO</t>
  </si>
  <si>
    <t>INGRESOS</t>
  </si>
  <si>
    <t>AÑO INICIO</t>
  </si>
  <si>
    <t>CRECIMIENTO ANUAL VENTAS</t>
  </si>
  <si>
    <t>COSTOS Y GASTOS</t>
  </si>
  <si>
    <t>ADMINISTRACION</t>
  </si>
  <si>
    <t>COSTO ANUAL</t>
  </si>
  <si>
    <t>COSTO DE PRODUCCION ANUAL</t>
  </si>
  <si>
    <t>CRECIMIENTO COSTOS PROD</t>
  </si>
  <si>
    <t>CRECIMIENTO COSTOS ADM</t>
  </si>
  <si>
    <t>UTILIDAD BRUTA</t>
  </si>
  <si>
    <t>IMPUESTOS IVA IT</t>
  </si>
  <si>
    <t>IMPUESTOS IUE</t>
  </si>
  <si>
    <t>UTILIDAD ANTES IUE</t>
  </si>
  <si>
    <t>UTILIDAD NETA</t>
  </si>
  <si>
    <t>EQUIPOS EN ACTIVOS</t>
  </si>
  <si>
    <t>FLUJO</t>
  </si>
  <si>
    <t>VALOR ACTUAL NETO (VAN)</t>
  </si>
  <si>
    <t>TASA INTERNA DE RETORNO</t>
  </si>
  <si>
    <t>VAN</t>
  </si>
  <si>
    <t>Para que un negocio sea realmente rentable, el valor del VAN debe ser siempre mayor que cero.</t>
  </si>
  <si>
    <t>Esto indicará que en un plazo estimado (por ejemplo, 5 años) podremos recuperar la inversión</t>
  </si>
  <si>
    <t>que ha puesto en marcha el negocio y tendremos más beneficio que si dicha inversión se hubiese</t>
  </si>
  <si>
    <t>puesto a renta fija.</t>
  </si>
  <si>
    <t>TIR</t>
  </si>
  <si>
    <t>Su función es señalar la tasa a la cual recuperaremos la inversión inicial de nuestro negocio</t>
  </si>
  <si>
    <t>trascurrido cierto tiempo. Cuanto mayor sea el TIR, más rentable será un proyecto</t>
  </si>
  <si>
    <t>PRODUCTO DIGITAL A</t>
  </si>
  <si>
    <t>El TIR debe ser mayor que la tasa de descuento, por que es la tasa que volverá al presente el flujo resultante</t>
  </si>
  <si>
    <t>TASA DE DESCUENTO</t>
  </si>
  <si>
    <t>Tasa de riesgo del rubo en el mercado nacional</t>
  </si>
  <si>
    <t>Trae al presente los valores futuros. Es decir, cuánto estaría ganando hoy si hubiese invertido en esto antes</t>
  </si>
  <si>
    <t>COSTOS DE ADMINISTRACION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</si>
</sst>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2" fontId="3" fillId="2" borderId="1" xfId="0" applyNumberFormat="1" applyFont="1" applyFill="1" applyBorder="1"/>
    <xf numFmtId="2" fontId="0" fillId="0" borderId="1" xfId="0" applyNumberFormat="1" applyBorder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2" fontId="3" fillId="0" borderId="1" xfId="0" applyNumberFormat="1" applyFont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1" xfId="0" applyNumberFormat="1" applyBorder="1"/>
    <xf numFmtId="0" fontId="3" fillId="6" borderId="1" xfId="0" applyFont="1" applyFill="1" applyBorder="1"/>
    <xf numFmtId="0" fontId="0" fillId="6" borderId="1" xfId="0" applyFill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7" borderId="1" xfId="0" applyFont="1" applyFill="1" applyBorder="1"/>
    <xf numFmtId="0" fontId="0" fillId="0" borderId="1" xfId="1" applyNumberFormat="1" applyFont="1" applyBorder="1"/>
    <xf numFmtId="2" fontId="0" fillId="6" borderId="0" xfId="0" applyNumberFormat="1" applyFill="1"/>
    <xf numFmtId="0" fontId="3" fillId="8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90"/>
  <sheetViews>
    <sheetView zoomScale="85" zoomScaleNormal="85" workbookViewId="0">
      <selection activeCell="G13" sqref="G13"/>
    </sheetView>
  </sheetViews>
  <sheetFormatPr baseColWidth="10" defaultRowHeight="14.4" x14ac:dyDescent="0.3"/>
  <cols>
    <col min="2" max="2" width="28.88671875" bestFit="1" customWidth="1"/>
    <col min="3" max="3" width="31.6640625" bestFit="1" customWidth="1"/>
    <col min="4" max="4" width="12.33203125" bestFit="1" customWidth="1"/>
    <col min="6" max="6" width="11.88671875" bestFit="1" customWidth="1"/>
    <col min="7" max="7" width="20.88671875" bestFit="1" customWidth="1"/>
    <col min="8" max="8" width="23" bestFit="1" customWidth="1"/>
    <col min="10" max="10" width="28.5546875" bestFit="1" customWidth="1"/>
    <col min="12" max="12" width="29.109375" bestFit="1" customWidth="1"/>
  </cols>
  <sheetData>
    <row r="2" spans="2:10" x14ac:dyDescent="0.3">
      <c r="B2" s="5" t="s">
        <v>6</v>
      </c>
    </row>
    <row r="4" spans="2:10" x14ac:dyDescent="0.3">
      <c r="B4" s="5" t="s">
        <v>5</v>
      </c>
      <c r="C4" s="5" t="s">
        <v>38</v>
      </c>
      <c r="D4" s="12" t="s">
        <v>26</v>
      </c>
      <c r="E4" s="9">
        <f>G4/365</f>
        <v>3</v>
      </c>
      <c r="F4" s="10" t="s">
        <v>25</v>
      </c>
      <c r="G4" s="26">
        <v>1095</v>
      </c>
      <c r="H4" s="11" t="s">
        <v>29</v>
      </c>
      <c r="J4" t="s">
        <v>35</v>
      </c>
    </row>
    <row r="5" spans="2:10" x14ac:dyDescent="0.3">
      <c r="B5" s="6" t="s">
        <v>7</v>
      </c>
      <c r="C5" s="6" t="s">
        <v>8</v>
      </c>
      <c r="D5" s="6" t="s">
        <v>18</v>
      </c>
      <c r="E5" s="6" t="s">
        <v>20</v>
      </c>
      <c r="F5" s="6" t="s">
        <v>24</v>
      </c>
      <c r="G5" s="7" t="s">
        <v>44</v>
      </c>
      <c r="H5" s="6" t="s">
        <v>28</v>
      </c>
    </row>
    <row r="6" spans="2:10" x14ac:dyDescent="0.3">
      <c r="B6" s="2" t="s">
        <v>9</v>
      </c>
      <c r="C6" s="19" t="s">
        <v>10</v>
      </c>
      <c r="D6" s="19" t="s">
        <v>19</v>
      </c>
      <c r="E6" s="19">
        <v>1</v>
      </c>
      <c r="F6" s="19">
        <v>1392</v>
      </c>
      <c r="G6" s="8">
        <f>(E6*F6)/$G$4</f>
        <v>1.2712328767123289</v>
      </c>
      <c r="H6" s="19" t="s">
        <v>27</v>
      </c>
    </row>
    <row r="7" spans="2:10" x14ac:dyDescent="0.3">
      <c r="B7" s="2" t="s">
        <v>11</v>
      </c>
      <c r="C7" s="19" t="s">
        <v>12</v>
      </c>
      <c r="D7" s="19" t="s">
        <v>19</v>
      </c>
      <c r="E7" s="19">
        <v>0.5</v>
      </c>
      <c r="F7" s="19">
        <v>1253</v>
      </c>
      <c r="G7" s="8">
        <f t="shared" ref="G7:G12" si="0">(E7*F7)/$G$4</f>
        <v>0.57214611872146115</v>
      </c>
      <c r="H7" s="19" t="s">
        <v>31</v>
      </c>
    </row>
    <row r="8" spans="2:10" x14ac:dyDescent="0.3">
      <c r="B8" s="2" t="s">
        <v>13</v>
      </c>
      <c r="C8" s="19" t="s">
        <v>14</v>
      </c>
      <c r="D8" s="19" t="s">
        <v>18</v>
      </c>
      <c r="E8" s="19">
        <v>1</v>
      </c>
      <c r="F8" s="19">
        <v>6000</v>
      </c>
      <c r="G8" s="8">
        <f t="shared" si="0"/>
        <v>5.4794520547945202</v>
      </c>
      <c r="H8" s="19" t="s">
        <v>32</v>
      </c>
    </row>
    <row r="9" spans="2:10" x14ac:dyDescent="0.3">
      <c r="B9" s="2" t="s">
        <v>15</v>
      </c>
      <c r="C9" s="19" t="s">
        <v>16</v>
      </c>
      <c r="D9" s="19" t="s">
        <v>18</v>
      </c>
      <c r="E9" s="19">
        <v>1</v>
      </c>
      <c r="F9" s="19">
        <v>6000</v>
      </c>
      <c r="G9" s="8">
        <f t="shared" si="0"/>
        <v>5.4794520547945202</v>
      </c>
      <c r="H9" s="19" t="s">
        <v>32</v>
      </c>
    </row>
    <row r="10" spans="2:10" x14ac:dyDescent="0.3">
      <c r="B10" s="2" t="s">
        <v>17</v>
      </c>
      <c r="C10" s="19" t="s">
        <v>33</v>
      </c>
      <c r="D10" s="19" t="s">
        <v>18</v>
      </c>
      <c r="E10" s="19">
        <v>1</v>
      </c>
      <c r="F10" s="19">
        <v>105</v>
      </c>
      <c r="G10" s="8">
        <f t="shared" si="0"/>
        <v>9.5890410958904104E-2</v>
      </c>
      <c r="H10" s="19" t="s">
        <v>30</v>
      </c>
    </row>
    <row r="11" spans="2:10" x14ac:dyDescent="0.3">
      <c r="B11" s="2" t="s">
        <v>21</v>
      </c>
      <c r="C11" s="19"/>
      <c r="D11" s="19"/>
      <c r="E11" s="19"/>
      <c r="F11" s="19"/>
      <c r="G11" s="8">
        <f t="shared" si="0"/>
        <v>0</v>
      </c>
      <c r="H11" s="19"/>
    </row>
    <row r="12" spans="2:10" x14ac:dyDescent="0.3">
      <c r="B12" s="2" t="s">
        <v>22</v>
      </c>
      <c r="C12" s="19"/>
      <c r="D12" s="19"/>
      <c r="E12" s="19"/>
      <c r="F12" s="19"/>
      <c r="G12" s="8">
        <f t="shared" si="0"/>
        <v>0</v>
      </c>
      <c r="H12" s="19"/>
      <c r="J12" s="20" t="s">
        <v>122</v>
      </c>
    </row>
    <row r="13" spans="2:10" x14ac:dyDescent="0.3">
      <c r="G13" s="13">
        <f>SUM(G6:G12)</f>
        <v>12.898173515981735</v>
      </c>
      <c r="H13" s="14"/>
      <c r="J13" s="20">
        <f>G13*G4</f>
        <v>14123.5</v>
      </c>
    </row>
    <row r="15" spans="2:10" x14ac:dyDescent="0.3">
      <c r="B15" s="5" t="s">
        <v>5</v>
      </c>
      <c r="C15" s="5" t="s">
        <v>40</v>
      </c>
      <c r="D15" s="12" t="s">
        <v>26</v>
      </c>
      <c r="E15" s="9">
        <f>G15/365</f>
        <v>2.7397260273972603E-3</v>
      </c>
      <c r="F15" s="10" t="s">
        <v>25</v>
      </c>
      <c r="G15" s="26">
        <v>1</v>
      </c>
      <c r="H15" s="11" t="s">
        <v>29</v>
      </c>
      <c r="J15" t="s">
        <v>36</v>
      </c>
    </row>
    <row r="16" spans="2:10" x14ac:dyDescent="0.3">
      <c r="B16" s="6" t="s">
        <v>7</v>
      </c>
      <c r="C16" s="6" t="s">
        <v>8</v>
      </c>
      <c r="D16" s="6" t="s">
        <v>18</v>
      </c>
      <c r="E16" s="6" t="s">
        <v>20</v>
      </c>
      <c r="F16" s="6" t="s">
        <v>24</v>
      </c>
      <c r="G16" s="7" t="s">
        <v>44</v>
      </c>
      <c r="H16" s="6" t="s">
        <v>28</v>
      </c>
    </row>
    <row r="17" spans="2:10" x14ac:dyDescent="0.3">
      <c r="B17" s="2" t="s">
        <v>9</v>
      </c>
      <c r="C17" s="19" t="s">
        <v>10</v>
      </c>
      <c r="D17" s="19" t="s">
        <v>19</v>
      </c>
      <c r="E17" s="19">
        <v>0</v>
      </c>
      <c r="F17" s="19">
        <v>0</v>
      </c>
      <c r="G17" s="8">
        <f>(E17*F17)/$G$15</f>
        <v>0</v>
      </c>
      <c r="H17" s="19"/>
    </row>
    <row r="18" spans="2:10" x14ac:dyDescent="0.3">
      <c r="B18" s="2" t="s">
        <v>11</v>
      </c>
      <c r="C18" s="19" t="s">
        <v>12</v>
      </c>
      <c r="D18" s="19" t="s">
        <v>19</v>
      </c>
      <c r="E18" s="19">
        <v>0.5</v>
      </c>
      <c r="F18" s="19">
        <v>1253</v>
      </c>
      <c r="G18" s="8">
        <f t="shared" ref="G18:G23" si="1">(E18*F18)/$G$15</f>
        <v>626.5</v>
      </c>
      <c r="H18" s="19" t="s">
        <v>31</v>
      </c>
    </row>
    <row r="19" spans="2:10" x14ac:dyDescent="0.3">
      <c r="B19" s="2" t="s">
        <v>13</v>
      </c>
      <c r="C19" s="19" t="s">
        <v>14</v>
      </c>
      <c r="D19" s="19" t="s">
        <v>18</v>
      </c>
      <c r="E19" s="19">
        <v>1</v>
      </c>
      <c r="F19" s="19">
        <v>200</v>
      </c>
      <c r="G19" s="8">
        <f t="shared" si="1"/>
        <v>200</v>
      </c>
      <c r="H19" s="19" t="s">
        <v>48</v>
      </c>
    </row>
    <row r="20" spans="2:10" x14ac:dyDescent="0.3">
      <c r="B20" s="2" t="s">
        <v>15</v>
      </c>
      <c r="C20" s="19" t="s">
        <v>16</v>
      </c>
      <c r="D20" s="19" t="s">
        <v>18</v>
      </c>
      <c r="E20" s="19">
        <v>0</v>
      </c>
      <c r="F20" s="19">
        <v>0</v>
      </c>
      <c r="G20" s="8">
        <f t="shared" si="1"/>
        <v>0</v>
      </c>
      <c r="H20" s="19"/>
    </row>
    <row r="21" spans="2:10" x14ac:dyDescent="0.3">
      <c r="B21" s="2" t="s">
        <v>17</v>
      </c>
      <c r="C21" s="19" t="s">
        <v>33</v>
      </c>
      <c r="D21" s="19" t="s">
        <v>18</v>
      </c>
      <c r="E21" s="19">
        <v>1</v>
      </c>
      <c r="F21" s="19">
        <v>105</v>
      </c>
      <c r="G21" s="8">
        <f t="shared" si="1"/>
        <v>105</v>
      </c>
      <c r="H21" s="19" t="s">
        <v>30</v>
      </c>
    </row>
    <row r="22" spans="2:10" x14ac:dyDescent="0.3">
      <c r="B22" s="2" t="s">
        <v>21</v>
      </c>
      <c r="C22" s="19"/>
      <c r="D22" s="19"/>
      <c r="E22" s="19"/>
      <c r="F22" s="19"/>
      <c r="G22" s="8">
        <f t="shared" si="1"/>
        <v>0</v>
      </c>
      <c r="H22" s="19"/>
    </row>
    <row r="23" spans="2:10" x14ac:dyDescent="0.3">
      <c r="B23" s="2" t="s">
        <v>22</v>
      </c>
      <c r="C23" s="19"/>
      <c r="D23" s="19"/>
      <c r="E23" s="19"/>
      <c r="F23" s="19"/>
      <c r="G23" s="8">
        <f t="shared" si="1"/>
        <v>0</v>
      </c>
      <c r="H23" s="19"/>
      <c r="J23" s="20" t="s">
        <v>122</v>
      </c>
    </row>
    <row r="24" spans="2:10" x14ac:dyDescent="0.3">
      <c r="G24" s="13">
        <f>SUM(G17:G23)</f>
        <v>931.5</v>
      </c>
      <c r="H24" s="2"/>
      <c r="J24" s="20">
        <f>G24*G15</f>
        <v>931.5</v>
      </c>
    </row>
    <row r="26" spans="2:10" x14ac:dyDescent="0.3">
      <c r="B26" s="5" t="s">
        <v>5</v>
      </c>
      <c r="C26" s="5" t="s">
        <v>41</v>
      </c>
      <c r="D26" s="12" t="s">
        <v>26</v>
      </c>
      <c r="E26" s="9">
        <f>G26/365</f>
        <v>5.4794520547945202E-2</v>
      </c>
      <c r="F26" s="10" t="s">
        <v>25</v>
      </c>
      <c r="G26" s="26">
        <v>20</v>
      </c>
      <c r="H26" s="11" t="s">
        <v>29</v>
      </c>
      <c r="J26" t="s">
        <v>37</v>
      </c>
    </row>
    <row r="27" spans="2:10" x14ac:dyDescent="0.3">
      <c r="B27" s="6" t="s">
        <v>7</v>
      </c>
      <c r="C27" s="6" t="s">
        <v>8</v>
      </c>
      <c r="D27" s="6" t="s">
        <v>18</v>
      </c>
      <c r="E27" s="6" t="s">
        <v>20</v>
      </c>
      <c r="F27" s="6" t="s">
        <v>24</v>
      </c>
      <c r="G27" s="7" t="s">
        <v>44</v>
      </c>
      <c r="H27" s="6" t="s">
        <v>28</v>
      </c>
    </row>
    <row r="28" spans="2:10" x14ac:dyDescent="0.3">
      <c r="B28" s="2" t="s">
        <v>9</v>
      </c>
      <c r="C28" s="19" t="s">
        <v>10</v>
      </c>
      <c r="D28" s="19" t="s">
        <v>19</v>
      </c>
      <c r="E28" s="19">
        <v>0</v>
      </c>
      <c r="F28" s="19">
        <v>0</v>
      </c>
      <c r="G28" s="8">
        <f>(E28*F28)/$G$26</f>
        <v>0</v>
      </c>
      <c r="H28" s="19"/>
    </row>
    <row r="29" spans="2:10" x14ac:dyDescent="0.3">
      <c r="B29" s="2" t="s">
        <v>11</v>
      </c>
      <c r="C29" s="19" t="s">
        <v>12</v>
      </c>
      <c r="D29" s="19" t="s">
        <v>19</v>
      </c>
      <c r="E29" s="19">
        <v>0</v>
      </c>
      <c r="F29" s="19">
        <v>0</v>
      </c>
      <c r="G29" s="8">
        <f t="shared" ref="G29:G34" si="2">(E29*F29)/$G$26</f>
        <v>0</v>
      </c>
      <c r="H29" s="19"/>
    </row>
    <row r="30" spans="2:10" x14ac:dyDescent="0.3">
      <c r="B30" s="2" t="s">
        <v>13</v>
      </c>
      <c r="C30" s="19" t="s">
        <v>14</v>
      </c>
      <c r="D30" s="19" t="s">
        <v>18</v>
      </c>
      <c r="E30" s="19">
        <v>20</v>
      </c>
      <c r="F30" s="19">
        <v>100</v>
      </c>
      <c r="G30" s="8">
        <f t="shared" si="2"/>
        <v>100</v>
      </c>
      <c r="H30" s="19" t="s">
        <v>47</v>
      </c>
    </row>
    <row r="31" spans="2:10" x14ac:dyDescent="0.3">
      <c r="B31" s="2" t="s">
        <v>15</v>
      </c>
      <c r="C31" s="19" t="s">
        <v>16</v>
      </c>
      <c r="D31" s="19" t="s">
        <v>18</v>
      </c>
      <c r="E31" s="19">
        <v>0</v>
      </c>
      <c r="F31" s="19">
        <v>0</v>
      </c>
      <c r="G31" s="8">
        <f t="shared" si="2"/>
        <v>0</v>
      </c>
      <c r="H31" s="19"/>
    </row>
    <row r="32" spans="2:10" x14ac:dyDescent="0.3">
      <c r="B32" s="2" t="s">
        <v>17</v>
      </c>
      <c r="C32" s="19" t="s">
        <v>33</v>
      </c>
      <c r="D32" s="19" t="s">
        <v>18</v>
      </c>
      <c r="E32" s="19">
        <v>20</v>
      </c>
      <c r="F32" s="19">
        <v>105</v>
      </c>
      <c r="G32" s="8">
        <f t="shared" si="2"/>
        <v>105</v>
      </c>
      <c r="H32" s="19" t="s">
        <v>30</v>
      </c>
    </row>
    <row r="33" spans="2:10" x14ac:dyDescent="0.3">
      <c r="B33" s="2" t="s">
        <v>21</v>
      </c>
      <c r="C33" s="19"/>
      <c r="D33" s="19"/>
      <c r="E33" s="19"/>
      <c r="F33" s="19"/>
      <c r="G33" s="8">
        <f t="shared" si="2"/>
        <v>0</v>
      </c>
      <c r="H33" s="19"/>
    </row>
    <row r="34" spans="2:10" x14ac:dyDescent="0.3">
      <c r="B34" s="2" t="s">
        <v>22</v>
      </c>
      <c r="C34" s="19"/>
      <c r="D34" s="19"/>
      <c r="E34" s="19"/>
      <c r="F34" s="19"/>
      <c r="G34" s="8">
        <f t="shared" si="2"/>
        <v>0</v>
      </c>
      <c r="H34" s="19"/>
      <c r="J34" s="20" t="s">
        <v>122</v>
      </c>
    </row>
    <row r="35" spans="2:10" x14ac:dyDescent="0.3">
      <c r="G35" s="13">
        <f>SUM(G28:G34)</f>
        <v>205</v>
      </c>
      <c r="H35" s="2"/>
      <c r="J35" s="20">
        <f>G35*G26</f>
        <v>4100</v>
      </c>
    </row>
    <row r="37" spans="2:10" x14ac:dyDescent="0.3">
      <c r="B37" s="5" t="s">
        <v>5</v>
      </c>
      <c r="C37" s="5" t="s">
        <v>39</v>
      </c>
      <c r="D37" s="12" t="s">
        <v>26</v>
      </c>
      <c r="E37" s="9">
        <f>G37/365</f>
        <v>1</v>
      </c>
      <c r="F37" s="10" t="s">
        <v>25</v>
      </c>
      <c r="G37" s="26">
        <v>365</v>
      </c>
      <c r="H37" s="11" t="s">
        <v>29</v>
      </c>
      <c r="J37" t="s">
        <v>42</v>
      </c>
    </row>
    <row r="38" spans="2:10" x14ac:dyDescent="0.3">
      <c r="B38" s="6" t="s">
        <v>7</v>
      </c>
      <c r="C38" s="6" t="s">
        <v>8</v>
      </c>
      <c r="D38" s="6" t="s">
        <v>18</v>
      </c>
      <c r="E38" s="6" t="s">
        <v>20</v>
      </c>
      <c r="F38" s="6" t="s">
        <v>24</v>
      </c>
      <c r="G38" s="7" t="s">
        <v>44</v>
      </c>
      <c r="H38" s="6" t="s">
        <v>28</v>
      </c>
    </row>
    <row r="39" spans="2:10" x14ac:dyDescent="0.3">
      <c r="B39" s="2" t="s">
        <v>9</v>
      </c>
      <c r="C39" s="19" t="s">
        <v>10</v>
      </c>
      <c r="D39" s="19" t="s">
        <v>19</v>
      </c>
      <c r="E39" s="19">
        <v>0</v>
      </c>
      <c r="F39" s="19">
        <v>0</v>
      </c>
      <c r="G39" s="8">
        <f>(E39*F39)/$G$37</f>
        <v>0</v>
      </c>
      <c r="H39" s="19"/>
    </row>
    <row r="40" spans="2:10" x14ac:dyDescent="0.3">
      <c r="B40" s="2" t="s">
        <v>11</v>
      </c>
      <c r="C40" s="19" t="s">
        <v>12</v>
      </c>
      <c r="D40" s="19" t="s">
        <v>19</v>
      </c>
      <c r="E40" s="19">
        <v>1</v>
      </c>
      <c r="F40" s="19">
        <v>418</v>
      </c>
      <c r="G40" s="8">
        <f t="shared" ref="G40:G45" si="3">(E40*F40)/$G$37</f>
        <v>1.1452054794520548</v>
      </c>
      <c r="H40" s="19" t="s">
        <v>43</v>
      </c>
    </row>
    <row r="41" spans="2:10" x14ac:dyDescent="0.3">
      <c r="B41" s="2" t="s">
        <v>13</v>
      </c>
      <c r="C41" s="19" t="s">
        <v>14</v>
      </c>
      <c r="D41" s="19" t="s">
        <v>18</v>
      </c>
      <c r="E41" s="19">
        <v>0</v>
      </c>
      <c r="F41" s="19">
        <v>0</v>
      </c>
      <c r="G41" s="8">
        <f t="shared" si="3"/>
        <v>0</v>
      </c>
      <c r="H41" s="19"/>
    </row>
    <row r="42" spans="2:10" x14ac:dyDescent="0.3">
      <c r="B42" s="2" t="s">
        <v>15</v>
      </c>
      <c r="C42" s="19" t="s">
        <v>16</v>
      </c>
      <c r="D42" s="19" t="s">
        <v>18</v>
      </c>
      <c r="E42" s="19">
        <v>0</v>
      </c>
      <c r="F42" s="19">
        <v>0</v>
      </c>
      <c r="G42" s="8">
        <f t="shared" si="3"/>
        <v>0</v>
      </c>
      <c r="H42" s="19"/>
    </row>
    <row r="43" spans="2:10" x14ac:dyDescent="0.3">
      <c r="B43" s="2" t="s">
        <v>17</v>
      </c>
      <c r="C43" s="19" t="s">
        <v>33</v>
      </c>
      <c r="D43" s="19" t="s">
        <v>18</v>
      </c>
      <c r="E43" s="19">
        <v>1</v>
      </c>
      <c r="F43" s="19">
        <v>105</v>
      </c>
      <c r="G43" s="8">
        <f t="shared" si="3"/>
        <v>0.28767123287671231</v>
      </c>
      <c r="H43" s="19" t="s">
        <v>30</v>
      </c>
    </row>
    <row r="44" spans="2:10" x14ac:dyDescent="0.3">
      <c r="B44" s="2" t="s">
        <v>21</v>
      </c>
      <c r="C44" s="19"/>
      <c r="D44" s="19"/>
      <c r="E44" s="19"/>
      <c r="F44" s="19"/>
      <c r="G44" s="8">
        <f t="shared" si="3"/>
        <v>0</v>
      </c>
      <c r="H44" s="19"/>
    </row>
    <row r="45" spans="2:10" x14ac:dyDescent="0.3">
      <c r="B45" s="2" t="s">
        <v>22</v>
      </c>
      <c r="C45" s="19"/>
      <c r="D45" s="19"/>
      <c r="E45" s="19"/>
      <c r="F45" s="19"/>
      <c r="G45" s="8">
        <f t="shared" si="3"/>
        <v>0</v>
      </c>
      <c r="H45" s="19"/>
      <c r="J45" s="20" t="s">
        <v>122</v>
      </c>
    </row>
    <row r="46" spans="2:10" x14ac:dyDescent="0.3">
      <c r="G46" s="13">
        <f>SUM(G39:G45)</f>
        <v>1.4328767123287671</v>
      </c>
      <c r="H46" s="14"/>
      <c r="J46" s="20">
        <f>G46*G37</f>
        <v>523</v>
      </c>
    </row>
    <row r="48" spans="2:10" x14ac:dyDescent="0.3">
      <c r="B48" s="5" t="s">
        <v>5</v>
      </c>
      <c r="C48" s="5" t="s">
        <v>45</v>
      </c>
      <c r="D48" s="12" t="s">
        <v>26</v>
      </c>
      <c r="E48" s="9">
        <f>G48/365</f>
        <v>5.4794520547945202E-2</v>
      </c>
      <c r="F48" s="10" t="s">
        <v>25</v>
      </c>
      <c r="G48" s="26">
        <v>20</v>
      </c>
      <c r="H48" s="11" t="s">
        <v>29</v>
      </c>
      <c r="J48" t="s">
        <v>46</v>
      </c>
    </row>
    <row r="49" spans="2:10" x14ac:dyDescent="0.3">
      <c r="B49" s="6" t="s">
        <v>7</v>
      </c>
      <c r="C49" s="6" t="s">
        <v>8</v>
      </c>
      <c r="D49" s="6" t="s">
        <v>18</v>
      </c>
      <c r="E49" s="6" t="s">
        <v>20</v>
      </c>
      <c r="F49" s="6" t="s">
        <v>24</v>
      </c>
      <c r="G49" s="7" t="s">
        <v>44</v>
      </c>
      <c r="H49" s="6" t="s">
        <v>28</v>
      </c>
    </row>
    <row r="50" spans="2:10" x14ac:dyDescent="0.3">
      <c r="B50" s="2" t="s">
        <v>9</v>
      </c>
      <c r="C50" s="19" t="s">
        <v>10</v>
      </c>
      <c r="D50" s="19" t="s">
        <v>19</v>
      </c>
      <c r="E50" s="19">
        <v>0</v>
      </c>
      <c r="F50" s="19">
        <v>0</v>
      </c>
      <c r="G50" s="8">
        <f>(E50*F50)/$G$48</f>
        <v>0</v>
      </c>
      <c r="H50" s="2"/>
    </row>
    <row r="51" spans="2:10" x14ac:dyDescent="0.3">
      <c r="B51" s="2" t="s">
        <v>11</v>
      </c>
      <c r="C51" s="19" t="s">
        <v>12</v>
      </c>
      <c r="D51" s="19" t="s">
        <v>19</v>
      </c>
      <c r="E51" s="19">
        <v>0</v>
      </c>
      <c r="F51" s="19">
        <v>0</v>
      </c>
      <c r="G51" s="8">
        <f t="shared" ref="G51:G56" si="4">(E51*F51)/$G$48</f>
        <v>0</v>
      </c>
      <c r="H51" s="2"/>
    </row>
    <row r="52" spans="2:10" x14ac:dyDescent="0.3">
      <c r="B52" s="2" t="s">
        <v>13</v>
      </c>
      <c r="C52" s="19" t="s">
        <v>14</v>
      </c>
      <c r="D52" s="19" t="s">
        <v>18</v>
      </c>
      <c r="E52" s="19">
        <v>1</v>
      </c>
      <c r="F52" s="19">
        <v>200</v>
      </c>
      <c r="G52" s="8">
        <f t="shared" si="4"/>
        <v>10</v>
      </c>
      <c r="H52" s="2" t="s">
        <v>34</v>
      </c>
    </row>
    <row r="53" spans="2:10" x14ac:dyDescent="0.3">
      <c r="B53" s="2" t="s">
        <v>15</v>
      </c>
      <c r="C53" s="19" t="s">
        <v>16</v>
      </c>
      <c r="D53" s="19" t="s">
        <v>18</v>
      </c>
      <c r="E53" s="19">
        <v>0</v>
      </c>
      <c r="F53" s="19">
        <v>0</v>
      </c>
      <c r="G53" s="8">
        <f t="shared" si="4"/>
        <v>0</v>
      </c>
      <c r="H53" s="2"/>
    </row>
    <row r="54" spans="2:10" x14ac:dyDescent="0.3">
      <c r="B54" s="2" t="s">
        <v>17</v>
      </c>
      <c r="C54" s="19" t="s">
        <v>33</v>
      </c>
      <c r="D54" s="19" t="s">
        <v>18</v>
      </c>
      <c r="E54" s="19">
        <v>0</v>
      </c>
      <c r="F54" s="19">
        <v>0</v>
      </c>
      <c r="G54" s="8">
        <f t="shared" si="4"/>
        <v>0</v>
      </c>
      <c r="H54" s="2"/>
    </row>
    <row r="55" spans="2:10" x14ac:dyDescent="0.3">
      <c r="B55" s="2" t="s">
        <v>21</v>
      </c>
      <c r="C55" s="19"/>
      <c r="D55" s="19"/>
      <c r="E55" s="19"/>
      <c r="F55" s="19"/>
      <c r="G55" s="8">
        <f t="shared" si="4"/>
        <v>0</v>
      </c>
      <c r="H55" s="2"/>
    </row>
    <row r="56" spans="2:10" x14ac:dyDescent="0.3">
      <c r="B56" s="2" t="s">
        <v>22</v>
      </c>
      <c r="C56" s="19"/>
      <c r="D56" s="19"/>
      <c r="E56" s="19"/>
      <c r="F56" s="19"/>
      <c r="G56" s="8">
        <f t="shared" si="4"/>
        <v>0</v>
      </c>
      <c r="H56" s="2"/>
      <c r="J56" s="20" t="s">
        <v>122</v>
      </c>
    </row>
    <row r="57" spans="2:10" x14ac:dyDescent="0.3">
      <c r="G57" s="13">
        <f>SUM(G50:G56)</f>
        <v>10</v>
      </c>
      <c r="H57" s="2"/>
      <c r="J57" s="20">
        <f>G57*G48</f>
        <v>200</v>
      </c>
    </row>
    <row r="59" spans="2:10" x14ac:dyDescent="0.3">
      <c r="B59" s="5" t="s">
        <v>5</v>
      </c>
      <c r="C59" s="5" t="s">
        <v>49</v>
      </c>
      <c r="D59" s="12" t="s">
        <v>26</v>
      </c>
      <c r="E59" s="9">
        <f>G59/365</f>
        <v>2</v>
      </c>
      <c r="F59" s="10" t="s">
        <v>25</v>
      </c>
      <c r="G59" s="26">
        <v>730</v>
      </c>
      <c r="H59" s="11" t="s">
        <v>29</v>
      </c>
      <c r="J59" t="s">
        <v>143</v>
      </c>
    </row>
    <row r="60" spans="2:10" x14ac:dyDescent="0.3">
      <c r="B60" s="6" t="s">
        <v>7</v>
      </c>
      <c r="C60" s="6" t="s">
        <v>8</v>
      </c>
      <c r="D60" s="6" t="s">
        <v>18</v>
      </c>
      <c r="E60" s="6" t="s">
        <v>20</v>
      </c>
      <c r="F60" s="6" t="s">
        <v>24</v>
      </c>
      <c r="G60" s="7" t="s">
        <v>44</v>
      </c>
      <c r="H60" s="6" t="s">
        <v>28</v>
      </c>
    </row>
    <row r="61" spans="2:10" x14ac:dyDescent="0.3">
      <c r="B61" s="2" t="s">
        <v>9</v>
      </c>
      <c r="C61" s="19" t="s">
        <v>10</v>
      </c>
      <c r="D61" s="19" t="s">
        <v>19</v>
      </c>
      <c r="E61" s="19">
        <v>0</v>
      </c>
      <c r="F61" s="19">
        <v>0</v>
      </c>
      <c r="G61" s="8">
        <f>(E61*F61)/$G$48</f>
        <v>0</v>
      </c>
      <c r="H61" s="19"/>
    </row>
    <row r="62" spans="2:10" x14ac:dyDescent="0.3">
      <c r="B62" s="2" t="s">
        <v>11</v>
      </c>
      <c r="C62" s="19" t="s">
        <v>12</v>
      </c>
      <c r="D62" s="19" t="s">
        <v>50</v>
      </c>
      <c r="E62" s="19">
        <v>0</v>
      </c>
      <c r="F62" s="19">
        <v>0</v>
      </c>
      <c r="G62" s="8">
        <f t="shared" ref="G62:G67" si="5">(E62*F62)/$G$48</f>
        <v>0</v>
      </c>
      <c r="H62" s="19"/>
    </row>
    <row r="63" spans="2:10" x14ac:dyDescent="0.3">
      <c r="B63" s="2" t="s">
        <v>13</v>
      </c>
      <c r="C63" s="19" t="s">
        <v>14</v>
      </c>
      <c r="D63" s="19" t="s">
        <v>18</v>
      </c>
      <c r="E63" s="19">
        <v>0</v>
      </c>
      <c r="F63" s="19">
        <v>0</v>
      </c>
      <c r="G63" s="8">
        <f t="shared" si="5"/>
        <v>0</v>
      </c>
      <c r="H63" s="19"/>
    </row>
    <row r="64" spans="2:10" x14ac:dyDescent="0.3">
      <c r="B64" s="2" t="s">
        <v>15</v>
      </c>
      <c r="C64" s="19" t="s">
        <v>16</v>
      </c>
      <c r="D64" s="19" t="s">
        <v>18</v>
      </c>
      <c r="E64" s="19">
        <v>0</v>
      </c>
      <c r="F64" s="19">
        <v>0</v>
      </c>
      <c r="G64" s="8">
        <f t="shared" si="5"/>
        <v>0</v>
      </c>
      <c r="H64" s="19"/>
    </row>
    <row r="65" spans="2:12" x14ac:dyDescent="0.3">
      <c r="B65" s="2" t="s">
        <v>17</v>
      </c>
      <c r="C65" s="19" t="s">
        <v>33</v>
      </c>
      <c r="D65" s="19" t="s">
        <v>18</v>
      </c>
      <c r="E65" s="19">
        <v>0</v>
      </c>
      <c r="F65" s="19">
        <v>0</v>
      </c>
      <c r="G65" s="8">
        <f t="shared" si="5"/>
        <v>0</v>
      </c>
      <c r="H65" s="19"/>
    </row>
    <row r="66" spans="2:12" x14ac:dyDescent="0.3">
      <c r="B66" s="2" t="s">
        <v>21</v>
      </c>
      <c r="C66" s="19"/>
      <c r="D66" s="19"/>
      <c r="E66" s="19"/>
      <c r="F66" s="19"/>
      <c r="G66" s="8">
        <f t="shared" si="5"/>
        <v>0</v>
      </c>
      <c r="H66" s="19"/>
    </row>
    <row r="67" spans="2:12" x14ac:dyDescent="0.3">
      <c r="B67" s="2" t="s">
        <v>22</v>
      </c>
      <c r="C67" s="19"/>
      <c r="D67" s="19"/>
      <c r="E67" s="19"/>
      <c r="F67" s="19"/>
      <c r="G67" s="8">
        <f t="shared" si="5"/>
        <v>0</v>
      </c>
      <c r="H67" s="19"/>
      <c r="J67" s="20" t="s">
        <v>122</v>
      </c>
      <c r="L67" s="20" t="s">
        <v>123</v>
      </c>
    </row>
    <row r="68" spans="2:12" x14ac:dyDescent="0.3">
      <c r="G68" s="13">
        <f>SUM(G61:G67)</f>
        <v>0</v>
      </c>
      <c r="H68" s="2"/>
      <c r="J68" s="20">
        <f>G68*G59</f>
        <v>0</v>
      </c>
      <c r="L68" s="20">
        <f>J68+J57+J46+J35+J24+J13</f>
        <v>19878</v>
      </c>
    </row>
    <row r="70" spans="2:12" x14ac:dyDescent="0.3">
      <c r="B70" s="5" t="s">
        <v>148</v>
      </c>
    </row>
    <row r="71" spans="2:12" x14ac:dyDescent="0.3">
      <c r="B71" s="27" t="s">
        <v>7</v>
      </c>
      <c r="C71" s="27" t="s">
        <v>8</v>
      </c>
      <c r="D71" s="27" t="s">
        <v>18</v>
      </c>
      <c r="E71" s="27" t="s">
        <v>20</v>
      </c>
      <c r="F71" s="27" t="s">
        <v>60</v>
      </c>
      <c r="G71" s="27" t="s">
        <v>23</v>
      </c>
    </row>
    <row r="72" spans="2:12" x14ac:dyDescent="0.3">
      <c r="B72" s="2" t="s">
        <v>51</v>
      </c>
      <c r="C72" s="19" t="s">
        <v>52</v>
      </c>
      <c r="D72" s="19" t="s">
        <v>58</v>
      </c>
      <c r="E72" s="19">
        <v>2</v>
      </c>
      <c r="F72" s="19">
        <v>5000</v>
      </c>
      <c r="G72" s="2">
        <f t="shared" ref="G72:G76" si="6">E72*F72</f>
        <v>10000</v>
      </c>
    </row>
    <row r="73" spans="2:12" x14ac:dyDescent="0.3">
      <c r="B73" s="2" t="s">
        <v>54</v>
      </c>
      <c r="C73" s="19" t="s">
        <v>53</v>
      </c>
      <c r="D73" s="19" t="s">
        <v>58</v>
      </c>
      <c r="E73" s="19">
        <v>1</v>
      </c>
      <c r="F73" s="19">
        <v>2600</v>
      </c>
      <c r="G73" s="2">
        <f t="shared" si="6"/>
        <v>2600</v>
      </c>
    </row>
    <row r="74" spans="2:12" x14ac:dyDescent="0.3">
      <c r="B74" s="2" t="s">
        <v>55</v>
      </c>
      <c r="C74" s="19"/>
      <c r="D74" s="19" t="s">
        <v>58</v>
      </c>
      <c r="E74" s="19">
        <v>0</v>
      </c>
      <c r="F74" s="19">
        <v>0</v>
      </c>
      <c r="G74" s="2">
        <f t="shared" si="6"/>
        <v>0</v>
      </c>
    </row>
    <row r="75" spans="2:12" x14ac:dyDescent="0.3">
      <c r="B75" s="2" t="s">
        <v>56</v>
      </c>
      <c r="C75" s="19"/>
      <c r="D75" s="19" t="s">
        <v>58</v>
      </c>
      <c r="E75" s="19">
        <v>0</v>
      </c>
      <c r="F75" s="19">
        <v>0</v>
      </c>
      <c r="G75" s="2">
        <f t="shared" si="6"/>
        <v>0</v>
      </c>
    </row>
    <row r="76" spans="2:12" x14ac:dyDescent="0.3">
      <c r="B76" s="2" t="s">
        <v>57</v>
      </c>
      <c r="C76" s="19"/>
      <c r="D76" s="19" t="s">
        <v>58</v>
      </c>
      <c r="E76" s="19">
        <v>0</v>
      </c>
      <c r="F76" s="19">
        <v>0</v>
      </c>
      <c r="G76" s="2">
        <f t="shared" si="6"/>
        <v>0</v>
      </c>
      <c r="H76" s="16" t="s">
        <v>62</v>
      </c>
      <c r="I76" s="16" t="s">
        <v>63</v>
      </c>
    </row>
    <row r="77" spans="2:12" x14ac:dyDescent="0.3">
      <c r="B77" s="2"/>
      <c r="C77" s="2"/>
      <c r="D77" s="2"/>
      <c r="E77" s="2"/>
      <c r="F77" s="4" t="s">
        <v>61</v>
      </c>
      <c r="G77" s="2">
        <f>SUM(G72:G76)</f>
        <v>12600</v>
      </c>
      <c r="H77" s="15">
        <v>13</v>
      </c>
      <c r="I77" s="15">
        <f>G77*H77</f>
        <v>163800</v>
      </c>
    </row>
    <row r="79" spans="2:12" x14ac:dyDescent="0.3">
      <c r="B79" s="5" t="s">
        <v>64</v>
      </c>
    </row>
    <row r="80" spans="2:12" x14ac:dyDescent="0.3">
      <c r="B80" s="27" t="s">
        <v>7</v>
      </c>
      <c r="C80" s="27" t="s">
        <v>8</v>
      </c>
      <c r="D80" s="27" t="s">
        <v>18</v>
      </c>
      <c r="E80" s="27" t="s">
        <v>66</v>
      </c>
      <c r="F80" s="27" t="s">
        <v>60</v>
      </c>
      <c r="G80" s="27" t="s">
        <v>23</v>
      </c>
    </row>
    <row r="81" spans="2:9" x14ac:dyDescent="0.3">
      <c r="B81" s="2" t="s">
        <v>65</v>
      </c>
      <c r="C81" s="19" t="s">
        <v>67</v>
      </c>
      <c r="D81" s="19" t="s">
        <v>58</v>
      </c>
      <c r="E81" s="19">
        <v>1</v>
      </c>
      <c r="F81" s="19">
        <v>116</v>
      </c>
      <c r="G81" s="2">
        <f>E81*F81</f>
        <v>116</v>
      </c>
    </row>
    <row r="82" spans="2:9" x14ac:dyDescent="0.3">
      <c r="B82" s="2" t="s">
        <v>69</v>
      </c>
      <c r="C82" s="19" t="s">
        <v>68</v>
      </c>
      <c r="D82" s="19" t="s">
        <v>58</v>
      </c>
      <c r="E82" s="19">
        <v>1</v>
      </c>
      <c r="F82" s="19">
        <v>300</v>
      </c>
      <c r="G82" s="2">
        <f>E82*F82</f>
        <v>300</v>
      </c>
    </row>
    <row r="83" spans="2:9" x14ac:dyDescent="0.3">
      <c r="B83" s="2" t="s">
        <v>70</v>
      </c>
      <c r="C83" s="19" t="s">
        <v>71</v>
      </c>
      <c r="D83" s="19" t="s">
        <v>58</v>
      </c>
      <c r="E83" s="19">
        <v>1</v>
      </c>
      <c r="F83" s="19">
        <v>700</v>
      </c>
      <c r="G83" s="2">
        <f t="shared" ref="G83:G87" si="7">E83*F83</f>
        <v>700</v>
      </c>
    </row>
    <row r="84" spans="2:9" x14ac:dyDescent="0.3">
      <c r="B84" s="2" t="s">
        <v>72</v>
      </c>
      <c r="C84" s="19" t="s">
        <v>73</v>
      </c>
      <c r="D84" s="19" t="s">
        <v>58</v>
      </c>
      <c r="E84" s="19">
        <v>1</v>
      </c>
      <c r="F84" s="19">
        <v>50</v>
      </c>
      <c r="G84" s="2">
        <f t="shared" si="7"/>
        <v>50</v>
      </c>
    </row>
    <row r="85" spans="2:9" x14ac:dyDescent="0.3">
      <c r="B85" s="2" t="s">
        <v>74</v>
      </c>
      <c r="C85" s="19" t="s">
        <v>75</v>
      </c>
      <c r="D85" s="19" t="s">
        <v>58</v>
      </c>
      <c r="E85" s="19">
        <v>1</v>
      </c>
      <c r="F85" s="19">
        <v>300</v>
      </c>
      <c r="G85" s="2">
        <f t="shared" si="7"/>
        <v>300</v>
      </c>
    </row>
    <row r="86" spans="2:9" x14ac:dyDescent="0.3">
      <c r="B86" s="2" t="s">
        <v>76</v>
      </c>
      <c r="C86" s="19" t="s">
        <v>77</v>
      </c>
      <c r="D86" s="19" t="s">
        <v>58</v>
      </c>
      <c r="E86" s="19">
        <v>1</v>
      </c>
      <c r="F86" s="19">
        <v>200</v>
      </c>
      <c r="G86" s="2">
        <f t="shared" si="7"/>
        <v>200</v>
      </c>
    </row>
    <row r="87" spans="2:9" x14ac:dyDescent="0.3">
      <c r="B87" s="2" t="s">
        <v>78</v>
      </c>
      <c r="C87" s="19"/>
      <c r="D87" s="19"/>
      <c r="E87" s="19"/>
      <c r="F87" s="19"/>
      <c r="G87" s="2">
        <f t="shared" si="7"/>
        <v>0</v>
      </c>
      <c r="H87" s="16" t="s">
        <v>62</v>
      </c>
      <c r="I87" s="16" t="s">
        <v>63</v>
      </c>
    </row>
    <row r="88" spans="2:9" x14ac:dyDescent="0.3">
      <c r="B88" s="2"/>
      <c r="C88" s="2"/>
      <c r="D88" s="2"/>
      <c r="E88" s="2"/>
      <c r="F88" s="4" t="s">
        <v>61</v>
      </c>
      <c r="G88" s="2">
        <f>SUM(G81:G87)</f>
        <v>1666</v>
      </c>
      <c r="H88" s="15">
        <v>12</v>
      </c>
      <c r="I88" s="15">
        <f>G88*H88</f>
        <v>19992</v>
      </c>
    </row>
    <row r="90" spans="2:9" x14ac:dyDescent="0.3">
      <c r="H90" s="16" t="s">
        <v>79</v>
      </c>
      <c r="I90" s="16">
        <f>I77+I88</f>
        <v>183792</v>
      </c>
    </row>
  </sheetData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"/>
  <sheetViews>
    <sheetView zoomScale="115" zoomScaleNormal="115" workbookViewId="0">
      <selection activeCell="F5" sqref="F5"/>
    </sheetView>
  </sheetViews>
  <sheetFormatPr baseColWidth="10" defaultRowHeight="14.4" x14ac:dyDescent="0.3"/>
  <cols>
    <col min="2" max="2" width="13.109375" bestFit="1" customWidth="1"/>
    <col min="3" max="3" width="19.5546875" bestFit="1" customWidth="1"/>
    <col min="7" max="7" width="26.109375" bestFit="1" customWidth="1"/>
    <col min="8" max="8" width="12.44140625" bestFit="1" customWidth="1"/>
    <col min="9" max="9" width="13" bestFit="1" customWidth="1"/>
    <col min="10" max="10" width="13.44140625" bestFit="1" customWidth="1"/>
  </cols>
  <sheetData>
    <row r="2" spans="2:10" x14ac:dyDescent="0.3">
      <c r="B2" s="5" t="s">
        <v>101</v>
      </c>
    </row>
    <row r="3" spans="2:10" x14ac:dyDescent="0.3">
      <c r="B3" s="27" t="s">
        <v>7</v>
      </c>
      <c r="C3" s="27" t="s">
        <v>108</v>
      </c>
      <c r="D3" s="27" t="s">
        <v>109</v>
      </c>
      <c r="E3" s="27" t="s">
        <v>110</v>
      </c>
      <c r="F3" s="27" t="s">
        <v>111</v>
      </c>
      <c r="G3" s="27" t="s">
        <v>115</v>
      </c>
      <c r="H3" s="27" t="s">
        <v>112</v>
      </c>
      <c r="I3" s="27" t="s">
        <v>113</v>
      </c>
      <c r="J3" s="27" t="s">
        <v>114</v>
      </c>
    </row>
    <row r="4" spans="2:10" x14ac:dyDescent="0.3">
      <c r="B4" s="2" t="s">
        <v>102</v>
      </c>
      <c r="C4" s="19" t="s">
        <v>38</v>
      </c>
      <c r="D4" s="17">
        <f>F4/365</f>
        <v>3</v>
      </c>
      <c r="E4" s="17">
        <f>F4/12</f>
        <v>91.25</v>
      </c>
      <c r="F4" s="19">
        <v>1095</v>
      </c>
      <c r="G4" s="18">
        <v>35</v>
      </c>
      <c r="H4" s="2">
        <f>$G4*D4</f>
        <v>105</v>
      </c>
      <c r="I4" s="2">
        <f>$G4*E4</f>
        <v>3193.75</v>
      </c>
      <c r="J4" s="2">
        <f>$G4*F4</f>
        <v>38325</v>
      </c>
    </row>
    <row r="5" spans="2:10" x14ac:dyDescent="0.3">
      <c r="B5" s="2" t="s">
        <v>103</v>
      </c>
      <c r="C5" s="19" t="s">
        <v>40</v>
      </c>
      <c r="D5" s="17">
        <f t="shared" ref="D5:D9" si="0">F5/365</f>
        <v>2.7397260273972603E-3</v>
      </c>
      <c r="E5" s="17">
        <f t="shared" ref="E5:E9" si="1">F5/12</f>
        <v>8.3333333333333329E-2</v>
      </c>
      <c r="F5" s="19">
        <v>1</v>
      </c>
      <c r="G5" s="18">
        <v>8500</v>
      </c>
      <c r="H5" s="2">
        <f>$G5*D5</f>
        <v>23.287671232876711</v>
      </c>
      <c r="I5" s="2">
        <f t="shared" ref="I5:I9" si="2">$G5*E5</f>
        <v>708.33333333333326</v>
      </c>
      <c r="J5" s="2">
        <f t="shared" ref="J5:J9" si="3">$G5*F5</f>
        <v>8500</v>
      </c>
    </row>
    <row r="6" spans="2:10" x14ac:dyDescent="0.3">
      <c r="B6" s="2" t="s">
        <v>104</v>
      </c>
      <c r="C6" s="19" t="s">
        <v>41</v>
      </c>
      <c r="D6" s="17">
        <f t="shared" si="0"/>
        <v>5.4794520547945202E-2</v>
      </c>
      <c r="E6" s="17">
        <f t="shared" si="1"/>
        <v>1.6666666666666667</v>
      </c>
      <c r="F6" s="19">
        <v>20</v>
      </c>
      <c r="G6" s="18">
        <v>3500</v>
      </c>
      <c r="H6" s="2">
        <f>$G6*D6</f>
        <v>191.7808219178082</v>
      </c>
      <c r="I6" s="2">
        <f t="shared" si="2"/>
        <v>5833.3333333333339</v>
      </c>
      <c r="J6" s="2">
        <f t="shared" si="3"/>
        <v>70000</v>
      </c>
    </row>
    <row r="7" spans="2:10" x14ac:dyDescent="0.3">
      <c r="B7" s="2" t="s">
        <v>105</v>
      </c>
      <c r="C7" s="19" t="s">
        <v>39</v>
      </c>
      <c r="D7" s="17">
        <f t="shared" si="0"/>
        <v>1</v>
      </c>
      <c r="E7" s="17">
        <f t="shared" si="1"/>
        <v>30.416666666666668</v>
      </c>
      <c r="F7" s="19">
        <v>365</v>
      </c>
      <c r="G7" s="18">
        <v>100</v>
      </c>
      <c r="H7" s="2">
        <f>$G7*D7</f>
        <v>100</v>
      </c>
      <c r="I7" s="2">
        <f t="shared" si="2"/>
        <v>3041.666666666667</v>
      </c>
      <c r="J7" s="2">
        <f t="shared" si="3"/>
        <v>36500</v>
      </c>
    </row>
    <row r="8" spans="2:10" x14ac:dyDescent="0.3">
      <c r="B8" s="2" t="s">
        <v>106</v>
      </c>
      <c r="C8" s="19" t="s">
        <v>45</v>
      </c>
      <c r="D8" s="17">
        <f t="shared" si="0"/>
        <v>5.4794520547945202E-2</v>
      </c>
      <c r="E8" s="17">
        <f t="shared" si="1"/>
        <v>1.6666666666666667</v>
      </c>
      <c r="F8" s="19">
        <v>20</v>
      </c>
      <c r="G8" s="18">
        <v>800</v>
      </c>
      <c r="H8" s="2">
        <f>$G8*D8</f>
        <v>43.835616438356162</v>
      </c>
      <c r="I8" s="2">
        <f t="shared" si="2"/>
        <v>1333.3333333333335</v>
      </c>
      <c r="J8" s="2">
        <f t="shared" si="3"/>
        <v>16000</v>
      </c>
    </row>
    <row r="9" spans="2:10" x14ac:dyDescent="0.3">
      <c r="B9" s="2" t="s">
        <v>107</v>
      </c>
      <c r="C9" s="19" t="s">
        <v>49</v>
      </c>
      <c r="D9" s="17">
        <f t="shared" si="0"/>
        <v>2</v>
      </c>
      <c r="E9" s="17">
        <f t="shared" si="1"/>
        <v>60.833333333333336</v>
      </c>
      <c r="F9" s="19">
        <v>730</v>
      </c>
      <c r="G9" s="18">
        <v>100</v>
      </c>
      <c r="H9" s="2">
        <f>$G9*D9</f>
        <v>200</v>
      </c>
      <c r="I9" s="2">
        <f t="shared" si="2"/>
        <v>6083.3333333333339</v>
      </c>
      <c r="J9" s="2">
        <f t="shared" si="3"/>
        <v>73000</v>
      </c>
    </row>
    <row r="10" spans="2:10" x14ac:dyDescent="0.3">
      <c r="B10" s="2"/>
      <c r="C10" s="2"/>
      <c r="D10" s="2"/>
      <c r="E10" s="2"/>
      <c r="F10" s="2"/>
      <c r="G10" s="2" t="s">
        <v>61</v>
      </c>
      <c r="H10" s="2">
        <f>SUM(H4:H9)</f>
        <v>663.90410958904113</v>
      </c>
      <c r="I10" s="2">
        <f>SUM(I4:I9)</f>
        <v>20193.750000000004</v>
      </c>
      <c r="J10" s="4">
        <f>SUM(J4:J9)</f>
        <v>242325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8"/>
  <sheetViews>
    <sheetView zoomScale="130" zoomScaleNormal="130" workbookViewId="0">
      <selection activeCell="D12" sqref="D12"/>
    </sheetView>
  </sheetViews>
  <sheetFormatPr baseColWidth="10" defaultRowHeight="14.4" x14ac:dyDescent="0.3"/>
  <cols>
    <col min="2" max="2" width="24.109375" bestFit="1" customWidth="1"/>
    <col min="3" max="3" width="30.5546875" bestFit="1" customWidth="1"/>
    <col min="4" max="4" width="8.109375" bestFit="1" customWidth="1"/>
    <col min="5" max="5" width="16.6640625" bestFit="1" customWidth="1"/>
    <col min="6" max="6" width="10.33203125" bestFit="1" customWidth="1"/>
    <col min="7" max="7" width="11" bestFit="1" customWidth="1"/>
  </cols>
  <sheetData>
    <row r="2" spans="2:7" x14ac:dyDescent="0.3">
      <c r="B2" s="5" t="s">
        <v>80</v>
      </c>
      <c r="C2" s="5"/>
      <c r="D2" s="5"/>
      <c r="E2" s="5"/>
      <c r="F2" s="5"/>
      <c r="G2" s="5"/>
    </row>
    <row r="3" spans="2:7" x14ac:dyDescent="0.3">
      <c r="B3" s="5"/>
      <c r="C3" s="5"/>
      <c r="D3" s="5"/>
      <c r="E3" s="5"/>
      <c r="F3" s="5"/>
      <c r="G3" s="5"/>
    </row>
    <row r="4" spans="2:7" x14ac:dyDescent="0.3">
      <c r="B4" s="5" t="s">
        <v>81</v>
      </c>
      <c r="C4" s="5"/>
      <c r="D4" s="5"/>
      <c r="E4" s="5"/>
      <c r="F4" s="5"/>
      <c r="G4" s="5"/>
    </row>
    <row r="5" spans="2:7" x14ac:dyDescent="0.3">
      <c r="B5" s="6" t="s">
        <v>7</v>
      </c>
      <c r="C5" s="6" t="s">
        <v>83</v>
      </c>
      <c r="D5" s="6" t="s">
        <v>18</v>
      </c>
      <c r="E5" s="6" t="s">
        <v>59</v>
      </c>
      <c r="F5" s="6" t="s">
        <v>20</v>
      </c>
      <c r="G5" s="6" t="s">
        <v>84</v>
      </c>
    </row>
    <row r="6" spans="2:7" x14ac:dyDescent="0.3">
      <c r="B6" s="2" t="s">
        <v>82</v>
      </c>
      <c r="C6" s="19" t="s">
        <v>85</v>
      </c>
      <c r="D6" s="19" t="s">
        <v>18</v>
      </c>
      <c r="E6" s="19">
        <v>1000</v>
      </c>
      <c r="F6" s="19">
        <v>5</v>
      </c>
      <c r="G6" s="2">
        <f>E6*F6</f>
        <v>5000</v>
      </c>
    </row>
    <row r="7" spans="2:7" x14ac:dyDescent="0.3">
      <c r="B7" s="2" t="s">
        <v>86</v>
      </c>
      <c r="C7" s="19" t="s">
        <v>87</v>
      </c>
      <c r="D7" s="19" t="s">
        <v>18</v>
      </c>
      <c r="E7" s="19">
        <v>800</v>
      </c>
      <c r="F7" s="19">
        <v>5</v>
      </c>
      <c r="G7" s="2">
        <f>E7*F7</f>
        <v>4000</v>
      </c>
    </row>
    <row r="8" spans="2:7" x14ac:dyDescent="0.3">
      <c r="B8" s="2" t="s">
        <v>89</v>
      </c>
      <c r="C8" s="19" t="s">
        <v>88</v>
      </c>
      <c r="D8" s="19" t="s">
        <v>18</v>
      </c>
      <c r="E8" s="19">
        <v>7500</v>
      </c>
      <c r="F8" s="19">
        <v>5</v>
      </c>
      <c r="G8" s="2">
        <f>E8*F8</f>
        <v>37500</v>
      </c>
    </row>
    <row r="9" spans="2:7" x14ac:dyDescent="0.3">
      <c r="B9" s="2" t="s">
        <v>90</v>
      </c>
      <c r="C9" s="19" t="s">
        <v>92</v>
      </c>
      <c r="D9" s="19" t="s">
        <v>18</v>
      </c>
      <c r="E9" s="19">
        <v>7500</v>
      </c>
      <c r="F9" s="19">
        <v>1</v>
      </c>
      <c r="G9" s="2">
        <f t="shared" ref="G9:G12" si="0">E9*F9</f>
        <v>7500</v>
      </c>
    </row>
    <row r="10" spans="2:7" x14ac:dyDescent="0.3">
      <c r="B10" s="2" t="s">
        <v>95</v>
      </c>
      <c r="C10" s="19" t="s">
        <v>94</v>
      </c>
      <c r="D10" s="19" t="s">
        <v>18</v>
      </c>
      <c r="E10" s="19">
        <v>1000</v>
      </c>
      <c r="F10" s="19">
        <v>1</v>
      </c>
      <c r="G10" s="2">
        <f t="shared" si="0"/>
        <v>1000</v>
      </c>
    </row>
    <row r="11" spans="2:7" x14ac:dyDescent="0.3">
      <c r="B11" s="2" t="s">
        <v>96</v>
      </c>
      <c r="C11" s="19" t="s">
        <v>93</v>
      </c>
      <c r="D11" s="19" t="s">
        <v>18</v>
      </c>
      <c r="E11" s="19">
        <v>1500</v>
      </c>
      <c r="F11" s="19">
        <v>1</v>
      </c>
      <c r="G11" s="2">
        <f t="shared" si="0"/>
        <v>1500</v>
      </c>
    </row>
    <row r="12" spans="2:7" x14ac:dyDescent="0.3">
      <c r="B12" s="2" t="s">
        <v>97</v>
      </c>
      <c r="C12" s="19" t="s">
        <v>91</v>
      </c>
      <c r="D12" s="19" t="s">
        <v>58</v>
      </c>
      <c r="E12" s="19">
        <v>3000</v>
      </c>
      <c r="F12" s="19">
        <v>1</v>
      </c>
      <c r="G12" s="2">
        <f t="shared" si="0"/>
        <v>3000</v>
      </c>
    </row>
    <row r="13" spans="2:7" x14ac:dyDescent="0.3">
      <c r="B13" s="2"/>
      <c r="C13" s="2"/>
      <c r="D13" s="2"/>
      <c r="E13" s="2"/>
      <c r="F13" s="4" t="s">
        <v>61</v>
      </c>
      <c r="G13" s="4">
        <f>SUM(G6:G12)</f>
        <v>59500</v>
      </c>
    </row>
    <row r="15" spans="2:7" x14ac:dyDescent="0.3">
      <c r="B15" s="5" t="s">
        <v>98</v>
      </c>
      <c r="C15" s="5"/>
      <c r="D15" s="5"/>
      <c r="E15" s="5"/>
      <c r="F15" s="5"/>
      <c r="G15" s="5"/>
    </row>
    <row r="16" spans="2:7" x14ac:dyDescent="0.3">
      <c r="B16" s="6" t="s">
        <v>7</v>
      </c>
      <c r="C16" s="6" t="s">
        <v>8</v>
      </c>
      <c r="D16" s="6" t="s">
        <v>18</v>
      </c>
      <c r="E16" s="6" t="s">
        <v>59</v>
      </c>
      <c r="F16" s="6" t="s">
        <v>20</v>
      </c>
      <c r="G16" s="6" t="s">
        <v>84</v>
      </c>
    </row>
    <row r="17" spans="2:7" x14ac:dyDescent="0.3">
      <c r="B17" s="2" t="s">
        <v>99</v>
      </c>
      <c r="C17" s="19" t="s">
        <v>100</v>
      </c>
      <c r="D17" s="19" t="s">
        <v>58</v>
      </c>
      <c r="E17" s="19">
        <v>20000</v>
      </c>
      <c r="F17" s="19">
        <v>1</v>
      </c>
      <c r="G17" s="2">
        <f>E17*F17</f>
        <v>20000</v>
      </c>
    </row>
    <row r="18" spans="2:7" x14ac:dyDescent="0.3">
      <c r="B18" s="2"/>
      <c r="C18" s="2"/>
      <c r="D18" s="2"/>
      <c r="E18" s="2"/>
      <c r="F18" s="4" t="s">
        <v>61</v>
      </c>
      <c r="G18" s="4">
        <f>SUM(G17)</f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43"/>
  <sheetViews>
    <sheetView tabSelected="1" zoomScaleNormal="100" workbookViewId="0">
      <selection activeCell="C6" sqref="C6"/>
    </sheetView>
  </sheetViews>
  <sheetFormatPr baseColWidth="10" defaultRowHeight="14.4" x14ac:dyDescent="0.3"/>
  <cols>
    <col min="2" max="2" width="29" customWidth="1"/>
    <col min="3" max="3" width="17.33203125" bestFit="1" customWidth="1"/>
    <col min="4" max="4" width="13.109375" customWidth="1"/>
    <col min="6" max="6" width="11.88671875" bestFit="1" customWidth="1"/>
    <col min="8" max="8" width="15" bestFit="1" customWidth="1"/>
    <col min="10" max="10" width="27.5546875" bestFit="1" customWidth="1"/>
  </cols>
  <sheetData>
    <row r="2" spans="2:11" x14ac:dyDescent="0.3">
      <c r="B2" s="5" t="s">
        <v>0</v>
      </c>
      <c r="C2" s="4" t="s">
        <v>1</v>
      </c>
      <c r="D2" s="2">
        <v>6.96</v>
      </c>
      <c r="F2" s="4" t="s">
        <v>118</v>
      </c>
      <c r="G2" s="4">
        <v>2022</v>
      </c>
    </row>
    <row r="3" spans="2:11" x14ac:dyDescent="0.3">
      <c r="C3" s="4" t="s">
        <v>2</v>
      </c>
      <c r="D3" s="3">
        <v>0.12</v>
      </c>
    </row>
    <row r="5" spans="2:11" x14ac:dyDescent="0.3">
      <c r="B5" s="24" t="s">
        <v>3</v>
      </c>
      <c r="C5" s="24" t="s">
        <v>38</v>
      </c>
      <c r="D5" s="24" t="s">
        <v>40</v>
      </c>
      <c r="E5" s="24" t="s">
        <v>41</v>
      </c>
      <c r="F5" s="24" t="s">
        <v>39</v>
      </c>
      <c r="G5" s="24" t="s">
        <v>45</v>
      </c>
      <c r="H5" s="24" t="s">
        <v>49</v>
      </c>
    </row>
    <row r="6" spans="2:11" x14ac:dyDescent="0.3">
      <c r="B6" s="2" t="s">
        <v>4</v>
      </c>
      <c r="C6" s="2">
        <f>PRODUCCION!G4</f>
        <v>35</v>
      </c>
      <c r="D6" s="2">
        <f>PRODUCCION!G5</f>
        <v>8500</v>
      </c>
      <c r="E6" s="2">
        <f>PRODUCCION!G6</f>
        <v>3500</v>
      </c>
      <c r="F6" s="2">
        <f>PRODUCCION!G7</f>
        <v>100</v>
      </c>
      <c r="G6" s="2">
        <f>PRODUCCION!G8</f>
        <v>800</v>
      </c>
      <c r="H6" s="2">
        <f>PRODUCCION!G9</f>
        <v>100</v>
      </c>
    </row>
    <row r="7" spans="2:11" x14ac:dyDescent="0.3">
      <c r="B7" s="2" t="s">
        <v>5</v>
      </c>
      <c r="C7" s="8">
        <f>COSTOS!G13</f>
        <v>12.898173515981735</v>
      </c>
      <c r="D7" s="8">
        <f>COSTOS!G24</f>
        <v>931.5</v>
      </c>
      <c r="E7" s="8">
        <f>COSTOS!G35</f>
        <v>205</v>
      </c>
      <c r="F7" s="8">
        <f>COSTOS!G46</f>
        <v>1.4328767123287671</v>
      </c>
      <c r="G7" s="8">
        <f>COSTOS!G57</f>
        <v>10</v>
      </c>
      <c r="H7" s="8">
        <f>COSTOS!G68</f>
        <v>0</v>
      </c>
    </row>
    <row r="8" spans="2:11" x14ac:dyDescent="0.3">
      <c r="B8" s="4" t="s">
        <v>116</v>
      </c>
      <c r="C8" s="4">
        <v>0</v>
      </c>
      <c r="D8" s="4">
        <v>1</v>
      </c>
      <c r="E8" s="4">
        <v>2</v>
      </c>
      <c r="F8" s="4">
        <v>3</v>
      </c>
      <c r="G8" s="4">
        <v>4</v>
      </c>
      <c r="H8" s="4">
        <v>5</v>
      </c>
    </row>
    <row r="9" spans="2:11" x14ac:dyDescent="0.3">
      <c r="B9" s="4" t="s">
        <v>63</v>
      </c>
      <c r="C9" s="4">
        <f>G2</f>
        <v>2022</v>
      </c>
      <c r="D9" s="4">
        <f>G2+1</f>
        <v>2023</v>
      </c>
      <c r="E9" s="4">
        <f>G2+2</f>
        <v>2024</v>
      </c>
      <c r="F9" s="4">
        <f>G2+3</f>
        <v>2025</v>
      </c>
      <c r="G9" s="4">
        <f>G2+4</f>
        <v>2026</v>
      </c>
      <c r="H9" s="4">
        <f>G2+5</f>
        <v>2027</v>
      </c>
    </row>
    <row r="11" spans="2:11" x14ac:dyDescent="0.3">
      <c r="B11" s="24" t="s">
        <v>117</v>
      </c>
      <c r="C11" s="2">
        <v>0</v>
      </c>
      <c r="D11" s="2">
        <f>PRODUCCION!J10</f>
        <v>242325</v>
      </c>
      <c r="E11" s="2">
        <f>D11+(D11*K11)</f>
        <v>254441.25</v>
      </c>
      <c r="F11" s="2">
        <f>E11+(E11*K11)</f>
        <v>267163.3125</v>
      </c>
      <c r="G11" s="2">
        <f>F11+(F11*K11)</f>
        <v>280521.47812500002</v>
      </c>
      <c r="H11" s="2">
        <f>G11+(G11*K11)</f>
        <v>294547.55203125003</v>
      </c>
      <c r="J11" s="24" t="s">
        <v>119</v>
      </c>
      <c r="K11" s="3">
        <v>0.05</v>
      </c>
    </row>
    <row r="12" spans="2:11" x14ac:dyDescent="0.3">
      <c r="J12" s="5"/>
    </row>
    <row r="13" spans="2:11" x14ac:dyDescent="0.3">
      <c r="B13" s="24" t="s">
        <v>120</v>
      </c>
      <c r="C13" s="4"/>
      <c r="D13" s="4">
        <f>SUM(D14:D15)</f>
        <v>203670</v>
      </c>
      <c r="E13" s="4">
        <f t="shared" ref="E13:H13" si="0">SUM(E14:E15)</f>
        <v>213257.16</v>
      </c>
      <c r="F13" s="4">
        <f t="shared" si="0"/>
        <v>223311.7512</v>
      </c>
      <c r="G13" s="4">
        <f t="shared" si="0"/>
        <v>233856.906624</v>
      </c>
      <c r="H13" s="4">
        <f t="shared" si="0"/>
        <v>244916.91117647997</v>
      </c>
      <c r="J13" s="5"/>
    </row>
    <row r="14" spans="2:11" x14ac:dyDescent="0.3">
      <c r="B14" s="4" t="s">
        <v>101</v>
      </c>
      <c r="C14" s="2">
        <v>0</v>
      </c>
      <c r="D14" s="2">
        <f>COSTOS!L68</f>
        <v>19878</v>
      </c>
      <c r="E14" s="2">
        <f>D14+(D14*K14)</f>
        <v>20275.560000000001</v>
      </c>
      <c r="F14" s="2">
        <f>E14+(E14*K14)</f>
        <v>20681.071200000002</v>
      </c>
      <c r="G14" s="2">
        <f>F14+(F14*K14)</f>
        <v>21094.692624000003</v>
      </c>
      <c r="H14" s="2">
        <f>G14+(G14*K14)</f>
        <v>21516.586476480003</v>
      </c>
      <c r="J14" s="24" t="s">
        <v>124</v>
      </c>
      <c r="K14" s="3">
        <v>0.02</v>
      </c>
    </row>
    <row r="15" spans="2:11" x14ac:dyDescent="0.3">
      <c r="B15" s="4" t="s">
        <v>121</v>
      </c>
      <c r="C15" s="2">
        <v>0</v>
      </c>
      <c r="D15" s="2">
        <f>COSTOS!I90</f>
        <v>183792</v>
      </c>
      <c r="E15" s="2">
        <f>D15+(D15*K15)</f>
        <v>192981.6</v>
      </c>
      <c r="F15" s="2">
        <f>E15+(E15*K15)</f>
        <v>202630.68</v>
      </c>
      <c r="G15" s="2">
        <f>F15+(F15*K15)</f>
        <v>212762.21399999998</v>
      </c>
      <c r="H15" s="2">
        <f>G15+(G15*K15)</f>
        <v>223400.32469999997</v>
      </c>
      <c r="J15" s="24" t="s">
        <v>125</v>
      </c>
      <c r="K15" s="3">
        <v>0.05</v>
      </c>
    </row>
    <row r="16" spans="2:11" x14ac:dyDescent="0.3">
      <c r="J16" s="5"/>
    </row>
    <row r="17" spans="2:11" x14ac:dyDescent="0.3">
      <c r="B17" s="24" t="s">
        <v>126</v>
      </c>
      <c r="C17" s="4">
        <v>0</v>
      </c>
      <c r="D17" s="4">
        <f>D11-D13</f>
        <v>38655</v>
      </c>
      <c r="E17" s="4">
        <f t="shared" ref="E17:H17" si="1">E11-E13</f>
        <v>41184.089999999997</v>
      </c>
      <c r="F17" s="4">
        <f t="shared" si="1"/>
        <v>43851.561300000001</v>
      </c>
      <c r="G17" s="4">
        <f t="shared" si="1"/>
        <v>46664.571501000028</v>
      </c>
      <c r="H17" s="4">
        <f t="shared" si="1"/>
        <v>49630.640854770056</v>
      </c>
      <c r="J17" s="5"/>
    </row>
    <row r="18" spans="2:11" x14ac:dyDescent="0.3">
      <c r="B18" s="4" t="s">
        <v>127</v>
      </c>
      <c r="C18" s="2">
        <v>0</v>
      </c>
      <c r="D18" s="2">
        <f>D17*$K$18</f>
        <v>6184.8</v>
      </c>
      <c r="E18" s="2">
        <f t="shared" ref="E18:H18" si="2">E17*$K$18</f>
        <v>6589.4543999999996</v>
      </c>
      <c r="F18" s="2">
        <f t="shared" si="2"/>
        <v>7016.2498080000005</v>
      </c>
      <c r="G18" s="2">
        <f t="shared" si="2"/>
        <v>7466.3314401600046</v>
      </c>
      <c r="H18" s="2">
        <f t="shared" si="2"/>
        <v>7940.9025367632094</v>
      </c>
      <c r="J18" s="24" t="s">
        <v>127</v>
      </c>
      <c r="K18" s="3">
        <v>0.16</v>
      </c>
    </row>
    <row r="19" spans="2:11" x14ac:dyDescent="0.3">
      <c r="B19" s="24" t="s">
        <v>129</v>
      </c>
      <c r="C19" s="2">
        <f>C17-C18</f>
        <v>0</v>
      </c>
      <c r="D19" s="4">
        <f t="shared" ref="D19:H19" si="3">D17-D18</f>
        <v>32470.2</v>
      </c>
      <c r="E19" s="4">
        <f t="shared" si="3"/>
        <v>34594.635599999994</v>
      </c>
      <c r="F19" s="4">
        <f t="shared" si="3"/>
        <v>36835.311492000001</v>
      </c>
      <c r="G19" s="4">
        <f t="shared" si="3"/>
        <v>39198.24006084002</v>
      </c>
      <c r="H19" s="4">
        <f t="shared" si="3"/>
        <v>41689.738318006843</v>
      </c>
      <c r="J19" s="5"/>
    </row>
    <row r="20" spans="2:11" x14ac:dyDescent="0.3">
      <c r="B20" s="4" t="s">
        <v>128</v>
      </c>
      <c r="C20" s="2">
        <f>C19*$K$20</f>
        <v>0</v>
      </c>
      <c r="D20" s="2">
        <f t="shared" ref="D20:H20" si="4">D19*$K$20</f>
        <v>8117.55</v>
      </c>
      <c r="E20" s="2">
        <f t="shared" si="4"/>
        <v>8648.6588999999985</v>
      </c>
      <c r="F20" s="2">
        <f t="shared" si="4"/>
        <v>9208.8278730000002</v>
      </c>
      <c r="G20" s="2">
        <f t="shared" si="4"/>
        <v>9799.5600152100051</v>
      </c>
      <c r="H20" s="2">
        <f t="shared" si="4"/>
        <v>10422.434579501711</v>
      </c>
      <c r="J20" s="24" t="s">
        <v>128</v>
      </c>
      <c r="K20" s="3">
        <v>0.25</v>
      </c>
    </row>
    <row r="21" spans="2:11" x14ac:dyDescent="0.3">
      <c r="B21" s="24" t="s">
        <v>130</v>
      </c>
      <c r="C21" s="2">
        <f>C19-C20</f>
        <v>0</v>
      </c>
      <c r="D21" s="4">
        <f t="shared" ref="D21:H21" si="5">D19-D20</f>
        <v>24352.65</v>
      </c>
      <c r="E21" s="4">
        <f t="shared" si="5"/>
        <v>25945.976699999996</v>
      </c>
      <c r="F21" s="4">
        <f t="shared" si="5"/>
        <v>27626.483618999999</v>
      </c>
      <c r="G21" s="4">
        <f t="shared" si="5"/>
        <v>29398.680045630015</v>
      </c>
      <c r="H21" s="4">
        <f t="shared" si="5"/>
        <v>31267.303738505132</v>
      </c>
    </row>
    <row r="23" spans="2:11" x14ac:dyDescent="0.3">
      <c r="B23" s="24" t="s">
        <v>80</v>
      </c>
      <c r="C23" s="4">
        <f>SUM(C24:C25)</f>
        <v>79500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2:11" x14ac:dyDescent="0.3">
      <c r="B24" s="4" t="s">
        <v>131</v>
      </c>
      <c r="C24" s="2">
        <f>INVERSIONES!G13</f>
        <v>59500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2:11" x14ac:dyDescent="0.3">
      <c r="B25" s="4" t="s">
        <v>98</v>
      </c>
      <c r="C25" s="2">
        <f>INVERSIONES!G18</f>
        <v>20000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7" spans="2:11" x14ac:dyDescent="0.3">
      <c r="B27" s="24" t="s">
        <v>132</v>
      </c>
      <c r="C27" s="4">
        <f>C21-C23</f>
        <v>-79500</v>
      </c>
      <c r="D27" s="4">
        <f t="shared" ref="D27:H27" si="6">D21-D23</f>
        <v>24352.65</v>
      </c>
      <c r="E27" s="4">
        <f t="shared" si="6"/>
        <v>25945.976699999996</v>
      </c>
      <c r="F27" s="4">
        <f t="shared" si="6"/>
        <v>27626.483618999999</v>
      </c>
      <c r="G27" s="4">
        <f t="shared" si="6"/>
        <v>29398.680045630015</v>
      </c>
      <c r="H27" s="4">
        <f t="shared" si="6"/>
        <v>31267.303738505132</v>
      </c>
    </row>
    <row r="29" spans="2:11" x14ac:dyDescent="0.3">
      <c r="B29" s="24" t="s">
        <v>133</v>
      </c>
      <c r="C29" s="25">
        <f>NPV(D3,D27:H27)+C27</f>
        <v>19016.697126241983</v>
      </c>
      <c r="D29" s="1"/>
    </row>
    <row r="30" spans="2:11" x14ac:dyDescent="0.3">
      <c r="B30" s="24" t="s">
        <v>134</v>
      </c>
      <c r="C30" s="3">
        <f>IRR(C27:H27,D3)</f>
        <v>0.20840040150461814</v>
      </c>
    </row>
    <row r="32" spans="2:11" ht="15.6" x14ac:dyDescent="0.3">
      <c r="D32" s="21" t="s">
        <v>135</v>
      </c>
      <c r="E32" s="22" t="s">
        <v>136</v>
      </c>
      <c r="F32" s="22"/>
      <c r="G32" s="22"/>
      <c r="H32" s="22"/>
      <c r="I32" s="23"/>
    </row>
    <row r="33" spans="4:9" ht="15.6" x14ac:dyDescent="0.3">
      <c r="D33" s="22"/>
      <c r="E33" s="22" t="s">
        <v>137</v>
      </c>
      <c r="F33" s="22"/>
      <c r="G33" s="22"/>
      <c r="H33" s="22"/>
      <c r="I33" s="23"/>
    </row>
    <row r="34" spans="4:9" ht="15.6" x14ac:dyDescent="0.3">
      <c r="D34" s="22"/>
      <c r="E34" s="22" t="s">
        <v>138</v>
      </c>
      <c r="F34" s="22"/>
      <c r="G34" s="22"/>
      <c r="H34" s="22"/>
      <c r="I34" s="23"/>
    </row>
    <row r="35" spans="4:9" ht="15.6" x14ac:dyDescent="0.3">
      <c r="D35" s="22"/>
      <c r="E35" s="22" t="s">
        <v>139</v>
      </c>
      <c r="F35" s="22"/>
      <c r="G35" s="22"/>
      <c r="H35" s="22"/>
      <c r="I35" s="23"/>
    </row>
    <row r="36" spans="4:9" ht="15.6" x14ac:dyDescent="0.3">
      <c r="D36" s="22"/>
      <c r="E36" s="22" t="s">
        <v>147</v>
      </c>
      <c r="F36" s="22"/>
      <c r="G36" s="22"/>
      <c r="H36" s="22"/>
      <c r="I36" s="23"/>
    </row>
    <row r="37" spans="4:9" ht="15.6" x14ac:dyDescent="0.3">
      <c r="D37" s="22"/>
      <c r="E37" s="22"/>
      <c r="F37" s="22"/>
      <c r="G37" s="22"/>
      <c r="H37" s="22"/>
      <c r="I37" s="23"/>
    </row>
    <row r="38" spans="4:9" ht="15.6" x14ac:dyDescent="0.3">
      <c r="D38" s="21" t="s">
        <v>140</v>
      </c>
      <c r="E38" s="22" t="s">
        <v>141</v>
      </c>
      <c r="F38" s="22"/>
      <c r="G38" s="22"/>
      <c r="H38" s="22"/>
      <c r="I38" s="23"/>
    </row>
    <row r="39" spans="4:9" ht="15.6" x14ac:dyDescent="0.3">
      <c r="D39" s="22"/>
      <c r="E39" s="22" t="s">
        <v>142</v>
      </c>
      <c r="F39" s="22"/>
      <c r="G39" s="22"/>
      <c r="H39" s="22"/>
      <c r="I39" s="23"/>
    </row>
    <row r="41" spans="4:9" ht="15.6" x14ac:dyDescent="0.3">
      <c r="E41" s="22" t="s">
        <v>144</v>
      </c>
    </row>
    <row r="43" spans="4:9" x14ac:dyDescent="0.3">
      <c r="D43" s="5" t="s">
        <v>145</v>
      </c>
      <c r="F43" t="s">
        <v>146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COSTOS</vt:lpstr>
      <vt:lpstr>PRODUCCION</vt:lpstr>
      <vt:lpstr>INVERSIONES</vt:lpstr>
      <vt:lpstr>EVALUACION FINANCIERA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NUBE</dc:creator>
  <cp:lastModifiedBy>LENOVO YOGA</cp:lastModifiedBy>
  <dcterms:created xsi:type="dcterms:W3CDTF">2021-08-27T13:20:23Z</dcterms:created>
  <dcterms:modified xsi:type="dcterms:W3CDTF">2022-09-12T00:04:53Z</dcterms:modified>
</cp:coreProperties>
</file>