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0db70b3502532873/Desktop/MITB/Spreadsheets Modeling for Decision Making/assignment/IS602 Project assignment/group assignment/"/>
    </mc:Choice>
  </mc:AlternateContent>
  <xr:revisionPtr revIDLastSave="2" documentId="13_ncr:1_{20D6779B-84E0-4D2E-9FF3-B5DEA99EF1F7}" xr6:coauthVersionLast="47" xr6:coauthVersionMax="47" xr10:uidLastSave="{522736F2-0107-41B6-90F4-FD488F5335DB}"/>
  <bookViews>
    <workbookView xWindow="28680" yWindow="-120" windowWidth="29040" windowHeight="15720" firstSheet="1" activeTab="6" xr2:uid="{00000000-000D-0000-FFFF-FFFF00000000}"/>
  </bookViews>
  <sheets>
    <sheet name="Cover page" sheetId="11" r:id="rId1"/>
    <sheet name="Competitor model" sheetId="1" r:id="rId2"/>
    <sheet name="Customer model" sheetId="2" r:id="rId3"/>
    <sheet name="Forecast for Health-conscious" sheetId="12" r:id="rId4"/>
    <sheet name="Forecast for Indulgent" sheetId="13" r:id="rId5"/>
    <sheet name="Price model" sheetId="6" r:id="rId6"/>
    <sheet name="Financial P&amp;L model" sheetId="7" r:id="rId7"/>
  </sheets>
  <externalReferences>
    <externalReference r:id="rId8"/>
  </externalReferences>
  <definedNames>
    <definedName name="solver_adj" localSheetId="6" hidden="1">'Financial P&amp;L model'!$B$111</definedName>
    <definedName name="solver_adj" localSheetId="5" hidden="1">'Price model'!$C$171</definedName>
    <definedName name="solver_cvg" localSheetId="6" hidden="1">0.0001</definedName>
    <definedName name="solver_cvg" localSheetId="5" hidden="1">0.0001</definedName>
    <definedName name="solver_drv" localSheetId="6" hidden="1">1</definedName>
    <definedName name="solver_drv" localSheetId="5" hidden="1">1</definedName>
    <definedName name="solver_eng" localSheetId="6" hidden="1">1</definedName>
    <definedName name="solver_eng" localSheetId="5" hidden="1">1</definedName>
    <definedName name="solver_est" localSheetId="6" hidden="1">1</definedName>
    <definedName name="solver_est" localSheetId="5" hidden="1">1</definedName>
    <definedName name="solver_itr" localSheetId="6" hidden="1">2147483647</definedName>
    <definedName name="solver_itr" localSheetId="5" hidden="1">2147483647</definedName>
    <definedName name="solver_mip" localSheetId="6" hidden="1">2147483647</definedName>
    <definedName name="solver_mip" localSheetId="5" hidden="1">2147483647</definedName>
    <definedName name="solver_mni" localSheetId="6" hidden="1">30</definedName>
    <definedName name="solver_mni" localSheetId="5" hidden="1">30</definedName>
    <definedName name="solver_mrt" localSheetId="6" hidden="1">0.075</definedName>
    <definedName name="solver_mrt" localSheetId="5" hidden="1">0.075</definedName>
    <definedName name="solver_msl" localSheetId="6" hidden="1">2</definedName>
    <definedName name="solver_msl" localSheetId="5" hidden="1">2</definedName>
    <definedName name="solver_neg" localSheetId="6" hidden="1">1</definedName>
    <definedName name="solver_neg" localSheetId="5" hidden="1">1</definedName>
    <definedName name="solver_nod" localSheetId="6" hidden="1">2147483647</definedName>
    <definedName name="solver_nod" localSheetId="5" hidden="1">2147483647</definedName>
    <definedName name="solver_num" localSheetId="6" hidden="1">0</definedName>
    <definedName name="solver_num" localSheetId="5" hidden="1">0</definedName>
    <definedName name="solver_nwt" localSheetId="6" hidden="1">1</definedName>
    <definedName name="solver_nwt" localSheetId="5" hidden="1">1</definedName>
    <definedName name="solver_opt" localSheetId="6" hidden="1">'Financial P&amp;L model'!$H$111</definedName>
    <definedName name="solver_opt" localSheetId="5" hidden="1">'Price model'!$I$171</definedName>
    <definedName name="solver_pre" localSheetId="6" hidden="1">0.000001</definedName>
    <definedName name="solver_pre" localSheetId="5" hidden="1">0.000001</definedName>
    <definedName name="solver_rbv" localSheetId="6" hidden="1">1</definedName>
    <definedName name="solver_rbv" localSheetId="5" hidden="1">1</definedName>
    <definedName name="solver_rlx" localSheetId="6" hidden="1">2</definedName>
    <definedName name="solver_rlx" localSheetId="5" hidden="1">2</definedName>
    <definedName name="solver_rsd" localSheetId="6" hidden="1">0</definedName>
    <definedName name="solver_rsd" localSheetId="5" hidden="1">0</definedName>
    <definedName name="solver_scl" localSheetId="6" hidden="1">1</definedName>
    <definedName name="solver_scl" localSheetId="5" hidden="1">1</definedName>
    <definedName name="solver_sho" localSheetId="6" hidden="1">2</definedName>
    <definedName name="solver_sho" localSheetId="5" hidden="1">2</definedName>
    <definedName name="solver_ssz" localSheetId="6" hidden="1">100</definedName>
    <definedName name="solver_ssz" localSheetId="5" hidden="1">100</definedName>
    <definedName name="solver_tim" localSheetId="6" hidden="1">2147483647</definedName>
    <definedName name="solver_tim" localSheetId="5" hidden="1">2147483647</definedName>
    <definedName name="solver_tol" localSheetId="6" hidden="1">0.01</definedName>
    <definedName name="solver_tol" localSheetId="5" hidden="1">0.01</definedName>
    <definedName name="solver_typ" localSheetId="6" hidden="1">1</definedName>
    <definedName name="solver_typ" localSheetId="5" hidden="1">3</definedName>
    <definedName name="solver_val" localSheetId="6" hidden="1">0</definedName>
    <definedName name="solver_val" localSheetId="5" hidden="1">0</definedName>
    <definedName name="solver_ver" localSheetId="6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" i="1" l="1"/>
  <c r="E160" i="6"/>
  <c r="E159" i="6"/>
  <c r="E158" i="6"/>
  <c r="E157" i="6"/>
  <c r="E156" i="6"/>
  <c r="E155" i="6"/>
  <c r="J150" i="6"/>
  <c r="J149" i="6"/>
  <c r="J148" i="6"/>
  <c r="J147" i="6"/>
  <c r="J146" i="6"/>
  <c r="J145" i="6"/>
  <c r="E146" i="6"/>
  <c r="E147" i="6"/>
  <c r="E148" i="6"/>
  <c r="E149" i="6"/>
  <c r="E150" i="6"/>
  <c r="E145" i="6"/>
  <c r="C53" i="7"/>
  <c r="C54" i="7"/>
  <c r="C55" i="7"/>
  <c r="C56" i="7"/>
  <c r="C57" i="7"/>
  <c r="C58" i="7"/>
  <c r="C59" i="7"/>
  <c r="C60" i="7"/>
  <c r="C61" i="7"/>
  <c r="C52" i="7"/>
  <c r="C20" i="7"/>
  <c r="D20" i="7"/>
  <c r="E20" i="7"/>
  <c r="F20" i="7"/>
  <c r="G20" i="7"/>
  <c r="C19" i="7"/>
  <c r="D19" i="7"/>
  <c r="E19" i="7"/>
  <c r="F19" i="7"/>
  <c r="G19" i="7"/>
  <c r="D171" i="6"/>
  <c r="D168" i="6"/>
  <c r="D165" i="6"/>
  <c r="F69" i="6"/>
  <c r="C69" i="6"/>
  <c r="F57" i="6"/>
  <c r="C57" i="6"/>
  <c r="F46" i="6"/>
  <c r="C46" i="6"/>
  <c r="H31" i="6"/>
  <c r="H30" i="6"/>
  <c r="H29" i="6"/>
  <c r="G31" i="6"/>
  <c r="G30" i="6"/>
  <c r="G29" i="6"/>
  <c r="F31" i="6"/>
  <c r="F30" i="6"/>
  <c r="F29" i="6"/>
  <c r="E31" i="6"/>
  <c r="E30" i="6"/>
  <c r="E29" i="6"/>
  <c r="D31" i="6"/>
  <c r="D30" i="6"/>
  <c r="D29" i="6"/>
  <c r="C31" i="6"/>
  <c r="C30" i="6"/>
  <c r="C29" i="6"/>
  <c r="C32" i="13"/>
  <c r="C36" i="12"/>
  <c r="C49" i="12"/>
  <c r="C40" i="13"/>
  <c r="C44" i="12"/>
  <c r="C37" i="13"/>
  <c r="C32" i="12"/>
  <c r="C28" i="12"/>
  <c r="C26" i="13"/>
  <c r="C48" i="13"/>
  <c r="C41" i="12"/>
  <c r="H14" i="7"/>
  <c r="C41" i="13"/>
  <c r="C37" i="12"/>
  <c r="C47" i="13"/>
  <c r="C34" i="13"/>
  <c r="C27" i="13"/>
  <c r="C39" i="12"/>
  <c r="C42" i="13"/>
  <c r="C33" i="13"/>
  <c r="C29" i="12"/>
  <c r="C35" i="12"/>
  <c r="C39" i="13"/>
  <c r="H16" i="7"/>
  <c r="C35" i="13"/>
  <c r="C49" i="13"/>
  <c r="C45" i="12"/>
  <c r="C38" i="13"/>
  <c r="C44" i="13"/>
  <c r="C29" i="13"/>
  <c r="C34" i="12"/>
  <c r="C31" i="13"/>
  <c r="H15" i="7"/>
  <c r="C43" i="13"/>
  <c r="C30" i="13"/>
  <c r="C38" i="12"/>
  <c r="C45" i="13"/>
  <c r="C40" i="12"/>
  <c r="C48" i="12"/>
  <c r="C33" i="12"/>
  <c r="C28" i="13"/>
  <c r="C46" i="12"/>
  <c r="C26" i="12"/>
  <c r="C42" i="12"/>
  <c r="C36" i="13"/>
  <c r="C46" i="13"/>
  <c r="C30" i="12"/>
  <c r="I14" i="7"/>
  <c r="C31" i="12"/>
  <c r="C47" i="12"/>
  <c r="C27" i="12"/>
  <c r="C43" i="12"/>
  <c r="I15" i="7"/>
  <c r="J15" i="7" s="1"/>
  <c r="K15" i="7"/>
  <c r="L15" i="7"/>
  <c r="J14" i="7"/>
  <c r="K14" i="7"/>
  <c r="L14" i="7"/>
  <c r="E151" i="6" l="1"/>
  <c r="F165" i="6" s="1"/>
  <c r="J151" i="6"/>
  <c r="F168" i="6" s="1"/>
  <c r="E161" i="6"/>
  <c r="F171" i="6" s="1"/>
  <c r="L20" i="7"/>
  <c r="K20" i="7"/>
  <c r="J20" i="7"/>
  <c r="I20" i="7"/>
  <c r="H20" i="7"/>
  <c r="H19" i="7"/>
  <c r="I16" i="7"/>
  <c r="D32" i="13"/>
  <c r="E33" i="13"/>
  <c r="D43" i="13"/>
  <c r="D30" i="12"/>
  <c r="D43" i="12"/>
  <c r="D34" i="12"/>
  <c r="D45" i="13"/>
  <c r="E42" i="13"/>
  <c r="E39" i="13"/>
  <c r="D37" i="12"/>
  <c r="E48" i="12"/>
  <c r="E39" i="12"/>
  <c r="D36" i="13"/>
  <c r="D30" i="13"/>
  <c r="D49" i="13"/>
  <c r="D36" i="12"/>
  <c r="E38" i="12"/>
  <c r="E41" i="12"/>
  <c r="D27" i="13"/>
  <c r="E48" i="13"/>
  <c r="E49" i="13"/>
  <c r="D27" i="12"/>
  <c r="E47" i="12"/>
  <c r="E30" i="13"/>
  <c r="D47" i="13"/>
  <c r="D46" i="12"/>
  <c r="D34" i="13"/>
  <c r="D28" i="13"/>
  <c r="D28" i="12"/>
  <c r="E43" i="12"/>
  <c r="D29" i="13"/>
  <c r="D42" i="12"/>
  <c r="D40" i="13"/>
  <c r="E34" i="12"/>
  <c r="E40" i="12"/>
  <c r="E47" i="13"/>
  <c r="E43" i="13"/>
  <c r="E40" i="13"/>
  <c r="E49" i="12"/>
  <c r="D40" i="12"/>
  <c r="D31" i="12"/>
  <c r="E31" i="13"/>
  <c r="D45" i="12"/>
  <c r="E35" i="13"/>
  <c r="D33" i="13"/>
  <c r="D47" i="12"/>
  <c r="E46" i="13"/>
  <c r="D29" i="12"/>
  <c r="E28" i="13"/>
  <c r="D31" i="13"/>
  <c r="E32" i="12"/>
  <c r="D44" i="12"/>
  <c r="E37" i="12"/>
  <c r="D33" i="12"/>
  <c r="D26" i="12"/>
  <c r="E34" i="13"/>
  <c r="D44" i="13"/>
  <c r="E27" i="12"/>
  <c r="D37" i="13"/>
  <c r="E29" i="13"/>
  <c r="E44" i="12"/>
  <c r="E35" i="12"/>
  <c r="D48" i="13"/>
  <c r="D26" i="13"/>
  <c r="E44" i="13"/>
  <c r="E30" i="12"/>
  <c r="E46" i="12"/>
  <c r="D35" i="12"/>
  <c r="E38" i="13"/>
  <c r="E26" i="13"/>
  <c r="E36" i="12"/>
  <c r="E31" i="12"/>
  <c r="E45" i="12"/>
  <c r="E33" i="12"/>
  <c r="E32" i="13"/>
  <c r="D42" i="13"/>
  <c r="E29" i="12"/>
  <c r="E45" i="13"/>
  <c r="D38" i="13"/>
  <c r="D35" i="13"/>
  <c r="E42" i="12"/>
  <c r="E28" i="12"/>
  <c r="E26" i="12"/>
  <c r="D39" i="12"/>
  <c r="D41" i="13"/>
  <c r="D39" i="13"/>
  <c r="D32" i="12"/>
  <c r="D38" i="12"/>
  <c r="D41" i="12"/>
  <c r="E41" i="13"/>
  <c r="D46" i="13"/>
  <c r="E36" i="13"/>
  <c r="E37" i="13"/>
  <c r="D49" i="12"/>
  <c r="D48" i="12"/>
  <c r="E27" i="13"/>
  <c r="J16" i="7"/>
  <c r="K16" i="7"/>
  <c r="K19" i="7" l="1"/>
  <c r="J19" i="7"/>
  <c r="I19" i="7"/>
  <c r="E43" i="6"/>
  <c r="D43" i="6" s="1"/>
  <c r="G43" i="6" s="1"/>
  <c r="F32" i="6"/>
  <c r="D32" i="6"/>
  <c r="E32" i="6"/>
  <c r="G32" i="6"/>
  <c r="H32" i="6"/>
  <c r="E68" i="6"/>
  <c r="D68" i="6" s="1"/>
  <c r="G68" i="6" s="1"/>
  <c r="H68" i="6" s="1"/>
  <c r="E67" i="6"/>
  <c r="D67" i="6" s="1"/>
  <c r="G67" i="6" s="1"/>
  <c r="E66" i="6"/>
  <c r="E65" i="6"/>
  <c r="D65" i="6" s="1"/>
  <c r="G65" i="6" s="1"/>
  <c r="H65" i="6" s="1"/>
  <c r="E64" i="6"/>
  <c r="D64" i="6" s="1"/>
  <c r="G64" i="6" s="1"/>
  <c r="E63" i="6"/>
  <c r="E56" i="6"/>
  <c r="D56" i="6" s="1"/>
  <c r="G56" i="6" s="1"/>
  <c r="H56" i="6" s="1"/>
  <c r="E55" i="6"/>
  <c r="E53" i="6"/>
  <c r="D53" i="6" s="1"/>
  <c r="G53" i="6" s="1"/>
  <c r="E52" i="6"/>
  <c r="E51" i="6"/>
  <c r="E45" i="6"/>
  <c r="D45" i="6" s="1"/>
  <c r="G45" i="6" s="1"/>
  <c r="E44" i="6"/>
  <c r="D44" i="6" s="1"/>
  <c r="G44" i="6" s="1"/>
  <c r="E42" i="6"/>
  <c r="D42" i="6" s="1"/>
  <c r="G42" i="6" s="1"/>
  <c r="E41" i="6"/>
  <c r="D41" i="6" s="1"/>
  <c r="G41" i="6" s="1"/>
  <c r="E40" i="6"/>
  <c r="H33" i="6"/>
  <c r="G33" i="6"/>
  <c r="F33" i="6"/>
  <c r="E33" i="6"/>
  <c r="D33" i="6"/>
  <c r="C33" i="6"/>
  <c r="C32" i="6"/>
  <c r="L84" i="7"/>
  <c r="J84" i="7"/>
  <c r="G84" i="7"/>
  <c r="D84" i="7"/>
  <c r="L83" i="7"/>
  <c r="J83" i="7"/>
  <c r="G83" i="7"/>
  <c r="D83" i="7"/>
  <c r="L82" i="7"/>
  <c r="J82" i="7"/>
  <c r="G82" i="7"/>
  <c r="D82" i="7"/>
  <c r="L81" i="7"/>
  <c r="J81" i="7"/>
  <c r="G81" i="7"/>
  <c r="D81" i="7"/>
  <c r="L80" i="7"/>
  <c r="J80" i="7"/>
  <c r="G80" i="7"/>
  <c r="D80" i="7"/>
  <c r="L79" i="7"/>
  <c r="J79" i="7"/>
  <c r="G79" i="7"/>
  <c r="D79" i="7"/>
  <c r="G73" i="7"/>
  <c r="F73" i="7"/>
  <c r="E73" i="7"/>
  <c r="D73" i="7"/>
  <c r="C73" i="7"/>
  <c r="B73" i="7"/>
  <c r="D61" i="7"/>
  <c r="E61" i="7" s="1"/>
  <c r="F61" i="7" s="1"/>
  <c r="D60" i="7"/>
  <c r="E60" i="7" s="1"/>
  <c r="F60" i="7" s="1"/>
  <c r="D59" i="7"/>
  <c r="E59" i="7" s="1"/>
  <c r="F59" i="7" s="1"/>
  <c r="D58" i="7"/>
  <c r="E58" i="7" s="1"/>
  <c r="F58" i="7" s="1"/>
  <c r="D57" i="7"/>
  <c r="E57" i="7" s="1"/>
  <c r="F57" i="7" s="1"/>
  <c r="D56" i="7"/>
  <c r="E56" i="7" s="1"/>
  <c r="F56" i="7" s="1"/>
  <c r="D55" i="7"/>
  <c r="E55" i="7" s="1"/>
  <c r="F55" i="7" s="1"/>
  <c r="D54" i="7"/>
  <c r="E54" i="7" s="1"/>
  <c r="F54" i="7" s="1"/>
  <c r="D53" i="7"/>
  <c r="E53" i="7" s="1"/>
  <c r="F53" i="7" s="1"/>
  <c r="D52" i="7"/>
  <c r="E52" i="7" s="1"/>
  <c r="F52" i="7" s="1"/>
  <c r="L16" i="7"/>
  <c r="L19" i="7" l="1"/>
  <c r="C34" i="6"/>
  <c r="D63" i="6"/>
  <c r="E69" i="6"/>
  <c r="C141" i="6"/>
  <c r="D40" i="6"/>
  <c r="E46" i="6"/>
  <c r="H34" i="6"/>
  <c r="G34" i="6"/>
  <c r="E34" i="6"/>
  <c r="D34" i="6"/>
  <c r="E57" i="6"/>
  <c r="F34" i="6"/>
  <c r="M79" i="7"/>
  <c r="N79" i="7" s="1"/>
  <c r="H53" i="6"/>
  <c r="D52" i="6"/>
  <c r="G52" i="6" s="1"/>
  <c r="H52" i="6" s="1"/>
  <c r="D51" i="6"/>
  <c r="H64" i="6"/>
  <c r="H67" i="6"/>
  <c r="D55" i="6"/>
  <c r="G55" i="6" s="1"/>
  <c r="H55" i="6" s="1"/>
  <c r="E54" i="6"/>
  <c r="D66" i="6"/>
  <c r="G66" i="6" s="1"/>
  <c r="H66" i="6" s="1"/>
  <c r="M80" i="7"/>
  <c r="N80" i="7" s="1"/>
  <c r="M81" i="7"/>
  <c r="N81" i="7" s="1"/>
  <c r="M82" i="7"/>
  <c r="N82" i="7" s="1"/>
  <c r="M83" i="7"/>
  <c r="N83" i="7" s="1"/>
  <c r="M84" i="7"/>
  <c r="N84" i="7" s="1"/>
  <c r="G53" i="7"/>
  <c r="G54" i="7"/>
  <c r="G55" i="7"/>
  <c r="G56" i="7"/>
  <c r="G57" i="7"/>
  <c r="G58" i="7"/>
  <c r="G59" i="7"/>
  <c r="G60" i="7"/>
  <c r="G61" i="7"/>
  <c r="G52" i="7"/>
  <c r="E165" i="6"/>
  <c r="G171" i="6"/>
  <c r="G168" i="6"/>
  <c r="F133" i="6"/>
  <c r="F134" i="6" s="1"/>
  <c r="F135" i="6" s="1"/>
  <c r="F136" i="6" s="1"/>
  <c r="F137" i="6" s="1"/>
  <c r="F126" i="6"/>
  <c r="F127" i="6" s="1"/>
  <c r="F128" i="6" s="1"/>
  <c r="F129" i="6" s="1"/>
  <c r="F130" i="6" s="1"/>
  <c r="F119" i="6"/>
  <c r="F120" i="6" s="1"/>
  <c r="F121" i="6" s="1"/>
  <c r="F122" i="6" s="1"/>
  <c r="F123" i="6" s="1"/>
  <c r="E171" i="6"/>
  <c r="E168" i="6"/>
  <c r="B19" i="7"/>
  <c r="H17" i="7"/>
  <c r="D17" i="7"/>
  <c r="C17" i="7"/>
  <c r="H18" i="7"/>
  <c r="E17" i="7"/>
  <c r="F17" i="7"/>
  <c r="G17" i="7"/>
  <c r="B20" i="7"/>
  <c r="C133" i="6"/>
  <c r="C126" i="6"/>
  <c r="C127" i="6" s="1"/>
  <c r="C128" i="6" s="1"/>
  <c r="C129" i="6" s="1"/>
  <c r="C130" i="6" s="1"/>
  <c r="D114" i="6"/>
  <c r="C114" i="6"/>
  <c r="D113" i="6"/>
  <c r="C113" i="6"/>
  <c r="D103" i="6"/>
  <c r="C103" i="6"/>
  <c r="D102" i="6"/>
  <c r="C102" i="6"/>
  <c r="D91" i="6"/>
  <c r="C91" i="6"/>
  <c r="C92" i="6"/>
  <c r="D92" i="6"/>
  <c r="I89" i="7" l="1"/>
  <c r="I88" i="7"/>
  <c r="G51" i="6"/>
  <c r="G40" i="6"/>
  <c r="G46" i="6" s="1"/>
  <c r="D46" i="6"/>
  <c r="H171" i="6"/>
  <c r="H168" i="6"/>
  <c r="H165" i="6"/>
  <c r="G63" i="6"/>
  <c r="D69" i="6"/>
  <c r="I18" i="7"/>
  <c r="I171" i="6"/>
  <c r="I168" i="6"/>
  <c r="D54" i="6"/>
  <c r="G54" i="6" s="1"/>
  <c r="H54" i="6" s="1"/>
  <c r="D133" i="6"/>
  <c r="E133" i="6" s="1"/>
  <c r="D134" i="6"/>
  <c r="G134" i="6" s="1"/>
  <c r="D135" i="6"/>
  <c r="G135" i="6" s="1"/>
  <c r="D136" i="6"/>
  <c r="G136" i="6" s="1"/>
  <c r="D137" i="6"/>
  <c r="G137" i="6" s="1"/>
  <c r="D128" i="6"/>
  <c r="G128" i="6" s="1"/>
  <c r="D129" i="6"/>
  <c r="G129" i="6" s="1"/>
  <c r="D130" i="6"/>
  <c r="G130" i="6" s="1"/>
  <c r="D126" i="6"/>
  <c r="G126" i="6" s="1"/>
  <c r="D127" i="6"/>
  <c r="G127" i="6" s="1"/>
  <c r="I17" i="7"/>
  <c r="C134" i="6"/>
  <c r="C135" i="6" s="1"/>
  <c r="C136" i="6" s="1"/>
  <c r="C137" i="6" s="1"/>
  <c r="D120" i="6"/>
  <c r="D121" i="6"/>
  <c r="D122" i="6"/>
  <c r="G165" i="6"/>
  <c r="D119" i="6"/>
  <c r="D123" i="6"/>
  <c r="I165" i="6" l="1"/>
  <c r="G69" i="6"/>
  <c r="H63" i="6"/>
  <c r="H69" i="6" s="1"/>
  <c r="D57" i="6"/>
  <c r="H51" i="6"/>
  <c r="H57" i="6" s="1"/>
  <c r="G57" i="6"/>
  <c r="J18" i="7"/>
  <c r="K18" i="7" s="1"/>
  <c r="J17" i="7"/>
  <c r="G133" i="6"/>
  <c r="H133" i="6" s="1"/>
  <c r="E128" i="6"/>
  <c r="H128" i="6" s="1"/>
  <c r="E126" i="6"/>
  <c r="H126" i="6" s="1"/>
  <c r="E134" i="6"/>
  <c r="H134" i="6" s="1"/>
  <c r="E135" i="6"/>
  <c r="H135" i="6" s="1"/>
  <c r="E137" i="6"/>
  <c r="H137" i="6" s="1"/>
  <c r="E136" i="6"/>
  <c r="H136" i="6" s="1"/>
  <c r="E127" i="6"/>
  <c r="H127" i="6" s="1"/>
  <c r="E130" i="6"/>
  <c r="H130" i="6" s="1"/>
  <c r="E129" i="6"/>
  <c r="H129" i="6" s="1"/>
  <c r="C119" i="6"/>
  <c r="C120" i="6" s="1"/>
  <c r="H41" i="6"/>
  <c r="H42" i="6"/>
  <c r="H43" i="6"/>
  <c r="H44" i="6"/>
  <c r="H45" i="6"/>
  <c r="H40" i="6"/>
  <c r="H46" i="6" s="1"/>
  <c r="N173" i="1"/>
  <c r="M173" i="1"/>
  <c r="L173" i="1"/>
  <c r="M164" i="1"/>
  <c r="M163" i="1"/>
  <c r="N150" i="1"/>
  <c r="N151" i="1"/>
  <c r="N152" i="1"/>
  <c r="N153" i="1"/>
  <c r="N154" i="1"/>
  <c r="N155" i="1"/>
  <c r="N156" i="1"/>
  <c r="N157" i="1"/>
  <c r="N158" i="1"/>
  <c r="N149" i="1"/>
  <c r="M159" i="1"/>
  <c r="L159" i="1"/>
  <c r="I173" i="1"/>
  <c r="H173" i="1"/>
  <c r="G173" i="1"/>
  <c r="H164" i="1"/>
  <c r="H163" i="1"/>
  <c r="H162" i="1"/>
  <c r="H150" i="1"/>
  <c r="H151" i="1"/>
  <c r="H152" i="1"/>
  <c r="H153" i="1"/>
  <c r="H154" i="1"/>
  <c r="H155" i="1"/>
  <c r="H156" i="1"/>
  <c r="H157" i="1"/>
  <c r="H158" i="1"/>
  <c r="H149" i="1"/>
  <c r="I159" i="1"/>
  <c r="G159" i="1"/>
  <c r="D173" i="1"/>
  <c r="C173" i="1"/>
  <c r="B173" i="1"/>
  <c r="C164" i="1"/>
  <c r="C163" i="1"/>
  <c r="C159" i="1"/>
  <c r="D159" i="1"/>
  <c r="B159" i="1"/>
  <c r="H159" i="1" l="1"/>
  <c r="L18" i="7"/>
  <c r="K17" i="7"/>
  <c r="G119" i="6"/>
  <c r="C121" i="6"/>
  <c r="E120" i="6"/>
  <c r="E119" i="6"/>
  <c r="G105" i="2"/>
  <c r="E105" i="2"/>
  <c r="D105" i="2"/>
  <c r="C105" i="2"/>
  <c r="B168" i="2" s="1"/>
  <c r="G104" i="2"/>
  <c r="E104" i="2"/>
  <c r="D104" i="2"/>
  <c r="C104" i="2"/>
  <c r="B167" i="2" s="1"/>
  <c r="G103" i="2"/>
  <c r="E103" i="2"/>
  <c r="D103" i="2"/>
  <c r="C103" i="2"/>
  <c r="B166" i="2" s="1"/>
  <c r="G102" i="2"/>
  <c r="E102" i="2"/>
  <c r="D102" i="2"/>
  <c r="C102" i="2"/>
  <c r="B165" i="2" s="1"/>
  <c r="G101" i="2"/>
  <c r="E101" i="2"/>
  <c r="D101" i="2"/>
  <c r="C101" i="2"/>
  <c r="B164" i="2" s="1"/>
  <c r="G100" i="2"/>
  <c r="E100" i="2"/>
  <c r="D100" i="2"/>
  <c r="C100" i="2"/>
  <c r="B163" i="2" s="1"/>
  <c r="G99" i="2"/>
  <c r="E99" i="2"/>
  <c r="D99" i="2"/>
  <c r="C99" i="2"/>
  <c r="B162" i="2" s="1"/>
  <c r="G98" i="2"/>
  <c r="E98" i="2"/>
  <c r="D98" i="2"/>
  <c r="C98" i="2"/>
  <c r="B161" i="2" s="1"/>
  <c r="G97" i="2"/>
  <c r="E97" i="2"/>
  <c r="D97" i="2"/>
  <c r="C97" i="2"/>
  <c r="B160" i="2" s="1"/>
  <c r="G96" i="2"/>
  <c r="E96" i="2"/>
  <c r="D96" i="2"/>
  <c r="C96" i="2"/>
  <c r="B159" i="2" s="1"/>
  <c r="G95" i="2"/>
  <c r="E95" i="2"/>
  <c r="D95" i="2"/>
  <c r="C95" i="2"/>
  <c r="B158" i="2" s="1"/>
  <c r="G94" i="2"/>
  <c r="E94" i="2"/>
  <c r="D94" i="2"/>
  <c r="C94" i="2"/>
  <c r="B157" i="2" s="1"/>
  <c r="G93" i="2"/>
  <c r="E93" i="2"/>
  <c r="D93" i="2"/>
  <c r="C93" i="2"/>
  <c r="B156" i="2" s="1"/>
  <c r="G92" i="2"/>
  <c r="E92" i="2"/>
  <c r="D92" i="2"/>
  <c r="C92" i="2"/>
  <c r="B155" i="2" s="1"/>
  <c r="G91" i="2"/>
  <c r="E91" i="2"/>
  <c r="D91" i="2"/>
  <c r="C91" i="2"/>
  <c r="B154" i="2" s="1"/>
  <c r="G90" i="2"/>
  <c r="E90" i="2"/>
  <c r="D90" i="2"/>
  <c r="C90" i="2"/>
  <c r="B153" i="2" s="1"/>
  <c r="G89" i="2"/>
  <c r="E89" i="2"/>
  <c r="D89" i="2"/>
  <c r="C89" i="2"/>
  <c r="B152" i="2" s="1"/>
  <c r="G88" i="2"/>
  <c r="E88" i="2"/>
  <c r="D88" i="2"/>
  <c r="C88" i="2"/>
  <c r="B151" i="2" s="1"/>
  <c r="G87" i="2"/>
  <c r="E87" i="2"/>
  <c r="D87" i="2"/>
  <c r="C87" i="2"/>
  <c r="B150" i="2" s="1"/>
  <c r="G86" i="2"/>
  <c r="E86" i="2"/>
  <c r="D86" i="2"/>
  <c r="C86" i="2"/>
  <c r="B149" i="2" s="1"/>
  <c r="G85" i="2"/>
  <c r="E85" i="2"/>
  <c r="D85" i="2"/>
  <c r="C85" i="2"/>
  <c r="B148" i="2" s="1"/>
  <c r="G84" i="2"/>
  <c r="E84" i="2"/>
  <c r="D84" i="2"/>
  <c r="C84" i="2"/>
  <c r="B147" i="2" s="1"/>
  <c r="G83" i="2"/>
  <c r="E83" i="2"/>
  <c r="D83" i="2"/>
  <c r="C83" i="2"/>
  <c r="B146" i="2" s="1"/>
  <c r="G82" i="2"/>
  <c r="E82" i="2"/>
  <c r="D82" i="2"/>
  <c r="C82" i="2"/>
  <c r="B145" i="2" s="1"/>
  <c r="G81" i="2"/>
  <c r="E81" i="2"/>
  <c r="D81" i="2"/>
  <c r="C81" i="2"/>
  <c r="C168" i="2" s="1"/>
  <c r="G80" i="2"/>
  <c r="E80" i="2"/>
  <c r="D80" i="2"/>
  <c r="C80" i="2"/>
  <c r="C167" i="2" s="1"/>
  <c r="G79" i="2"/>
  <c r="E79" i="2"/>
  <c r="D79" i="2"/>
  <c r="C79" i="2"/>
  <c r="C166" i="2" s="1"/>
  <c r="G78" i="2"/>
  <c r="E78" i="2"/>
  <c r="D78" i="2"/>
  <c r="C78" i="2"/>
  <c r="C165" i="2" s="1"/>
  <c r="G77" i="2"/>
  <c r="E77" i="2"/>
  <c r="D77" i="2"/>
  <c r="C77" i="2"/>
  <c r="C164" i="2" s="1"/>
  <c r="G76" i="2"/>
  <c r="E76" i="2"/>
  <c r="D76" i="2"/>
  <c r="C76" i="2"/>
  <c r="C163" i="2" s="1"/>
  <c r="G75" i="2"/>
  <c r="E75" i="2"/>
  <c r="D75" i="2"/>
  <c r="C75" i="2"/>
  <c r="C162" i="2" s="1"/>
  <c r="G74" i="2"/>
  <c r="E74" i="2"/>
  <c r="D74" i="2"/>
  <c r="C74" i="2"/>
  <c r="G73" i="2"/>
  <c r="E73" i="2"/>
  <c r="D73" i="2"/>
  <c r="C73" i="2"/>
  <c r="C160" i="2" s="1"/>
  <c r="G72" i="2"/>
  <c r="E72" i="2"/>
  <c r="D72" i="2"/>
  <c r="C72" i="2"/>
  <c r="C159" i="2" s="1"/>
  <c r="G71" i="2"/>
  <c r="E71" i="2"/>
  <c r="D71" i="2"/>
  <c r="C71" i="2"/>
  <c r="C158" i="2" s="1"/>
  <c r="G70" i="2"/>
  <c r="E70" i="2"/>
  <c r="D70" i="2"/>
  <c r="C70" i="2"/>
  <c r="C157" i="2" s="1"/>
  <c r="G69" i="2"/>
  <c r="E69" i="2"/>
  <c r="D69" i="2"/>
  <c r="C69" i="2"/>
  <c r="C156" i="2" s="1"/>
  <c r="G68" i="2"/>
  <c r="E68" i="2"/>
  <c r="D68" i="2"/>
  <c r="C68" i="2"/>
  <c r="C155" i="2" s="1"/>
  <c r="G67" i="2"/>
  <c r="E67" i="2"/>
  <c r="D67" i="2"/>
  <c r="C67" i="2"/>
  <c r="C154" i="2" s="1"/>
  <c r="G66" i="2"/>
  <c r="E66" i="2"/>
  <c r="D66" i="2"/>
  <c r="C66" i="2"/>
  <c r="C153" i="2" s="1"/>
  <c r="G65" i="2"/>
  <c r="E65" i="2"/>
  <c r="D65" i="2"/>
  <c r="C65" i="2"/>
  <c r="C152" i="2" s="1"/>
  <c r="G64" i="2"/>
  <c r="E64" i="2"/>
  <c r="D64" i="2"/>
  <c r="C64" i="2"/>
  <c r="C151" i="2" s="1"/>
  <c r="G63" i="2"/>
  <c r="E63" i="2"/>
  <c r="D63" i="2"/>
  <c r="C63" i="2"/>
  <c r="C150" i="2" s="1"/>
  <c r="G62" i="2"/>
  <c r="E62" i="2"/>
  <c r="D62" i="2"/>
  <c r="C62" i="2"/>
  <c r="C149" i="2" s="1"/>
  <c r="G61" i="2"/>
  <c r="E61" i="2"/>
  <c r="D61" i="2"/>
  <c r="C61" i="2"/>
  <c r="C148" i="2" s="1"/>
  <c r="G60" i="2"/>
  <c r="E60" i="2"/>
  <c r="D60" i="2"/>
  <c r="C60" i="2"/>
  <c r="C147" i="2" s="1"/>
  <c r="G59" i="2"/>
  <c r="E59" i="2"/>
  <c r="D59" i="2"/>
  <c r="C59" i="2"/>
  <c r="C146" i="2" s="1"/>
  <c r="G58" i="2"/>
  <c r="E58" i="2"/>
  <c r="D58" i="2"/>
  <c r="C58" i="2"/>
  <c r="C145" i="2" s="1"/>
  <c r="L17" i="7" l="1"/>
  <c r="F59" i="2"/>
  <c r="B113" i="2" s="1"/>
  <c r="H74" i="2"/>
  <c r="D128" i="2" s="1"/>
  <c r="C161" i="2"/>
  <c r="H119" i="6"/>
  <c r="G120" i="6"/>
  <c r="H120" i="6" s="1"/>
  <c r="C122" i="6"/>
  <c r="E121" i="6"/>
  <c r="F67" i="2"/>
  <c r="B121" i="2" s="1"/>
  <c r="F77" i="2"/>
  <c r="B131" i="2" s="1"/>
  <c r="F93" i="2"/>
  <c r="C123" i="2" s="1"/>
  <c r="F82" i="2"/>
  <c r="C112" i="2" s="1"/>
  <c r="F98" i="2"/>
  <c r="C128" i="2" s="1"/>
  <c r="H102" i="2"/>
  <c r="E132" i="2" s="1"/>
  <c r="F75" i="2"/>
  <c r="B129" i="2" s="1"/>
  <c r="H87" i="2"/>
  <c r="E117" i="2" s="1"/>
  <c r="F91" i="2"/>
  <c r="C121" i="2" s="1"/>
  <c r="H103" i="2"/>
  <c r="E133" i="2" s="1"/>
  <c r="F99" i="2"/>
  <c r="C129" i="2" s="1"/>
  <c r="H67" i="2"/>
  <c r="D121" i="2" s="1"/>
  <c r="H79" i="2"/>
  <c r="D133" i="2" s="1"/>
  <c r="H95" i="2"/>
  <c r="E125" i="2" s="1"/>
  <c r="H70" i="2"/>
  <c r="D124" i="2" s="1"/>
  <c r="F83" i="2"/>
  <c r="C113" i="2" s="1"/>
  <c r="F60" i="2"/>
  <c r="B114" i="2" s="1"/>
  <c r="F64" i="2"/>
  <c r="B118" i="2" s="1"/>
  <c r="H84" i="2"/>
  <c r="E114" i="2" s="1"/>
  <c r="F88" i="2"/>
  <c r="C118" i="2" s="1"/>
  <c r="H100" i="2"/>
  <c r="E130" i="2" s="1"/>
  <c r="F104" i="2"/>
  <c r="C134" i="2" s="1"/>
  <c r="F61" i="2"/>
  <c r="B115" i="2" s="1"/>
  <c r="H64" i="2"/>
  <c r="D118" i="2" s="1"/>
  <c r="H72" i="2"/>
  <c r="D126" i="2" s="1"/>
  <c r="H80" i="2"/>
  <c r="D134" i="2" s="1"/>
  <c r="H96" i="2"/>
  <c r="E126" i="2" s="1"/>
  <c r="H69" i="2"/>
  <c r="D123" i="2" s="1"/>
  <c r="H73" i="2"/>
  <c r="D127" i="2" s="1"/>
  <c r="H81" i="2"/>
  <c r="D135" i="2" s="1"/>
  <c r="H85" i="2"/>
  <c r="E115" i="2" s="1"/>
  <c r="H105" i="2"/>
  <c r="E135" i="2" s="1"/>
  <c r="H58" i="2"/>
  <c r="D112" i="2" s="1"/>
  <c r="H61" i="2"/>
  <c r="D115" i="2" s="1"/>
  <c r="H76" i="2"/>
  <c r="D130" i="2" s="1"/>
  <c r="H65" i="2"/>
  <c r="D119" i="2" s="1"/>
  <c r="F69" i="2"/>
  <c r="B123" i="2" s="1"/>
  <c r="F76" i="2"/>
  <c r="B130" i="2" s="1"/>
  <c r="F80" i="2"/>
  <c r="B134" i="2" s="1"/>
  <c r="H83" i="2"/>
  <c r="E113" i="2" s="1"/>
  <c r="F95" i="2"/>
  <c r="C125" i="2" s="1"/>
  <c r="H62" i="2"/>
  <c r="D116" i="2" s="1"/>
  <c r="H66" i="2"/>
  <c r="D120" i="2" s="1"/>
  <c r="H77" i="2"/>
  <c r="D131" i="2" s="1"/>
  <c r="F84" i="2"/>
  <c r="C114" i="2" s="1"/>
  <c r="H91" i="2"/>
  <c r="E121" i="2" s="1"/>
  <c r="F66" i="2"/>
  <c r="B120" i="2" s="1"/>
  <c r="H92" i="2"/>
  <c r="E122" i="2" s="1"/>
  <c r="F96" i="2"/>
  <c r="C126" i="2" s="1"/>
  <c r="H99" i="2"/>
  <c r="E129" i="2" s="1"/>
  <c r="F85" i="2"/>
  <c r="C115" i="2" s="1"/>
  <c r="H88" i="2"/>
  <c r="E118" i="2" s="1"/>
  <c r="F92" i="2"/>
  <c r="C122" i="2" s="1"/>
  <c r="F58" i="2"/>
  <c r="B112" i="2" s="1"/>
  <c r="H89" i="2"/>
  <c r="E119" i="2" s="1"/>
  <c r="F100" i="2"/>
  <c r="C130" i="2" s="1"/>
  <c r="F63" i="2"/>
  <c r="B117" i="2" s="1"/>
  <c r="H78" i="2"/>
  <c r="D132" i="2" s="1"/>
  <c r="H82" i="2"/>
  <c r="E112" i="2" s="1"/>
  <c r="H93" i="2"/>
  <c r="E123" i="2" s="1"/>
  <c r="F74" i="2"/>
  <c r="B128" i="2" s="1"/>
  <c r="H59" i="2"/>
  <c r="D113" i="2" s="1"/>
  <c r="H63" i="2"/>
  <c r="D117" i="2" s="1"/>
  <c r="H71" i="2"/>
  <c r="D125" i="2" s="1"/>
  <c r="H97" i="2"/>
  <c r="E127" i="2" s="1"/>
  <c r="F101" i="2"/>
  <c r="C131" i="2" s="1"/>
  <c r="H104" i="2"/>
  <c r="E134" i="2" s="1"/>
  <c r="H86" i="2"/>
  <c r="E116" i="2" s="1"/>
  <c r="H90" i="2"/>
  <c r="E120" i="2" s="1"/>
  <c r="H101" i="2"/>
  <c r="E131" i="2" s="1"/>
  <c r="F79" i="2"/>
  <c r="B133" i="2" s="1"/>
  <c r="F90" i="2"/>
  <c r="C120" i="2" s="1"/>
  <c r="H94" i="2"/>
  <c r="E124" i="2" s="1"/>
  <c r="H98" i="2"/>
  <c r="E128" i="2" s="1"/>
  <c r="H60" i="2"/>
  <c r="D114" i="2" s="1"/>
  <c r="F68" i="2"/>
  <c r="B122" i="2" s="1"/>
  <c r="F72" i="2"/>
  <c r="B126" i="2" s="1"/>
  <c r="H75" i="2"/>
  <c r="D129" i="2" s="1"/>
  <c r="H68" i="2"/>
  <c r="D122" i="2" s="1"/>
  <c r="F71" i="2"/>
  <c r="B125" i="2" s="1"/>
  <c r="F87" i="2"/>
  <c r="C117" i="2" s="1"/>
  <c r="F103" i="2"/>
  <c r="C133" i="2" s="1"/>
  <c r="F94" i="2"/>
  <c r="C124" i="2" s="1"/>
  <c r="F70" i="2"/>
  <c r="B124" i="2" s="1"/>
  <c r="F78" i="2"/>
  <c r="B132" i="2" s="1"/>
  <c r="F62" i="2"/>
  <c r="B116" i="2" s="1"/>
  <c r="F86" i="2"/>
  <c r="C116" i="2" s="1"/>
  <c r="F102" i="2"/>
  <c r="C132" i="2" s="1"/>
  <c r="F65" i="2"/>
  <c r="B119" i="2" s="1"/>
  <c r="F73" i="2"/>
  <c r="B127" i="2" s="1"/>
  <c r="F81" i="2"/>
  <c r="B135" i="2" s="1"/>
  <c r="F89" i="2"/>
  <c r="C119" i="2" s="1"/>
  <c r="F97" i="2"/>
  <c r="C127" i="2" s="1"/>
  <c r="F105" i="2"/>
  <c r="C135" i="2" s="1"/>
  <c r="C139" i="1"/>
  <c r="B139" i="1"/>
  <c r="C138" i="1"/>
  <c r="B138" i="1"/>
  <c r="C137" i="1"/>
  <c r="B137" i="1"/>
  <c r="D134" i="1"/>
  <c r="C134" i="1"/>
  <c r="B134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6" i="1"/>
  <c r="G66" i="1"/>
  <c r="H65" i="1"/>
  <c r="G65" i="1"/>
  <c r="H64" i="1"/>
  <c r="G64" i="1"/>
  <c r="H63" i="1"/>
  <c r="G63" i="1"/>
  <c r="H62" i="1"/>
  <c r="H61" i="1"/>
  <c r="G61" i="1"/>
  <c r="H60" i="1"/>
  <c r="G60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G121" i="6" l="1"/>
  <c r="H121" i="6" s="1"/>
  <c r="C123" i="6"/>
  <c r="E123" i="6" s="1"/>
  <c r="E122" i="6"/>
  <c r="N159" i="1"/>
  <c r="I172" i="1"/>
  <c r="I174" i="1" s="1"/>
  <c r="N172" i="1"/>
  <c r="N174" i="1" s="1"/>
  <c r="M172" i="1"/>
  <c r="M174" i="1" s="1"/>
  <c r="L172" i="1"/>
  <c r="L174" i="1" s="1"/>
  <c r="B172" i="1"/>
  <c r="B174" i="1" s="1"/>
  <c r="C172" i="1"/>
  <c r="C174" i="1" s="1"/>
  <c r="D172" i="1"/>
  <c r="D174" i="1" s="1"/>
  <c r="G172" i="1"/>
  <c r="G174" i="1" s="1"/>
  <c r="H172" i="1"/>
  <c r="H174" i="1" s="1"/>
  <c r="G123" i="6" l="1"/>
  <c r="H123" i="6" s="1"/>
  <c r="G122" i="6"/>
  <c r="H122" i="6" s="1"/>
  <c r="B177" i="1"/>
  <c r="B178" i="1"/>
  <c r="B179" i="1" l="1"/>
  <c r="L177" i="1"/>
  <c r="G177" i="1"/>
  <c r="B227" i="1"/>
  <c r="B211" i="1"/>
  <c r="B195" i="1"/>
  <c r="B232" i="1"/>
  <c r="B216" i="1"/>
  <c r="B200" i="1"/>
  <c r="B223" i="1"/>
  <c r="B237" i="1"/>
  <c r="B221" i="1"/>
  <c r="B205" i="1"/>
  <c r="B189" i="1"/>
  <c r="B198" i="1"/>
  <c r="B212" i="1"/>
  <c r="B217" i="1"/>
  <c r="B226" i="1"/>
  <c r="B210" i="1"/>
  <c r="B194" i="1"/>
  <c r="B204" i="1"/>
  <c r="B201" i="1"/>
  <c r="B231" i="1"/>
  <c r="B215" i="1"/>
  <c r="B199" i="1"/>
  <c r="B220" i="1"/>
  <c r="B188" i="1"/>
  <c r="B230" i="1"/>
  <c r="B196" i="1"/>
  <c r="B236" i="1"/>
  <c r="B191" i="1"/>
  <c r="B225" i="1"/>
  <c r="B209" i="1"/>
  <c r="B193" i="1"/>
  <c r="B214" i="1"/>
  <c r="B218" i="1"/>
  <c r="B207" i="1"/>
  <c r="B206" i="1"/>
  <c r="B190" i="1"/>
  <c r="B235" i="1"/>
  <c r="B219" i="1"/>
  <c r="B203" i="1"/>
  <c r="B202" i="1"/>
  <c r="B222" i="1"/>
  <c r="B224" i="1"/>
  <c r="B208" i="1"/>
  <c r="B192" i="1"/>
  <c r="B228" i="1"/>
  <c r="B229" i="1"/>
  <c r="B213" i="1"/>
  <c r="B197" i="1"/>
  <c r="B234" i="1"/>
  <c r="B233" i="1"/>
  <c r="B182" i="1" l="1"/>
  <c r="B184" i="1"/>
  <c r="B183" i="1"/>
  <c r="G178" i="1"/>
  <c r="G196" i="1" s="1"/>
  <c r="G236" i="1"/>
  <c r="G220" i="1"/>
  <c r="G204" i="1"/>
  <c r="G188" i="1"/>
  <c r="G203" i="1"/>
  <c r="G207" i="1"/>
  <c r="G228" i="1"/>
  <c r="G190" i="1"/>
  <c r="G195" i="1"/>
  <c r="G198" i="1"/>
  <c r="G206" i="1"/>
  <c r="G235" i="1"/>
  <c r="G222" i="1"/>
  <c r="G224" i="1"/>
  <c r="G208" i="1"/>
  <c r="G192" i="1"/>
  <c r="G212" i="1"/>
  <c r="G201" i="1"/>
  <c r="G229" i="1"/>
  <c r="G213" i="1"/>
  <c r="G197" i="1"/>
  <c r="G234" i="1"/>
  <c r="L178" i="1"/>
  <c r="L203" i="1" s="1"/>
  <c r="L224" i="1"/>
  <c r="L208" i="1"/>
  <c r="L228" i="1"/>
  <c r="L222" i="1"/>
  <c r="L225" i="1"/>
  <c r="L219" i="1"/>
  <c r="G211" i="1" l="1"/>
  <c r="L213" i="1"/>
  <c r="L197" i="1"/>
  <c r="L195" i="1"/>
  <c r="L191" i="1"/>
  <c r="L218" i="1"/>
  <c r="L206" i="1"/>
  <c r="L201" i="1"/>
  <c r="L234" i="1"/>
  <c r="L229" i="1"/>
  <c r="L214" i="1"/>
  <c r="L215" i="1"/>
  <c r="L198" i="1"/>
  <c r="G191" i="1"/>
  <c r="G227" i="1"/>
  <c r="G226" i="1"/>
  <c r="L179" i="1"/>
  <c r="L237" i="1"/>
  <c r="L205" i="1"/>
  <c r="L189" i="1"/>
  <c r="L210" i="1"/>
  <c r="L194" i="1"/>
  <c r="L212" i="1"/>
  <c r="L231" i="1"/>
  <c r="L230" i="1"/>
  <c r="G179" i="1"/>
  <c r="G237" i="1"/>
  <c r="G210" i="1"/>
  <c r="G194" i="1"/>
  <c r="G193" i="1"/>
  <c r="G219" i="1"/>
  <c r="G223" i="1"/>
  <c r="G231" i="1"/>
  <c r="C182" i="1"/>
  <c r="L226" i="1"/>
  <c r="L232" i="1"/>
  <c r="L188" i="1"/>
  <c r="G189" i="1"/>
  <c r="L233" i="1"/>
  <c r="L196" i="1"/>
  <c r="L204" i="1"/>
  <c r="L221" i="1"/>
  <c r="G205" i="1"/>
  <c r="L227" i="1"/>
  <c r="L192" i="1"/>
  <c r="L220" i="1"/>
  <c r="G217" i="1"/>
  <c r="G209" i="1"/>
  <c r="G221" i="1"/>
  <c r="L236" i="1"/>
  <c r="G233" i="1"/>
  <c r="G225" i="1"/>
  <c r="G200" i="1"/>
  <c r="L207" i="1"/>
  <c r="L216" i="1"/>
  <c r="G202" i="1"/>
  <c r="G214" i="1"/>
  <c r="G199" i="1"/>
  <c r="G216" i="1"/>
  <c r="L223" i="1"/>
  <c r="L235" i="1"/>
  <c r="L217" i="1"/>
  <c r="G218" i="1"/>
  <c r="G230" i="1"/>
  <c r="G215" i="1"/>
  <c r="G232" i="1"/>
  <c r="L200" i="1"/>
  <c r="L190" i="1"/>
  <c r="L211" i="1"/>
  <c r="L193" i="1"/>
  <c r="L202" i="1"/>
  <c r="L209" i="1"/>
  <c r="L199" i="1"/>
  <c r="L183" i="1" l="1"/>
  <c r="G183" i="1"/>
  <c r="G182" i="1"/>
  <c r="L182" i="1"/>
  <c r="L184" i="1"/>
  <c r="G184" i="1"/>
  <c r="H182" i="1" l="1"/>
  <c r="M1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tc={50451916-2630-4661-99D9-47D538470DFF}</author>
    <author>tc={A938DB28-C4DA-46BD-8BFC-DA72C4046957}</author>
  </authors>
  <commentList>
    <comment ref="A70" authorId="0" shapeId="0" xr:uid="{50451916-2630-4661-99D9-47D538470D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类别 找麦当劳和 jollibee 相似的, </t>
      </text>
    </comment>
    <comment ref="A80" authorId="1" shapeId="0" xr:uid="{A938DB28-C4DA-46BD-8BFC-DA72C40469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类别 找一些popeyes和 jollibee 相似的, </t>
      </text>
    </comment>
  </commentList>
</comments>
</file>

<file path=xl/sharedStrings.xml><?xml version="1.0" encoding="utf-8"?>
<sst xmlns="http://schemas.openxmlformats.org/spreadsheetml/2006/main" count="649" uniqueCount="241">
  <si>
    <t>-Price comparison</t>
  </si>
  <si>
    <t>Category</t>
  </si>
  <si>
    <t>Jollibee Price</t>
  </si>
  <si>
    <t>McDonald's Price</t>
  </si>
  <si>
    <t>Popeyes Price</t>
  </si>
  <si>
    <t>Crispy Chicken (Ala Carte)</t>
  </si>
  <si>
    <t>Combo Meal (Chicken + Sides)</t>
  </si>
  <si>
    <t>Family Meal</t>
  </si>
  <si>
    <t>Beverages (Soft Drink)</t>
  </si>
  <si>
    <t>Chicken Sandwich (Ala Carte)</t>
  </si>
  <si>
    <t>Value Meal (Sandwich + Fries + Drink)</t>
  </si>
  <si>
    <t>Breakfast Combo (Egg + Meat + Drink)</t>
  </si>
  <si>
    <t>Desserts (Ice Cream)</t>
  </si>
  <si>
    <t>Kids Meal (Chicken + Side + Toy)</t>
  </si>
  <si>
    <t>Seasonal/Promotional Meal</t>
  </si>
  <si>
    <t>price diff</t>
  </si>
  <si>
    <t>Jollibee vs mcdonals</t>
  </si>
  <si>
    <t>Jollibee vs Popeyes</t>
  </si>
  <si>
    <t>-Price Trend</t>
  </si>
  <si>
    <t>Jollibee</t>
  </si>
  <si>
    <t>2022-2023</t>
  </si>
  <si>
    <t>2023-2024</t>
  </si>
  <si>
    <t>6 pcs chickenjoy burket</t>
  </si>
  <si>
    <t>8 pcs chickenjoy burket</t>
  </si>
  <si>
    <t>Pie</t>
  </si>
  <si>
    <t>Cheesy Yumburger</t>
  </si>
  <si>
    <t>Buttered corn</t>
  </si>
  <si>
    <t>Mineral water</t>
  </si>
  <si>
    <t>Coca cola(canned)</t>
  </si>
  <si>
    <t>McDonald</t>
  </si>
  <si>
    <t>Popeyes</t>
  </si>
  <si>
    <t>2022-2023 PRICE TREND</t>
  </si>
  <si>
    <t>2023-2024 PRICE TREND</t>
  </si>
  <si>
    <t>-Market share</t>
  </si>
  <si>
    <t>&lt; How many outlets for each &gt;</t>
  </si>
  <si>
    <t xml:space="preserve">Jollibee </t>
  </si>
  <si>
    <t>Sum</t>
  </si>
  <si>
    <t>-Promotion simulation</t>
  </si>
  <si>
    <t>McDonald promotion discount</t>
  </si>
  <si>
    <t>Popeyes promotion discount</t>
  </si>
  <si>
    <t>McDonald's Promotion Price</t>
  </si>
  <si>
    <t>Average</t>
  </si>
  <si>
    <t xml:space="preserve">&lt; assume there are two factors will affect customer trend , price and outlet numbers. Each factor occupies 50% probability of customer trend ratio&gt;
</t>
  </si>
  <si>
    <t>1st lower price</t>
  </si>
  <si>
    <t>2nd lower price</t>
  </si>
  <si>
    <t>3rd lower price</t>
  </si>
  <si>
    <t>outlet</t>
  </si>
  <si>
    <t>Price</t>
  </si>
  <si>
    <t>Market ratio</t>
  </si>
  <si>
    <t>&lt;asssume have 50 customers&gt;</t>
  </si>
  <si>
    <t>Seimulation 1.Normal price</t>
  </si>
  <si>
    <t>Seimulation 2.When McDonald have promotion</t>
  </si>
  <si>
    <t>Seimulation 3.When Popeyes have promotion</t>
  </si>
  <si>
    <t>-Data base</t>
  </si>
  <si>
    <t>Month</t>
  </si>
  <si>
    <t>Product_Type</t>
  </si>
  <si>
    <t>Demand(k)</t>
    <phoneticPr fontId="0" type="noConversion"/>
  </si>
  <si>
    <t>Trend_Factor</t>
  </si>
  <si>
    <t>Repeat_Customers(k)</t>
    <phoneticPr fontId="0" type="noConversion"/>
  </si>
  <si>
    <t>Total_Customers(k)</t>
    <phoneticPr fontId="0" type="noConversion"/>
  </si>
  <si>
    <t>Revenue(k)</t>
    <phoneticPr fontId="0" type="noConversion"/>
  </si>
  <si>
    <t>Health-Conscious</t>
  </si>
  <si>
    <t>Indulgent</t>
  </si>
  <si>
    <t>-Demand and revenue trend</t>
  </si>
  <si>
    <t>Repeat Cus/Total Cus</t>
  </si>
  <si>
    <t>Revenue/Demand</t>
  </si>
  <si>
    <t>Demand*(1+Trend Factor)</t>
  </si>
  <si>
    <t>Price/Unit*Trend Demand*(1+Loyalty)</t>
    <phoneticPr fontId="0" type="noConversion"/>
  </si>
  <si>
    <t>Customer_Loyalty</t>
  </si>
  <si>
    <t>Price_per_Unit</t>
  </si>
  <si>
    <t>Trend_Demand(k)</t>
    <phoneticPr fontId="0" type="noConversion"/>
  </si>
  <si>
    <t>Trend Revenue</t>
  </si>
  <si>
    <t>Double Trend_Demand</t>
    <phoneticPr fontId="0" type="noConversion"/>
  </si>
  <si>
    <t>Double Trend_Revenue</t>
    <phoneticPr fontId="0" type="noConversion"/>
  </si>
  <si>
    <t>Health Trend Demand(k)</t>
  </si>
  <si>
    <t>Indulgent Trend Demand(k)</t>
  </si>
  <si>
    <t>Health Trend Revenue(k)</t>
  </si>
  <si>
    <t>Indulgent Trend Revenue(k)</t>
  </si>
  <si>
    <t>Total Revenue by Focusing on Different Trends</t>
    <phoneticPr fontId="0" type="noConversion"/>
  </si>
  <si>
    <t>Double Trend Factor to each Trend</t>
    <phoneticPr fontId="0" type="noConversion"/>
  </si>
  <si>
    <t>Year</t>
    <phoneticPr fontId="0" type="noConversion"/>
  </si>
  <si>
    <t xml:space="preserve">Health Trend </t>
    <phoneticPr fontId="0" type="noConversion"/>
  </si>
  <si>
    <t xml:space="preserve">Indulgent Trend </t>
    <phoneticPr fontId="0" type="noConversion"/>
  </si>
  <si>
    <t>Double Health</t>
    <phoneticPr fontId="0" type="noConversion"/>
  </si>
  <si>
    <t>Double Indulgent</t>
    <phoneticPr fontId="0" type="noConversion"/>
  </si>
  <si>
    <t>-Cutomer loyalty</t>
  </si>
  <si>
    <t xml:space="preserve">-Financial Statement </t>
  </si>
  <si>
    <t> </t>
  </si>
  <si>
    <t>Jolibee's financial statement from 2018 to 2023</t>
  </si>
  <si>
    <t>Data /Year</t>
  </si>
  <si>
    <t>Revenue (Ala-Carte)</t>
  </si>
  <si>
    <t>Percentage of sales (by meal type)</t>
  </si>
  <si>
    <t>Revenue (Beverages)</t>
  </si>
  <si>
    <t>Ala-carte</t>
  </si>
  <si>
    <t>Revenue (Set meal)</t>
  </si>
  <si>
    <t>Beverages</t>
  </si>
  <si>
    <t>Total Revenue</t>
  </si>
  <si>
    <t>Set Meal</t>
  </si>
  <si>
    <t>Total costs incurred</t>
  </si>
  <si>
    <t>Gross profit</t>
  </si>
  <si>
    <t>-Price Elasticity</t>
  </si>
  <si>
    <t>Year</t>
  </si>
  <si>
    <t>Ala-Carte price</t>
  </si>
  <si>
    <t>Cost (Ala-Carte)</t>
  </si>
  <si>
    <t>Beverages price</t>
  </si>
  <si>
    <t>Beverages demand</t>
  </si>
  <si>
    <t>Cost (Beverages)</t>
  </si>
  <si>
    <t>Profit (Beverages)</t>
  </si>
  <si>
    <t>Set meal  price</t>
  </si>
  <si>
    <t>Set meal demand</t>
  </si>
  <si>
    <t>Cost (Set meal)</t>
  </si>
  <si>
    <t>Profit (Set meal)</t>
  </si>
  <si>
    <t>-Simulation</t>
  </si>
  <si>
    <t>Input Variables</t>
  </si>
  <si>
    <t>General data from Jolibee (Ala-Carte)</t>
  </si>
  <si>
    <t>Ala-carte demand</t>
  </si>
  <si>
    <t>Unit Cost (Ala-Carte)</t>
  </si>
  <si>
    <t>Total Cost (Ala-Carte)</t>
  </si>
  <si>
    <t>Gross Profit (Ala-Carte)</t>
  </si>
  <si>
    <t>Mean</t>
  </si>
  <si>
    <t>std dev</t>
  </si>
  <si>
    <t>General data from Jolibee (Beverages)</t>
  </si>
  <si>
    <t>Revenue (Beverage)</t>
  </si>
  <si>
    <t>Unit Cost (Beverage)</t>
  </si>
  <si>
    <t>General data from Jolibee (Set-Meal)</t>
  </si>
  <si>
    <t>Set Meal price</t>
  </si>
  <si>
    <t>Beverage price</t>
  </si>
  <si>
    <t>Beverage demand</t>
  </si>
  <si>
    <t>Total Cost (Beverage)</t>
  </si>
  <si>
    <t>Gross Profit (Beverage)</t>
  </si>
  <si>
    <t>Set Meal demand</t>
  </si>
  <si>
    <t>Revenue (Set-Meal)</t>
  </si>
  <si>
    <t>Unit Cost (Set-Meal)</t>
  </si>
  <si>
    <t>Total Cost (Set-Meal)</t>
  </si>
  <si>
    <t>Gross Profit (Set-Meal)</t>
  </si>
  <si>
    <t>Profit (Ala-Carte)</t>
  </si>
  <si>
    <t>Cost (Beverage)</t>
  </si>
  <si>
    <t>Profit (Beverage)</t>
  </si>
  <si>
    <t>Set-Meal price</t>
  </si>
  <si>
    <t>Cost (Set-meal)</t>
  </si>
  <si>
    <t>Profit (Set-meal)</t>
  </si>
  <si>
    <t>FORECAST FOR FOLLOWING YEARS</t>
  </si>
  <si>
    <t>Tota Sales</t>
  </si>
  <si>
    <t>COGS</t>
  </si>
  <si>
    <t>Revenue Growth</t>
  </si>
  <si>
    <t>Net Income</t>
  </si>
  <si>
    <t>Revenue with respect to Sales</t>
  </si>
  <si>
    <t>Gross profit = Revenue -COGS</t>
  </si>
  <si>
    <t>Net Income = revenue - expenses - interest- taxes</t>
  </si>
  <si>
    <t xml:space="preserve">total revenue should be higher than sales revenue coz  total revenue should generated from sales </t>
  </si>
  <si>
    <t>Product</t>
  </si>
  <si>
    <t>Sales Price</t>
  </si>
  <si>
    <t>COGS(Individual)</t>
  </si>
  <si>
    <t>Gross Margin</t>
  </si>
  <si>
    <t>Performance Status</t>
  </si>
  <si>
    <t>Action Recommended</t>
  </si>
  <si>
    <t>Percentage</t>
  </si>
  <si>
    <t>Status</t>
  </si>
  <si>
    <t>Action to be taken</t>
  </si>
  <si>
    <t>Underperformer</t>
  </si>
  <si>
    <t>Discontinue</t>
  </si>
  <si>
    <t>Average Performer</t>
  </si>
  <si>
    <t>Reaccess</t>
  </si>
  <si>
    <t>Good Performer</t>
  </si>
  <si>
    <t>Promote</t>
  </si>
  <si>
    <t>Excellent Performer</t>
  </si>
  <si>
    <t>Other Income</t>
  </si>
  <si>
    <t>Set meal price</t>
  </si>
  <si>
    <t>Revenue (set meal)</t>
  </si>
  <si>
    <t>Total Demand</t>
  </si>
  <si>
    <t>Total Sales</t>
  </si>
  <si>
    <t>Total revenue</t>
  </si>
  <si>
    <t>Actual revenue</t>
  </si>
  <si>
    <t>R Square</t>
  </si>
  <si>
    <t> The R-squared value measures the proportion of variance in the dependent variable (in this case, actual revenue) that can be explained by the independent variable (projected revenue). An R-squared close to 1 suggests that nearly all the variability in actual revenue can be explained by the projected revenueR-squared value of 0.9982 is a strong indicator of a reliable and accurate linear relationship between actual and projected revenue, suggesting that the projected figures are very reflective of the actual outcomes</t>
  </si>
  <si>
    <t>-Black box and influence diagram</t>
  </si>
  <si>
    <t>y = 0.0305x + 6.6292</t>
  </si>
  <si>
    <t>y = -0.4465x + 5.8446</t>
  </si>
  <si>
    <t>y = 0.2325x + 5.504</t>
  </si>
  <si>
    <t>Total sum</t>
  </si>
  <si>
    <t xml:space="preserve">-Financial statement </t>
  </si>
  <si>
    <t>-Gross Margin analysis</t>
  </si>
  <si>
    <t> GROSS MARGIN ANALYSIS</t>
  </si>
  <si>
    <t>Optional 1</t>
  </si>
  <si>
    <t>Optional 2</t>
  </si>
  <si>
    <t>Optional 3</t>
  </si>
  <si>
    <t>For the COGS we simulate the cost to be 50%,80% or 100 % of sales price</t>
  </si>
  <si>
    <t>Gross Margin Percentage</t>
  </si>
  <si>
    <t>The performance</t>
  </si>
  <si>
    <t>-Cost volume profit</t>
  </si>
  <si>
    <t>IS602 Spreadsheets Modeling for Decision Making</t>
  </si>
  <si>
    <t>Optimizing Pricing Strategy for Jollibee: Maximizing Profit in Singapore's Competitive Fast-Food Market</t>
  </si>
  <si>
    <t>Group 9</t>
  </si>
  <si>
    <t>Chen Shutian</t>
  </si>
  <si>
    <t>Ding Yiwen</t>
  </si>
  <si>
    <t>Enrico Sebastian DANUSANTOSO</t>
  </si>
  <si>
    <t>Rajesh Babu SANTIGARI</t>
  </si>
  <si>
    <t>Yang Lu</t>
  </si>
  <si>
    <t>Cutomer trend ratio</t>
  </si>
  <si>
    <t>Y= demand</t>
  </si>
  <si>
    <t>X= Price</t>
  </si>
  <si>
    <t>Revenue (Ala-Carte) 'In Million</t>
  </si>
  <si>
    <t>Ala-carte demand 'In Million</t>
  </si>
  <si>
    <t>Profit (Ala-Carte) 'In Million</t>
  </si>
  <si>
    <t>Beverages demand 'In Million</t>
  </si>
  <si>
    <t>Revenue (Beverages)'In Million</t>
  </si>
  <si>
    <t>Profit (Beverages) 'In Million</t>
  </si>
  <si>
    <t>Set meal demand 'In Million</t>
  </si>
  <si>
    <t>Revenue (Set meal)'In Million</t>
  </si>
  <si>
    <t>Profit (Set meal) 'In Million</t>
  </si>
  <si>
    <t xml:space="preserve">Profit (Ala-Carte) </t>
  </si>
  <si>
    <t>The table below shows the simulation of the changes in the prices of different categories against its demand and how it impacts overall profit</t>
  </si>
  <si>
    <t>-Breakeven for 2023</t>
  </si>
  <si>
    <t>Fixed cost for 2023 'In million</t>
  </si>
  <si>
    <t>Total Cost (Ala-Carte) 'In Million</t>
  </si>
  <si>
    <t>Total Cost (Beverages)'In Million</t>
  </si>
  <si>
    <t>Total Cost (Set meal)'In Million</t>
  </si>
  <si>
    <t>Total Cost (Beverages)</t>
  </si>
  <si>
    <t>Total Cost (Set meal)</t>
  </si>
  <si>
    <t>Ala carte Cost as a percentage of selling price</t>
  </si>
  <si>
    <t>Beverage  Cost as a percentage of selling price</t>
  </si>
  <si>
    <t>Set Meal Cost as a percentage of selling price</t>
  </si>
  <si>
    <t xml:space="preserve">Cost </t>
  </si>
  <si>
    <t>Percentage of selling price</t>
  </si>
  <si>
    <t>Total  Cost (Ala-Carte) 'In Million</t>
  </si>
  <si>
    <t>Total Cost (Bevarage) 'In Million</t>
  </si>
  <si>
    <t>Total Cost (Set-meal) 'In Million</t>
  </si>
  <si>
    <t>Fixed cost 'In Million</t>
  </si>
  <si>
    <t>Revenue (Beverage) 'In Million</t>
  </si>
  <si>
    <t>Revenue (Set-meal) 'In Million</t>
  </si>
  <si>
    <t>Beverage demand 'In Million</t>
  </si>
  <si>
    <t>Set-Meal demand 'In Million</t>
  </si>
  <si>
    <t>Slope :</t>
  </si>
  <si>
    <t xml:space="preserve">Health Trend </t>
  </si>
  <si>
    <t>Forecast(Health Trend )</t>
  </si>
  <si>
    <t>Lower Confidence Bound(Health Trend )</t>
  </si>
  <si>
    <t>Upper Confidence Bound(Health Trend )</t>
  </si>
  <si>
    <t xml:space="preserve">Indulgent Trend </t>
  </si>
  <si>
    <t>Forecast(Indulgent Trend )</t>
  </si>
  <si>
    <t>Lower Confidence Bound(Indulgent Trend )</t>
  </si>
  <si>
    <t>Upper Confidence Bound(Indulgent Trend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</si>
</sst>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164" formatCode="\$#,##0.00_);[Red]\(\$#,##0.00\)"/>
    <numFmt numFmtId="165" formatCode="&quot;$&quot;#,##0_);[Red]\(&quot;$&quot;#,##0\)"/>
    <numFmt numFmtId="166" formatCode="&quot;$&quot;#,##0.00_);[Red]\(&quot;$&quot;#,##0.00\)"/>
    <numFmt numFmtId="167" formatCode="yyyy/m/d;@"/>
    <numFmt numFmtId="168" formatCode="0.00_ "/>
    <numFmt numFmtId="169" formatCode="\$#,##0.00;\-\$#,##0.00"/>
    <numFmt numFmtId="170" formatCode="&quot;$&quot;#,##0.00;[Red]&quot;$&quot;#,##0.00"/>
    <numFmt numFmtId="171" formatCode="&quot;$&quot;#,##0.0000;[Red]&quot;$&quot;#,##0.0000"/>
    <numFmt numFmtId="172" formatCode="0.00000"/>
    <numFmt numFmtId="173" formatCode="#,##0.000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9" tint="0.59999389629810485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2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4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8"/>
      <color theme="0"/>
      <name val="Calibri"/>
      <family val="2"/>
      <scheme val="minor"/>
    </font>
    <font>
      <sz val="10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6"/>
      <color rgb="FF00000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20"/>
      <color rgb="FFFFFFFF"/>
      <name val="Calibri"/>
      <family val="2"/>
      <scheme val="minor"/>
    </font>
    <font>
      <b/>
      <i/>
      <u/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42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4" fontId="0" fillId="0" borderId="1" xfId="1" applyFont="1" applyBorder="1"/>
    <xf numFmtId="0" fontId="5" fillId="3" borderId="0" xfId="0" quotePrefix="1" applyFont="1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10" fontId="0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44" fontId="7" fillId="0" borderId="1" xfId="1" applyFont="1" applyBorder="1"/>
    <xf numFmtId="10" fontId="0" fillId="0" borderId="1" xfId="2" applyNumberFormat="1" applyFont="1" applyBorder="1" applyAlignment="1">
      <alignment horizontal="center"/>
    </xf>
    <xf numFmtId="10" fontId="2" fillId="2" borderId="1" xfId="3" applyNumberFormat="1" applyBorder="1" applyAlignment="1">
      <alignment horizontal="center"/>
    </xf>
    <xf numFmtId="9" fontId="2" fillId="2" borderId="1" xfId="3" applyNumberFormat="1" applyBorder="1" applyAlignment="1">
      <alignment horizontal="center"/>
    </xf>
    <xf numFmtId="0" fontId="8" fillId="4" borderId="0" xfId="0" quotePrefix="1" applyFont="1" applyFill="1"/>
    <xf numFmtId="0" fontId="0" fillId="4" borderId="0" xfId="0" applyFill="1"/>
    <xf numFmtId="0" fontId="0" fillId="0" borderId="1" xfId="0" applyBorder="1" applyAlignment="1">
      <alignment horizontal="center"/>
    </xf>
    <xf numFmtId="10" fontId="0" fillId="0" borderId="1" xfId="2" applyNumberFormat="1" applyFont="1" applyBorder="1"/>
    <xf numFmtId="9" fontId="0" fillId="0" borderId="0" xfId="2" applyFont="1"/>
    <xf numFmtId="44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0" fontId="0" fillId="0" borderId="0" xfId="2" applyNumberFormat="1" applyFont="1"/>
    <xf numFmtId="0" fontId="3" fillId="0" borderId="0" xfId="0" applyFont="1"/>
    <xf numFmtId="0" fontId="10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9" borderId="1" xfId="0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12" fillId="0" borderId="0" xfId="0" applyFont="1"/>
    <xf numFmtId="0" fontId="12" fillId="7" borderId="1" xfId="0" applyFont="1" applyFill="1" applyBorder="1" applyAlignment="1">
      <alignment horizontal="center" vertical="center"/>
    </xf>
    <xf numFmtId="169" fontId="0" fillId="0" borderId="1" xfId="0" applyNumberFormat="1" applyBorder="1"/>
    <xf numFmtId="0" fontId="0" fillId="3" borderId="0" xfId="0" applyFill="1" applyAlignment="1">
      <alignment horizontal="center" vertical="center"/>
    </xf>
    <xf numFmtId="0" fontId="13" fillId="3" borderId="0" xfId="0" quotePrefix="1" applyFont="1" applyFill="1" applyAlignment="1">
      <alignment horizontal="left" vertical="center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 vertical="center"/>
    </xf>
    <xf numFmtId="167" fontId="15" fillId="12" borderId="1" xfId="0" applyNumberFormat="1" applyFont="1" applyFill="1" applyBorder="1" applyAlignment="1">
      <alignment horizontal="center" vertical="center"/>
    </xf>
    <xf numFmtId="9" fontId="15" fillId="12" borderId="1" xfId="0" applyNumberFormat="1" applyFont="1" applyFill="1" applyBorder="1" applyAlignment="1">
      <alignment horizontal="center" vertical="center"/>
    </xf>
    <xf numFmtId="9" fontId="15" fillId="12" borderId="1" xfId="2" applyFont="1" applyFill="1" applyBorder="1" applyAlignment="1">
      <alignment horizontal="center" vertical="center"/>
    </xf>
    <xf numFmtId="167" fontId="0" fillId="0" borderId="0" xfId="0" applyNumberFormat="1"/>
    <xf numFmtId="0" fontId="16" fillId="0" borderId="0" xfId="0" applyFont="1"/>
    <xf numFmtId="165" fontId="16" fillId="0" borderId="9" xfId="0" applyNumberFormat="1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4" xfId="0" applyFont="1" applyBorder="1" applyAlignment="1">
      <alignment wrapText="1"/>
    </xf>
    <xf numFmtId="166" fontId="16" fillId="0" borderId="9" xfId="0" applyNumberFormat="1" applyFont="1" applyBorder="1"/>
    <xf numFmtId="3" fontId="16" fillId="0" borderId="9" xfId="0" applyNumberFormat="1" applyFont="1" applyBorder="1"/>
    <xf numFmtId="0" fontId="0" fillId="0" borderId="0" xfId="0" applyAlignment="1">
      <alignment horizontal="left" vertical="center" wrapText="1"/>
    </xf>
    <xf numFmtId="0" fontId="0" fillId="16" borderId="1" xfId="0" applyFill="1" applyBorder="1" applyAlignment="1">
      <alignment horizontal="center"/>
    </xf>
    <xf numFmtId="44" fontId="0" fillId="16" borderId="1" xfId="1" applyFont="1" applyFill="1" applyBorder="1" applyAlignment="1">
      <alignment horizontal="center" vertical="center"/>
    </xf>
    <xf numFmtId="10" fontId="3" fillId="5" borderId="0" xfId="0" applyNumberFormat="1" applyFont="1" applyFill="1"/>
    <xf numFmtId="0" fontId="0" fillId="0" borderId="10" xfId="0" applyBorder="1" applyAlignment="1">
      <alignment horizontal="left" vertical="center" wrapText="1"/>
    </xf>
    <xf numFmtId="10" fontId="0" fillId="0" borderId="10" xfId="0" applyNumberFormat="1" applyBorder="1" applyAlignment="1">
      <alignment horizontal="left" vertical="center" wrapText="1"/>
    </xf>
    <xf numFmtId="0" fontId="0" fillId="0" borderId="10" xfId="0" applyBorder="1"/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17" fillId="15" borderId="1" xfId="0" applyFont="1" applyFill="1" applyBorder="1" applyAlignment="1">
      <alignment wrapText="1"/>
    </xf>
    <xf numFmtId="10" fontId="19" fillId="5" borderId="1" xfId="2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0" xfId="0" applyFont="1"/>
    <xf numFmtId="0" fontId="17" fillId="15" borderId="4" xfId="0" applyFont="1" applyFill="1" applyBorder="1" applyAlignment="1">
      <alignment wrapText="1"/>
    </xf>
    <xf numFmtId="0" fontId="17" fillId="0" borderId="11" xfId="0" applyFont="1" applyBorder="1" applyAlignment="1">
      <alignment wrapText="1"/>
    </xf>
    <xf numFmtId="166" fontId="16" fillId="0" borderId="5" xfId="0" applyNumberFormat="1" applyFont="1" applyBorder="1"/>
    <xf numFmtId="3" fontId="16" fillId="0" borderId="13" xfId="0" applyNumberFormat="1" applyFont="1" applyBorder="1"/>
    <xf numFmtId="165" fontId="16" fillId="0" borderId="7" xfId="0" applyNumberFormat="1" applyFont="1" applyBorder="1"/>
    <xf numFmtId="165" fontId="16" fillId="0" borderId="4" xfId="0" applyNumberFormat="1" applyFont="1" applyBorder="1"/>
    <xf numFmtId="0" fontId="18" fillId="0" borderId="0" xfId="0" applyFont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17" borderId="1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0" fontId="0" fillId="0" borderId="0" xfId="0" quotePrefix="1"/>
    <xf numFmtId="0" fontId="17" fillId="0" borderId="7" xfId="0" applyFont="1" applyBorder="1"/>
    <xf numFmtId="0" fontId="17" fillId="0" borderId="7" xfId="0" applyFont="1" applyBorder="1" applyAlignment="1">
      <alignment wrapText="1"/>
    </xf>
    <xf numFmtId="2" fontId="0" fillId="0" borderId="10" xfId="0" applyNumberFormat="1" applyBorder="1" applyAlignment="1">
      <alignment horizontal="center" vertical="center"/>
    </xf>
    <xf numFmtId="2" fontId="3" fillId="17" borderId="10" xfId="0" applyNumberFormat="1" applyFont="1" applyFill="1" applyBorder="1" applyAlignment="1">
      <alignment horizontal="center" vertical="center"/>
    </xf>
    <xf numFmtId="2" fontId="3" fillId="9" borderId="10" xfId="0" applyNumberFormat="1" applyFont="1" applyFill="1" applyBorder="1" applyAlignment="1">
      <alignment horizontal="center" vertical="center"/>
    </xf>
    <xf numFmtId="0" fontId="24" fillId="0" borderId="0" xfId="0" quotePrefix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0" fillId="18" borderId="12" xfId="0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center" vertical="center" wrapText="1"/>
    </xf>
    <xf numFmtId="166" fontId="22" fillId="0" borderId="9" xfId="0" applyNumberFormat="1" applyFont="1" applyBorder="1" applyAlignment="1">
      <alignment horizontal="center" vertical="center"/>
    </xf>
    <xf numFmtId="166" fontId="23" fillId="0" borderId="9" xfId="0" applyNumberFormat="1" applyFont="1" applyBorder="1" applyAlignment="1">
      <alignment horizontal="center" vertical="center"/>
    </xf>
    <xf numFmtId="10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wrapText="1"/>
    </xf>
    <xf numFmtId="9" fontId="25" fillId="0" borderId="1" xfId="0" applyNumberFormat="1" applyFont="1" applyBorder="1"/>
    <xf numFmtId="10" fontId="16" fillId="0" borderId="1" xfId="0" applyNumberFormat="1" applyFont="1" applyBorder="1" applyAlignment="1">
      <alignment horizont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5" xfId="0" applyBorder="1"/>
    <xf numFmtId="10" fontId="0" fillId="0" borderId="1" xfId="2" applyNumberFormat="1" applyFont="1" applyFill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0" fillId="0" borderId="0" xfId="0" applyNumberFormat="1" applyAlignment="1">
      <alignment horizontal="left" vertical="center" wrapText="1"/>
    </xf>
    <xf numFmtId="0" fontId="0" fillId="6" borderId="1" xfId="0" applyFill="1" applyBorder="1" applyAlignment="1">
      <alignment horizontal="center" vertical="top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1" fillId="13" borderId="0" xfId="0" quotePrefix="1" applyFont="1" applyFill="1"/>
    <xf numFmtId="0" fontId="31" fillId="13" borderId="0" xfId="0" applyFont="1" applyFill="1"/>
    <xf numFmtId="0" fontId="32" fillId="13" borderId="0" xfId="0" applyFont="1" applyFill="1"/>
    <xf numFmtId="0" fontId="31" fillId="0" borderId="0" xfId="0" applyFont="1"/>
    <xf numFmtId="0" fontId="32" fillId="0" borderId="0" xfId="0" applyFont="1"/>
    <xf numFmtId="0" fontId="7" fillId="0" borderId="0" xfId="0" applyFont="1"/>
    <xf numFmtId="0" fontId="6" fillId="15" borderId="7" xfId="0" applyFont="1" applyFill="1" applyBorder="1" applyAlignment="1">
      <alignment horizontal="center" wrapText="1"/>
    </xf>
    <xf numFmtId="0" fontId="6" fillId="15" borderId="9" xfId="0" applyFont="1" applyFill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166" fontId="7" fillId="0" borderId="9" xfId="0" applyNumberFormat="1" applyFont="1" applyBorder="1" applyAlignment="1">
      <alignment horizontal="center"/>
    </xf>
    <xf numFmtId="0" fontId="6" fillId="15" borderId="1" xfId="0" applyFont="1" applyFill="1" applyBorder="1" applyAlignment="1">
      <alignment wrapText="1"/>
    </xf>
    <xf numFmtId="0" fontId="6" fillId="0" borderId="1" xfId="0" applyFont="1" applyBorder="1"/>
    <xf numFmtId="9" fontId="7" fillId="0" borderId="1" xfId="0" applyNumberFormat="1" applyFont="1" applyBorder="1"/>
    <xf numFmtId="0" fontId="7" fillId="0" borderId="7" xfId="0" applyFont="1" applyBorder="1" applyAlignment="1">
      <alignment horizontal="center"/>
    </xf>
    <xf numFmtId="0" fontId="31" fillId="0" borderId="0" xfId="0" quotePrefix="1" applyFont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0" fontId="26" fillId="0" borderId="0" xfId="0" applyFont="1"/>
    <xf numFmtId="0" fontId="30" fillId="0" borderId="0" xfId="0" applyFont="1"/>
    <xf numFmtId="0" fontId="33" fillId="0" borderId="0" xfId="0" applyFont="1"/>
    <xf numFmtId="44" fontId="7" fillId="0" borderId="9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/>
    <xf numFmtId="4" fontId="7" fillId="0" borderId="0" xfId="0" applyNumberFormat="1" applyFont="1"/>
    <xf numFmtId="4" fontId="6" fillId="0" borderId="4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/>
    </xf>
    <xf numFmtId="44" fontId="6" fillId="5" borderId="1" xfId="1" applyFont="1" applyFill="1" applyBorder="1" applyAlignment="1">
      <alignment horizontal="center"/>
    </xf>
    <xf numFmtId="44" fontId="7" fillId="0" borderId="9" xfId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0" fontId="37" fillId="0" borderId="1" xfId="2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10" fontId="3" fillId="5" borderId="1" xfId="2" applyNumberFormat="1" applyFont="1" applyFill="1" applyBorder="1" applyAlignment="1">
      <alignment horizontal="center"/>
    </xf>
    <xf numFmtId="10" fontId="3" fillId="5" borderId="7" xfId="2" applyNumberFormat="1" applyFont="1" applyFill="1" applyBorder="1" applyAlignment="1">
      <alignment horizontal="center"/>
    </xf>
    <xf numFmtId="0" fontId="37" fillId="0" borderId="20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/>
    </xf>
    <xf numFmtId="10" fontId="37" fillId="0" borderId="21" xfId="2" applyNumberFormat="1" applyFont="1" applyBorder="1" applyAlignment="1">
      <alignment horizontal="center"/>
    </xf>
    <xf numFmtId="0" fontId="37" fillId="0" borderId="22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10" fontId="37" fillId="0" borderId="24" xfId="2" applyNumberFormat="1" applyFont="1" applyBorder="1" applyAlignment="1">
      <alignment horizontal="center"/>
    </xf>
    <xf numFmtId="170" fontId="3" fillId="0" borderId="0" xfId="0" applyNumberFormat="1" applyFont="1" applyAlignment="1">
      <alignment horizontal="center"/>
    </xf>
    <xf numFmtId="0" fontId="3" fillId="0" borderId="14" xfId="0" applyFont="1" applyBorder="1"/>
    <xf numFmtId="170" fontId="3" fillId="5" borderId="16" xfId="0" applyNumberFormat="1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6" fontId="6" fillId="0" borderId="9" xfId="0" applyNumberFormat="1" applyFont="1" applyBorder="1" applyAlignment="1">
      <alignment horizontal="center" vertical="center"/>
    </xf>
    <xf numFmtId="4" fontId="7" fillId="0" borderId="9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39" fillId="0" borderId="0" xfId="0" applyFont="1"/>
    <xf numFmtId="172" fontId="7" fillId="0" borderId="9" xfId="1" applyNumberFormat="1" applyFont="1" applyBorder="1" applyAlignment="1">
      <alignment horizontal="center" vertical="center"/>
    </xf>
    <xf numFmtId="173" fontId="7" fillId="0" borderId="9" xfId="0" applyNumberFormat="1" applyFont="1" applyBorder="1" applyAlignment="1">
      <alignment horizontal="center"/>
    </xf>
    <xf numFmtId="172" fontId="6" fillId="5" borderId="1" xfId="0" applyNumberFormat="1" applyFont="1" applyFill="1" applyBorder="1" applyAlignment="1">
      <alignment horizontal="center"/>
    </xf>
    <xf numFmtId="44" fontId="6" fillId="5" borderId="6" xfId="1" applyFont="1" applyFill="1" applyBorder="1" applyAlignment="1">
      <alignment horizontal="center"/>
    </xf>
    <xf numFmtId="44" fontId="6" fillId="5" borderId="6" xfId="1" applyFont="1" applyFill="1" applyBorder="1" applyAlignment="1">
      <alignment horizontal="center" vertical="center"/>
    </xf>
    <xf numFmtId="44" fontId="6" fillId="5" borderId="1" xfId="1" applyFont="1" applyFill="1" applyBorder="1" applyAlignment="1">
      <alignment horizontal="center" vertical="center"/>
    </xf>
    <xf numFmtId="172" fontId="6" fillId="5" borderId="6" xfId="1" applyNumberFormat="1" applyFont="1" applyFill="1" applyBorder="1" applyAlignment="1">
      <alignment horizontal="center" vertical="center"/>
    </xf>
    <xf numFmtId="172" fontId="7" fillId="0" borderId="9" xfId="1" applyNumberFormat="1" applyFont="1" applyBorder="1" applyAlignment="1">
      <alignment horizontal="center"/>
    </xf>
    <xf numFmtId="172" fontId="6" fillId="5" borderId="6" xfId="1" applyNumberFormat="1" applyFont="1" applyFill="1" applyBorder="1" applyAlignment="1">
      <alignment horizontal="center"/>
    </xf>
    <xf numFmtId="44" fontId="16" fillId="5" borderId="1" xfId="1" applyFont="1" applyFill="1" applyBorder="1"/>
    <xf numFmtId="10" fontId="16" fillId="5" borderId="1" xfId="2" applyNumberFormat="1" applyFont="1" applyFill="1" applyBorder="1"/>
    <xf numFmtId="10" fontId="16" fillId="5" borderId="1" xfId="0" applyNumberFormat="1" applyFont="1" applyFill="1" applyBorder="1"/>
    <xf numFmtId="10" fontId="16" fillId="19" borderId="1" xfId="0" applyNumberFormat="1" applyFont="1" applyFill="1" applyBorder="1"/>
    <xf numFmtId="44" fontId="16" fillId="19" borderId="1" xfId="1" applyFont="1" applyFill="1" applyBorder="1"/>
    <xf numFmtId="44" fontId="18" fillId="19" borderId="1" xfId="1" applyFont="1" applyFill="1" applyBorder="1"/>
    <xf numFmtId="0" fontId="20" fillId="18" borderId="28" xfId="0" applyFont="1" applyFill="1" applyBorder="1" applyAlignment="1">
      <alignment horizontal="center" vertical="center"/>
    </xf>
    <xf numFmtId="0" fontId="17" fillId="18" borderId="29" xfId="0" applyFont="1" applyFill="1" applyBorder="1" applyAlignment="1">
      <alignment horizontal="center" vertical="center" wrapText="1"/>
    </xf>
    <xf numFmtId="0" fontId="21" fillId="0" borderId="30" xfId="0" applyFont="1" applyBorder="1"/>
    <xf numFmtId="0" fontId="23" fillId="0" borderId="31" xfId="0" applyFont="1" applyBorder="1" applyAlignment="1">
      <alignment horizontal="center" vertical="center"/>
    </xf>
    <xf numFmtId="0" fontId="21" fillId="0" borderId="32" xfId="0" applyFont="1" applyBorder="1"/>
    <xf numFmtId="166" fontId="22" fillId="0" borderId="33" xfId="0" applyNumberFormat="1" applyFont="1" applyBorder="1" applyAlignment="1">
      <alignment horizontal="center" vertical="center"/>
    </xf>
    <xf numFmtId="166" fontId="23" fillId="0" borderId="33" xfId="0" applyNumberFormat="1" applyFont="1" applyBorder="1" applyAlignment="1">
      <alignment horizontal="center" vertical="center"/>
    </xf>
    <xf numFmtId="10" fontId="23" fillId="0" borderId="33" xfId="0" applyNumberFormat="1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9" fontId="3" fillId="5" borderId="0" xfId="2" applyFont="1" applyFill="1"/>
    <xf numFmtId="0" fontId="3" fillId="0" borderId="1" xfId="0" applyFont="1" applyBorder="1" applyAlignment="1">
      <alignment horizontal="right" vertical="top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24" fillId="3" borderId="0" xfId="0" quotePrefix="1" applyFont="1" applyFill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center"/>
    </xf>
    <xf numFmtId="0" fontId="4" fillId="3" borderId="0" xfId="0" quotePrefix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/>
    </xf>
  </cellXfs>
  <cellStyles count="4">
    <cellStyle name="Currency" xfId="1" builtinId="4"/>
    <cellStyle name="Good" xfId="3" builtinId="26"/>
    <cellStyle name="Normal" xfId="0" builtinId="0"/>
    <cellStyle name="Per cent" xfId="2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64" formatCode="\$#,##0.00_);[Red]\(\$#,##0.00\)"/>
    </dxf>
    <dxf>
      <numFmt numFmtId="164" formatCode="\$#,##0.00_);[Red]\(\$#,##0.00\)"/>
    </dxf>
    <dxf>
      <numFmt numFmtId="164" formatCode="\$#,##0.00_);[Red]\(\$#,##0.00\)"/>
    </dxf>
    <dxf>
      <numFmt numFmtId="167" formatCode="yyyy/m/d;@"/>
    </dxf>
    <dxf>
      <numFmt numFmtId="164" formatCode="\$#,##0.00_);[Red]\(\$#,##0.00\)"/>
    </dxf>
    <dxf>
      <numFmt numFmtId="164" formatCode="\$#,##0.00_);[Red]\(\$#,##0.00\)"/>
    </dxf>
    <dxf>
      <numFmt numFmtId="164" formatCode="\$#,##0.00_);[Red]\(\$#,##0.00\)"/>
    </dxf>
    <dxf>
      <numFmt numFmtId="167" formatCode="yyyy/m/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Price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'[1]Competitor model'!$B$15</c:f>
              <c:strCache>
                <c:ptCount val="1"/>
                <c:pt idx="0">
                  <c:v>Jollibee vs mcdonals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'[1]Competitor model'!$A$16:$A$25</c:f>
              <c:strCache>
                <c:ptCount val="10"/>
                <c:pt idx="0">
                  <c:v>Crispy Chicken (Ala Carte)</c:v>
                </c:pt>
                <c:pt idx="1">
                  <c:v>Combo Meal (Chicken + Sides)</c:v>
                </c:pt>
                <c:pt idx="2">
                  <c:v>Family Meal</c:v>
                </c:pt>
                <c:pt idx="3">
                  <c:v>Beverages (Soft Drink)</c:v>
                </c:pt>
                <c:pt idx="4">
                  <c:v>Chicken Sandwich (Ala Carte)</c:v>
                </c:pt>
                <c:pt idx="5">
                  <c:v>Value Meal (Sandwich + Fries + Drink)</c:v>
                </c:pt>
                <c:pt idx="6">
                  <c:v>Breakfast Combo (Egg + Meat + Drink)</c:v>
                </c:pt>
                <c:pt idx="7">
                  <c:v>Desserts (Ice Cream)</c:v>
                </c:pt>
                <c:pt idx="8">
                  <c:v>Kids Meal (Chicken + Side + Toy)</c:v>
                </c:pt>
                <c:pt idx="9">
                  <c:v>Seasonal/Promotional Meal</c:v>
                </c:pt>
              </c:strCache>
            </c:strRef>
          </c:cat>
          <c:val>
            <c:numRef>
              <c:f>'[1]Competitor model'!$B$16:$B$25</c:f>
              <c:numCache>
                <c:formatCode>General</c:formatCode>
                <c:ptCount val="10"/>
                <c:pt idx="0">
                  <c:v>0.20000000000000018</c:v>
                </c:pt>
                <c:pt idx="1">
                  <c:v>0.5</c:v>
                </c:pt>
                <c:pt idx="2">
                  <c:v>2</c:v>
                </c:pt>
                <c:pt idx="3">
                  <c:v>0.19999999999999996</c:v>
                </c:pt>
                <c:pt idx="4">
                  <c:v>0.20000000000000018</c:v>
                </c:pt>
                <c:pt idx="5">
                  <c:v>0.5</c:v>
                </c:pt>
                <c:pt idx="6">
                  <c:v>0.5</c:v>
                </c:pt>
                <c:pt idx="7">
                  <c:v>0.30000000000000004</c:v>
                </c:pt>
                <c:pt idx="8">
                  <c:v>0.20000000000000018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8-449B-A6CC-55E57263454F}"/>
            </c:ext>
          </c:extLst>
        </c:ser>
        <c:ser>
          <c:idx val="1"/>
          <c:order val="1"/>
          <c:tx>
            <c:strRef>
              <c:f>'[1]Competitor model'!$C$15</c:f>
              <c:strCache>
                <c:ptCount val="1"/>
                <c:pt idx="0">
                  <c:v>Jollibee vs Popeyes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'[1]Competitor model'!$A$16:$A$25</c:f>
              <c:strCache>
                <c:ptCount val="10"/>
                <c:pt idx="0">
                  <c:v>Crispy Chicken (Ala Carte)</c:v>
                </c:pt>
                <c:pt idx="1">
                  <c:v>Combo Meal (Chicken + Sides)</c:v>
                </c:pt>
                <c:pt idx="2">
                  <c:v>Family Meal</c:v>
                </c:pt>
                <c:pt idx="3">
                  <c:v>Beverages (Soft Drink)</c:v>
                </c:pt>
                <c:pt idx="4">
                  <c:v>Chicken Sandwich (Ala Carte)</c:v>
                </c:pt>
                <c:pt idx="5">
                  <c:v>Value Meal (Sandwich + Fries + Drink)</c:v>
                </c:pt>
                <c:pt idx="6">
                  <c:v>Breakfast Combo (Egg + Meat + Drink)</c:v>
                </c:pt>
                <c:pt idx="7">
                  <c:v>Desserts (Ice Cream)</c:v>
                </c:pt>
                <c:pt idx="8">
                  <c:v>Kids Meal (Chicken + Side + Toy)</c:v>
                </c:pt>
                <c:pt idx="9">
                  <c:v>Seasonal/Promotional Meal</c:v>
                </c:pt>
              </c:strCache>
            </c:strRef>
          </c:cat>
          <c:val>
            <c:numRef>
              <c:f>'[1]Competitor model'!$C$16:$C$25</c:f>
              <c:numCache>
                <c:formatCode>General</c:formatCode>
                <c:ptCount val="10"/>
                <c:pt idx="0">
                  <c:v>9.9999999999999645E-2</c:v>
                </c:pt>
                <c:pt idx="1">
                  <c:v>0.19999999999999929</c:v>
                </c:pt>
                <c:pt idx="2">
                  <c:v>1.5</c:v>
                </c:pt>
                <c:pt idx="3">
                  <c:v>0.10000000000000009</c:v>
                </c:pt>
                <c:pt idx="4">
                  <c:v>9.9999999999999645E-2</c:v>
                </c:pt>
                <c:pt idx="5">
                  <c:v>0.29999999999999982</c:v>
                </c:pt>
                <c:pt idx="6">
                  <c:v>0.29999999999999982</c:v>
                </c:pt>
                <c:pt idx="7">
                  <c:v>0.19999999999999996</c:v>
                </c:pt>
                <c:pt idx="8">
                  <c:v>9.9999999999999645E-2</c:v>
                </c:pt>
                <c:pt idx="9">
                  <c:v>0.30000000000000071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A8-449B-A6CC-55E5726345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6227552"/>
        <c:axId val="566225632"/>
      </c:barChart>
      <c:catAx>
        <c:axId val="5662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25632"/>
        <c:crosses val="autoZero"/>
        <c:auto val="1"/>
        <c:lblAlgn val="ctr"/>
        <c:lblOffset val="100"/>
        <c:noMultiLvlLbl val="0"/>
      </c:catAx>
      <c:valAx>
        <c:axId val="5662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 </a:t>
            </a:r>
            <a:r>
              <a:rPr lang="en-US"/>
              <a:t>O</a:t>
            </a:r>
            <a:r>
              <a:rPr lang="en-US" altLang="zh-CN"/>
              <a:t>utlets</a:t>
            </a:r>
            <a:r>
              <a:rPr lang="en-US" altLang="zh-CN" baseline="0"/>
              <a:t> </a:t>
            </a:r>
            <a:r>
              <a:rPr lang="en-US" altLang="zh-CN"/>
              <a:t>trend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'[1]Competitor model'!$A$109</c:f>
              <c:strCache>
                <c:ptCount val="1"/>
                <c:pt idx="0">
                  <c:v>Jollibee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'[1]Competitor model'!$B$108:$C$108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'[1]Competitor model'!$B$109:$C$109</c:f>
              <c:numCache>
                <c:formatCode>General</c:formatCode>
                <c:ptCount val="2"/>
                <c:pt idx="0">
                  <c:v>6.6666666666666666E-2</c:v>
                </c:pt>
                <c:pt idx="1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4-466D-862A-738E5057F589}"/>
            </c:ext>
          </c:extLst>
        </c:ser>
        <c:ser>
          <c:idx val="1"/>
          <c:order val="1"/>
          <c:tx>
            <c:strRef>
              <c:f>'[1]Competitor model'!$A$110</c:f>
              <c:strCache>
                <c:ptCount val="1"/>
                <c:pt idx="0">
                  <c:v>McDonald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'[1]Competitor model'!$B$108:$C$108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'[1]Competitor model'!$B$110:$C$110</c:f>
              <c:numCache>
                <c:formatCode>General</c:formatCode>
                <c:ptCount val="2"/>
                <c:pt idx="0">
                  <c:v>4.8951048951048952E-2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4-466D-862A-738E5057F589}"/>
            </c:ext>
          </c:extLst>
        </c:ser>
        <c:ser>
          <c:idx val="2"/>
          <c:order val="2"/>
          <c:tx>
            <c:strRef>
              <c:f>'[1]Competitor model'!$A$111</c:f>
              <c:strCache>
                <c:ptCount val="1"/>
                <c:pt idx="0">
                  <c:v>Popeyes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'[1]Competitor model'!$B$108:$C$108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'[1]Competitor model'!$B$111:$C$111</c:f>
              <c:numCache>
                <c:formatCode>General</c:formatCode>
                <c:ptCount val="2"/>
                <c:pt idx="0">
                  <c:v>0.16666666666666666</c:v>
                </c:pt>
                <c:pt idx="1">
                  <c:v>0.21428571428571427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54-466D-862A-738E5057F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115456"/>
        <c:axId val="726117856"/>
      </c:lineChart>
      <c:catAx>
        <c:axId val="7261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17856"/>
        <c:crosses val="autoZero"/>
        <c:auto val="1"/>
        <c:lblAlgn val="ctr"/>
        <c:lblOffset val="100"/>
        <c:noMultiLvlLbl val="0"/>
      </c:catAx>
      <c:valAx>
        <c:axId val="72611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1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J</a:t>
            </a:r>
            <a:r>
              <a:rPr lang="en-US"/>
              <a:t>ollibee Price Trend</a:t>
            </a:r>
          </a:p>
        </c:rich>
      </c:tx>
      <c:layout>
        <c:manualLayout>
          <c:xMode val="edge"/>
          <c:yMode val="edge"/>
          <c:x val="0.40634248901257203"/>
          <c:y val="5.10886394599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848714416947408"/>
          <c:y val="0.30028432231056645"/>
          <c:w val="0.6463858044292724"/>
          <c:h val="0.61559892938746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'[1]Competitor model'!$H$31</c:f>
              <c:strCache>
                <c:ptCount val="1"/>
                <c:pt idx="0">
                  <c:v>2022-2023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'[1]Competitor model'!$G$32:$G$38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model'!$H$32:$H$38</c:f>
              <c:numCache>
                <c:formatCode>General</c:formatCode>
                <c:ptCount val="7"/>
                <c:pt idx="0">
                  <c:v>0.1</c:v>
                </c:pt>
                <c:pt idx="1">
                  <c:v>0.1272727272727272</c:v>
                </c:pt>
                <c:pt idx="3">
                  <c:v>5.5555555555555518E-2</c:v>
                </c:pt>
                <c:pt idx="4">
                  <c:v>8.8235294117647134E-2</c:v>
                </c:pt>
                <c:pt idx="5">
                  <c:v>2.1739130434782726E-2</c:v>
                </c:pt>
                <c:pt idx="6">
                  <c:v>1.9230769230769162E-2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C-42C8-84C6-2A6C400BCBE3}"/>
            </c:ext>
          </c:extLst>
        </c:ser>
        <c:ser>
          <c:idx val="1"/>
          <c:order val="1"/>
          <c:tx>
            <c:strRef>
              <c:f>'[1]Competitor model'!$I$31</c:f>
              <c:strCache>
                <c:ptCount val="1"/>
                <c:pt idx="0">
                  <c:v>2023-2024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'[1]Competitor model'!$G$32:$G$38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model'!$I$32:$I$38</c:f>
              <c:numCache>
                <c:formatCode>General</c:formatCode>
                <c:ptCount val="7"/>
                <c:pt idx="0">
                  <c:v>9.0909090909090592E-3</c:v>
                </c:pt>
                <c:pt idx="1">
                  <c:v>3.5842293906810548E-3</c:v>
                </c:pt>
                <c:pt idx="2">
                  <c:v>0</c:v>
                </c:pt>
                <c:pt idx="3">
                  <c:v>0.12280701754385967</c:v>
                </c:pt>
                <c:pt idx="4">
                  <c:v>0</c:v>
                </c:pt>
                <c:pt idx="5">
                  <c:v>0.21276595744680851</c:v>
                </c:pt>
                <c:pt idx="6">
                  <c:v>7.5471698113207614E-2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C-42C8-84C6-2A6C400B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9612512"/>
        <c:axId val="1959612992"/>
      </c:barChart>
      <c:catAx>
        <c:axId val="195961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12992"/>
        <c:crosses val="autoZero"/>
        <c:auto val="1"/>
        <c:lblAlgn val="ctr"/>
        <c:lblOffset val="100"/>
        <c:noMultiLvlLbl val="0"/>
      </c:catAx>
      <c:valAx>
        <c:axId val="19596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1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70528080189287E-2"/>
          <c:y val="0.16601944065728616"/>
          <c:w val="0.2193877057604576"/>
          <c:h val="5.1195050433266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</a:t>
            </a:r>
            <a:r>
              <a:rPr lang="en-US" altLang="zh-CN"/>
              <a:t>cdonal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'[1]Competitor model'!$H$41</c:f>
              <c:strCache>
                <c:ptCount val="1"/>
                <c:pt idx="0">
                  <c:v>2022-2023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'[1]Competitor model'!$G$42:$G$48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model'!$H$42:$H$48</c:f>
              <c:numCache>
                <c:formatCode>General</c:formatCode>
                <c:ptCount val="7"/>
                <c:pt idx="0">
                  <c:v>4.5454545454545456E-2</c:v>
                </c:pt>
                <c:pt idx="1">
                  <c:v>5.1724137931034482E-2</c:v>
                </c:pt>
                <c:pt idx="2">
                  <c:v>7.1428571428571494E-2</c:v>
                </c:pt>
                <c:pt idx="3">
                  <c:v>3.1249999999999889E-2</c:v>
                </c:pt>
                <c:pt idx="4">
                  <c:v>5.2631578947368474E-2</c:v>
                </c:pt>
                <c:pt idx="5">
                  <c:v>4.0000000000000036E-2</c:v>
                </c:pt>
                <c:pt idx="6">
                  <c:v>7.4074074074073973E-2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6-47DB-A134-77093CC35059}"/>
            </c:ext>
          </c:extLst>
        </c:ser>
        <c:ser>
          <c:idx val="1"/>
          <c:order val="1"/>
          <c:tx>
            <c:strRef>
              <c:f>'[1]Competitor model'!$I$41</c:f>
              <c:strCache>
                <c:ptCount val="1"/>
                <c:pt idx="0">
                  <c:v>2023-2024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'[1]Competitor model'!$G$42:$G$48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model'!$I$42:$I$48</c:f>
              <c:numCache>
                <c:formatCode>General</c:formatCode>
                <c:ptCount val="7"/>
                <c:pt idx="0">
                  <c:v>6.5217391304347207E-3</c:v>
                </c:pt>
                <c:pt idx="1">
                  <c:v>1.6393442622950821E-2</c:v>
                </c:pt>
                <c:pt idx="2">
                  <c:v>3.3333333333333361E-2</c:v>
                </c:pt>
                <c:pt idx="3">
                  <c:v>6.0606060606060663E-2</c:v>
                </c:pt>
                <c:pt idx="4">
                  <c:v>5.0000000000000044E-2</c:v>
                </c:pt>
                <c:pt idx="5">
                  <c:v>3.8461538461538491E-2</c:v>
                </c:pt>
                <c:pt idx="6">
                  <c:v>0.10344827586206906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6-47DB-A134-77093CC35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6506512"/>
        <c:axId val="1556505072"/>
      </c:barChart>
      <c:catAx>
        <c:axId val="1556506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505072"/>
        <c:crosses val="autoZero"/>
        <c:auto val="1"/>
        <c:lblAlgn val="ctr"/>
        <c:lblOffset val="100"/>
        <c:noMultiLvlLbl val="0"/>
      </c:catAx>
      <c:valAx>
        <c:axId val="155650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5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</a:t>
            </a:r>
            <a:r>
              <a:rPr lang="en-US" altLang="zh-CN"/>
              <a:t>opeyes Price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'[1]Competitor model'!$H$51</c:f>
              <c:strCache>
                <c:ptCount val="1"/>
                <c:pt idx="0">
                  <c:v>2022-2023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'[1]Competitor model'!$G$52:$G$58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model'!$H$52:$H$58</c:f>
              <c:numCache>
                <c:formatCode>General</c:formatCode>
                <c:ptCount val="7"/>
                <c:pt idx="0">
                  <c:v>7.1428571428571425E-2</c:v>
                </c:pt>
                <c:pt idx="1">
                  <c:v>5.3571428571428568E-2</c:v>
                </c:pt>
                <c:pt idx="2">
                  <c:v>7.6923076923076816E-2</c:v>
                </c:pt>
                <c:pt idx="3">
                  <c:v>6.6666666666666721E-2</c:v>
                </c:pt>
                <c:pt idx="4">
                  <c:v>5.4054054054053981E-2</c:v>
                </c:pt>
                <c:pt idx="5">
                  <c:v>4.1666666666666706E-2</c:v>
                </c:pt>
                <c:pt idx="6">
                  <c:v>3.7735849056603807E-2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4-40F2-A2A0-1149C2AAFA00}"/>
            </c:ext>
          </c:extLst>
        </c:ser>
        <c:ser>
          <c:idx val="1"/>
          <c:order val="1"/>
          <c:tx>
            <c:strRef>
              <c:f>'[1]Competitor model'!$I$51</c:f>
              <c:strCache>
                <c:ptCount val="1"/>
                <c:pt idx="0">
                  <c:v>2023-2024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'[1]Competitor model'!$G$52:$G$58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model'!$I$52:$I$58</c:f>
              <c:numCache>
                <c:formatCode>General</c:formatCode>
                <c:ptCount val="7"/>
                <c:pt idx="0">
                  <c:v>2.2222222222222223E-2</c:v>
                </c:pt>
                <c:pt idx="1">
                  <c:v>1.6949152542372881E-2</c:v>
                </c:pt>
                <c:pt idx="2">
                  <c:v>7.1428571428571494E-2</c:v>
                </c:pt>
                <c:pt idx="3">
                  <c:v>6.2499999999999917E-2</c:v>
                </c:pt>
                <c:pt idx="4">
                  <c:v>5.1282051282051218E-2</c:v>
                </c:pt>
                <c:pt idx="5">
                  <c:v>4.0000000000000036E-2</c:v>
                </c:pt>
                <c:pt idx="6">
                  <c:v>3.6363636363636397E-2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24-40F2-A2A0-1149C2AAF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0356080"/>
        <c:axId val="1245698080"/>
      </c:barChart>
      <c:catAx>
        <c:axId val="57035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98080"/>
        <c:crosses val="autoZero"/>
        <c:auto val="1"/>
        <c:lblAlgn val="ctr"/>
        <c:lblOffset val="100"/>
        <c:noMultiLvlLbl val="0"/>
      </c:catAx>
      <c:valAx>
        <c:axId val="124569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2022-2023 PRICE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'[1]Competitor model'!$B$62</c:f>
              <c:strCache>
                <c:ptCount val="1"/>
                <c:pt idx="0">
                  <c:v>Jollibee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'[1]Competitor model'!$A$63:$A$69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model'!$B$63:$B$69</c:f>
              <c:numCache>
                <c:formatCode>General</c:formatCode>
                <c:ptCount val="7"/>
                <c:pt idx="0">
                  <c:v>0.1</c:v>
                </c:pt>
                <c:pt idx="1">
                  <c:v>0.1272727272727272</c:v>
                </c:pt>
                <c:pt idx="3">
                  <c:v>5.5555555555555518E-2</c:v>
                </c:pt>
                <c:pt idx="4">
                  <c:v>8.8235294117647134E-2</c:v>
                </c:pt>
                <c:pt idx="5">
                  <c:v>2.1739130434782726E-2</c:v>
                </c:pt>
                <c:pt idx="6">
                  <c:v>1.9230769230769162E-2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F-46CD-B63E-070665970127}"/>
            </c:ext>
          </c:extLst>
        </c:ser>
        <c:ser>
          <c:idx val="1"/>
          <c:order val="1"/>
          <c:tx>
            <c:strRef>
              <c:f>'[1]Competitor model'!$C$62</c:f>
              <c:strCache>
                <c:ptCount val="1"/>
                <c:pt idx="0">
                  <c:v>McDonald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'[1]Competitor model'!$A$63:$A$69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model'!$C$63:$C$69</c:f>
              <c:numCache>
                <c:formatCode>General</c:formatCode>
                <c:ptCount val="7"/>
                <c:pt idx="0">
                  <c:v>4.5454545454545456E-2</c:v>
                </c:pt>
                <c:pt idx="1">
                  <c:v>5.1724137931034482E-2</c:v>
                </c:pt>
                <c:pt idx="2">
                  <c:v>7.1428571428571494E-2</c:v>
                </c:pt>
                <c:pt idx="3">
                  <c:v>3.1249999999999889E-2</c:v>
                </c:pt>
                <c:pt idx="4">
                  <c:v>5.2631578947368474E-2</c:v>
                </c:pt>
                <c:pt idx="5">
                  <c:v>4.0000000000000036E-2</c:v>
                </c:pt>
                <c:pt idx="6">
                  <c:v>7.4074074074073973E-2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F-46CD-B63E-070665970127}"/>
            </c:ext>
          </c:extLst>
        </c:ser>
        <c:ser>
          <c:idx val="2"/>
          <c:order val="2"/>
          <c:tx>
            <c:strRef>
              <c:f>'[1]Competitor model'!$D$62</c:f>
              <c:strCache>
                <c:ptCount val="1"/>
                <c:pt idx="0">
                  <c:v>Popeyes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'[1]Competitor model'!$A$63:$A$69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model'!$D$63:$D$69</c:f>
              <c:numCache>
                <c:formatCode>General</c:formatCode>
                <c:ptCount val="7"/>
                <c:pt idx="0">
                  <c:v>7.1428571428571425E-2</c:v>
                </c:pt>
                <c:pt idx="1">
                  <c:v>5.3571428571428568E-2</c:v>
                </c:pt>
                <c:pt idx="2">
                  <c:v>7.6923076923076816E-2</c:v>
                </c:pt>
                <c:pt idx="3">
                  <c:v>6.6666666666666721E-2</c:v>
                </c:pt>
                <c:pt idx="4">
                  <c:v>5.4054054054053981E-2</c:v>
                </c:pt>
                <c:pt idx="5">
                  <c:v>4.1666666666666706E-2</c:v>
                </c:pt>
                <c:pt idx="6">
                  <c:v>3.7735849056603807E-2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F-46CD-B63E-070665970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9756720"/>
        <c:axId val="1359757200"/>
      </c:barChart>
      <c:catAx>
        <c:axId val="135975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7200"/>
        <c:crosses val="autoZero"/>
        <c:auto val="1"/>
        <c:lblAlgn val="ctr"/>
        <c:lblOffset val="100"/>
        <c:noMultiLvlLbl val="0"/>
      </c:catAx>
      <c:valAx>
        <c:axId val="135975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2023-2024</a:t>
            </a:r>
            <a:r>
              <a:rPr lang="en-SG" baseline="0"/>
              <a:t> PRICE TREND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'[1]Competitor model'!$B$77</c:f>
              <c:strCache>
                <c:ptCount val="1"/>
                <c:pt idx="0">
                  <c:v>Jollibee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'[1]Competitor model'!$A$78:$A$84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model'!$B$78:$B$84</c:f>
              <c:numCache>
                <c:formatCode>General</c:formatCode>
                <c:ptCount val="7"/>
                <c:pt idx="0">
                  <c:v>9.0909090909090592E-3</c:v>
                </c:pt>
                <c:pt idx="1">
                  <c:v>3.5842293906810548E-3</c:v>
                </c:pt>
                <c:pt idx="2">
                  <c:v>0</c:v>
                </c:pt>
                <c:pt idx="3">
                  <c:v>0.12280701754385967</c:v>
                </c:pt>
                <c:pt idx="4">
                  <c:v>0</c:v>
                </c:pt>
                <c:pt idx="5">
                  <c:v>0.21276595744680851</c:v>
                </c:pt>
                <c:pt idx="6">
                  <c:v>7.5471698113207614E-2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3-4E2E-AE68-ACEA1255160F}"/>
            </c:ext>
          </c:extLst>
        </c:ser>
        <c:ser>
          <c:idx val="1"/>
          <c:order val="1"/>
          <c:tx>
            <c:strRef>
              <c:f>'[1]Competitor model'!$C$77</c:f>
              <c:strCache>
                <c:ptCount val="1"/>
                <c:pt idx="0">
                  <c:v>McDonald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'[1]Competitor model'!$A$78:$A$84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model'!$C$78:$C$84</c:f>
              <c:numCache>
                <c:formatCode>General</c:formatCode>
                <c:ptCount val="7"/>
                <c:pt idx="0">
                  <c:v>6.5217391304347207E-3</c:v>
                </c:pt>
                <c:pt idx="1">
                  <c:v>1.6393442622950821E-2</c:v>
                </c:pt>
                <c:pt idx="2">
                  <c:v>3.3333333333333361E-2</c:v>
                </c:pt>
                <c:pt idx="3">
                  <c:v>6.0606060606060663E-2</c:v>
                </c:pt>
                <c:pt idx="4">
                  <c:v>5.0000000000000044E-2</c:v>
                </c:pt>
                <c:pt idx="5">
                  <c:v>3.8461538461538491E-2</c:v>
                </c:pt>
                <c:pt idx="6">
                  <c:v>0.10344827586206906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3-4E2E-AE68-ACEA1255160F}"/>
            </c:ext>
          </c:extLst>
        </c:ser>
        <c:ser>
          <c:idx val="2"/>
          <c:order val="2"/>
          <c:tx>
            <c:strRef>
              <c:f>'[1]Competitor model'!$D$77</c:f>
              <c:strCache>
                <c:ptCount val="1"/>
                <c:pt idx="0">
                  <c:v>Popeyes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'[1]Competitor model'!$A$78:$A$84</c:f>
              <c:strCache>
                <c:ptCount val="7"/>
                <c:pt idx="0">
                  <c:v>6 pcs chickenjoy burket</c:v>
                </c:pt>
                <c:pt idx="1">
                  <c:v>8 pcs chickenjoy burket</c:v>
                </c:pt>
                <c:pt idx="2">
                  <c:v>Pie</c:v>
                </c:pt>
                <c:pt idx="3">
                  <c:v>Cheesy Yumburger</c:v>
                </c:pt>
                <c:pt idx="4">
                  <c:v>Buttered corn</c:v>
                </c:pt>
                <c:pt idx="5">
                  <c:v>Mineral water</c:v>
                </c:pt>
                <c:pt idx="6">
                  <c:v>Coca cola(canned)</c:v>
                </c:pt>
              </c:strCache>
            </c:strRef>
          </c:cat>
          <c:val>
            <c:numRef>
              <c:f>'[1]Competitor model'!$D$78:$D$84</c:f>
              <c:numCache>
                <c:formatCode>General</c:formatCode>
                <c:ptCount val="7"/>
                <c:pt idx="0">
                  <c:v>2.2222222222222223E-2</c:v>
                </c:pt>
                <c:pt idx="1">
                  <c:v>1.6949152542372881E-2</c:v>
                </c:pt>
                <c:pt idx="2">
                  <c:v>7.1428571428571494E-2</c:v>
                </c:pt>
                <c:pt idx="3">
                  <c:v>6.2499999999999917E-2</c:v>
                </c:pt>
                <c:pt idx="4">
                  <c:v>5.1282051282051218E-2</c:v>
                </c:pt>
                <c:pt idx="5">
                  <c:v>4.0000000000000036E-2</c:v>
                </c:pt>
                <c:pt idx="6">
                  <c:v>3.6363636363636397E-2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3-4E2E-AE68-ACEA1255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9119824"/>
        <c:axId val="569120304"/>
      </c:barChart>
      <c:catAx>
        <c:axId val="56911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20304"/>
        <c:crosses val="autoZero"/>
        <c:auto val="1"/>
        <c:lblAlgn val="ctr"/>
        <c:lblOffset val="100"/>
        <c:noMultiLvlLbl val="0"/>
      </c:catAx>
      <c:valAx>
        <c:axId val="56912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1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by Factors and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model'!$B$111</c:f>
              <c:strCache>
                <c:ptCount val="1"/>
                <c:pt idx="0">
                  <c:v>Health Trend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'Customer model'!$A$112:$A$135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model'!$B$112:$B$135</c:f>
              <c:numCache>
                <c:formatCode>\$#,##0.00_);[Red]\(\$#,##0.00\)</c:formatCode>
                <c:ptCount val="24"/>
                <c:pt idx="0">
                  <c:v>28839.14487222187</c:v>
                </c:pt>
                <c:pt idx="1">
                  <c:v>25493.141750509218</c:v>
                </c:pt>
                <c:pt idx="2">
                  <c:v>22929.299091542176</c:v>
                </c:pt>
                <c:pt idx="3">
                  <c:v>25065.34419163311</c:v>
                </c:pt>
                <c:pt idx="4">
                  <c:v>22441.024890286622</c:v>
                </c:pt>
                <c:pt idx="5">
                  <c:v>29054.017000066022</c:v>
                </c:pt>
                <c:pt idx="6">
                  <c:v>29039.561627584008</c:v>
                </c:pt>
                <c:pt idx="7">
                  <c:v>29437.79277799312</c:v>
                </c:pt>
                <c:pt idx="8">
                  <c:v>30138.246816939783</c:v>
                </c:pt>
                <c:pt idx="9">
                  <c:v>30095.079201616816</c:v>
                </c:pt>
                <c:pt idx="10">
                  <c:v>26979.688111253592</c:v>
                </c:pt>
                <c:pt idx="11">
                  <c:v>33193.999616696572</c:v>
                </c:pt>
                <c:pt idx="12">
                  <c:v>29056.39712956627</c:v>
                </c:pt>
                <c:pt idx="13">
                  <c:v>29115.694196461256</c:v>
                </c:pt>
                <c:pt idx="14">
                  <c:v>26412.548211441845</c:v>
                </c:pt>
                <c:pt idx="15">
                  <c:v>27442.127331130348</c:v>
                </c:pt>
                <c:pt idx="16">
                  <c:v>29040.290685021646</c:v>
                </c:pt>
                <c:pt idx="17">
                  <c:v>25082.028275704342</c:v>
                </c:pt>
                <c:pt idx="18">
                  <c:v>28653.754131923779</c:v>
                </c:pt>
                <c:pt idx="19">
                  <c:v>32631.738605939157</c:v>
                </c:pt>
                <c:pt idx="20">
                  <c:v>30793.217165486167</c:v>
                </c:pt>
                <c:pt idx="21">
                  <c:v>34841.39928511683</c:v>
                </c:pt>
                <c:pt idx="22">
                  <c:v>25690.184853767652</c:v>
                </c:pt>
                <c:pt idx="23">
                  <c:v>29431.378562106154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7-4841-BBF1-6755A3342AC9}"/>
            </c:ext>
          </c:extLst>
        </c:ser>
        <c:ser>
          <c:idx val="1"/>
          <c:order val="1"/>
          <c:tx>
            <c:strRef>
              <c:f>'Customer model'!$C$111</c:f>
              <c:strCache>
                <c:ptCount val="1"/>
                <c:pt idx="0">
                  <c:v>Indulgent Trend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model'!$A$112:$A$135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model'!$C$112:$C$135</c:f>
              <c:numCache>
                <c:formatCode>\$#,##0.00_);[Red]\(\$#,##0.00\)</c:formatCode>
                <c:ptCount val="24"/>
                <c:pt idx="0">
                  <c:v>29739.565705776953</c:v>
                </c:pt>
                <c:pt idx="1">
                  <c:v>29666.605956670086</c:v>
                </c:pt>
                <c:pt idx="2">
                  <c:v>26079.159594714718</c:v>
                </c:pt>
                <c:pt idx="3">
                  <c:v>27094.548522924168</c:v>
                </c:pt>
                <c:pt idx="4">
                  <c:v>25978.99096873726</c:v>
                </c:pt>
                <c:pt idx="5">
                  <c:v>29006.486320875054</c:v>
                </c:pt>
                <c:pt idx="6">
                  <c:v>28920.439543335415</c:v>
                </c:pt>
                <c:pt idx="7">
                  <c:v>30824.740301471593</c:v>
                </c:pt>
                <c:pt idx="8">
                  <c:v>29500.463398944434</c:v>
                </c:pt>
                <c:pt idx="9">
                  <c:v>30807.469022206125</c:v>
                </c:pt>
                <c:pt idx="10">
                  <c:v>30153.27624681835</c:v>
                </c:pt>
                <c:pt idx="11">
                  <c:v>31616.940933687041</c:v>
                </c:pt>
                <c:pt idx="12">
                  <c:v>32895.139724472829</c:v>
                </c:pt>
                <c:pt idx="13">
                  <c:v>32277.733913591917</c:v>
                </c:pt>
                <c:pt idx="14">
                  <c:v>29591.245248728927</c:v>
                </c:pt>
                <c:pt idx="15">
                  <c:v>31381.386593375122</c:v>
                </c:pt>
                <c:pt idx="16">
                  <c:v>29460.870824130492</c:v>
                </c:pt>
                <c:pt idx="17">
                  <c:v>26646.154533528614</c:v>
                </c:pt>
                <c:pt idx="18">
                  <c:v>31508.398348475301</c:v>
                </c:pt>
                <c:pt idx="19">
                  <c:v>30703.530637958451</c:v>
                </c:pt>
                <c:pt idx="20">
                  <c:v>30891.686149325367</c:v>
                </c:pt>
                <c:pt idx="21">
                  <c:v>34593.843593761834</c:v>
                </c:pt>
                <c:pt idx="22">
                  <c:v>27217.467739681309</c:v>
                </c:pt>
                <c:pt idx="23">
                  <c:v>29830.195782091512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7-4841-BBF1-6755A3342AC9}"/>
            </c:ext>
          </c:extLst>
        </c:ser>
        <c:ser>
          <c:idx val="2"/>
          <c:order val="2"/>
          <c:tx>
            <c:strRef>
              <c:f>'Customer model'!$D$111</c:f>
              <c:strCache>
                <c:ptCount val="1"/>
                <c:pt idx="0">
                  <c:v>Double Health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'Customer model'!$A$112:$A$135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model'!$D$112:$D$135</c:f>
              <c:numCache>
                <c:formatCode>\$#,##0.00;\-\$#,##0.00</c:formatCode>
                <c:ptCount val="24"/>
                <c:pt idx="0">
                  <c:v>30338.955417301855</c:v>
                </c:pt>
                <c:pt idx="1">
                  <c:v>26740.182053755812</c:v>
                </c:pt>
                <c:pt idx="2">
                  <c:v>23626.70583707466</c:v>
                </c:pt>
                <c:pt idx="3">
                  <c:v>26084.806426351981</c:v>
                </c:pt>
                <c:pt idx="4">
                  <c:v>23417.71903021682</c:v>
                </c:pt>
                <c:pt idx="5">
                  <c:v>30588.154626738717</c:v>
                </c:pt>
                <c:pt idx="6">
                  <c:v>31029.104349918678</c:v>
                </c:pt>
                <c:pt idx="7">
                  <c:v>31001.086370598034</c:v>
                </c:pt>
                <c:pt idx="8">
                  <c:v>32008.072547542557</c:v>
                </c:pt>
                <c:pt idx="9">
                  <c:v>31842.098968020651</c:v>
                </c:pt>
                <c:pt idx="10">
                  <c:v>28164.160455990728</c:v>
                </c:pt>
                <c:pt idx="11">
                  <c:v>35346.174489538636</c:v>
                </c:pt>
                <c:pt idx="12">
                  <c:v>30698.157618219047</c:v>
                </c:pt>
                <c:pt idx="13">
                  <c:v>30875.124462379456</c:v>
                </c:pt>
                <c:pt idx="14">
                  <c:v>27967.298839304138</c:v>
                </c:pt>
                <c:pt idx="15">
                  <c:v>29012.227322455037</c:v>
                </c:pt>
                <c:pt idx="16">
                  <c:v>31159.974424209628</c:v>
                </c:pt>
                <c:pt idx="17">
                  <c:v>26876.278551395</c:v>
                </c:pt>
                <c:pt idx="18">
                  <c:v>30592.662933023683</c:v>
                </c:pt>
                <c:pt idx="19">
                  <c:v>35335.512517879426</c:v>
                </c:pt>
                <c:pt idx="20">
                  <c:v>32830.328996674871</c:v>
                </c:pt>
                <c:pt idx="21">
                  <c:v>37629.614732740236</c:v>
                </c:pt>
                <c:pt idx="22">
                  <c:v>27189.398921345579</c:v>
                </c:pt>
                <c:pt idx="23">
                  <c:v>31164.030223892798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7-4841-BBF1-6755A3342AC9}"/>
            </c:ext>
          </c:extLst>
        </c:ser>
        <c:ser>
          <c:idx val="3"/>
          <c:order val="3"/>
          <c:tx>
            <c:strRef>
              <c:f>'Customer model'!$E$111</c:f>
              <c:strCache>
                <c:ptCount val="1"/>
                <c:pt idx="0">
                  <c:v>Double Indulgent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'Customer model'!$A$112:$A$135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model'!$E$112:$E$135</c:f>
              <c:numCache>
                <c:formatCode>\$#,##0.00;\-\$#,##0.00</c:formatCode>
                <c:ptCount val="24"/>
                <c:pt idx="0">
                  <c:v>30221.838274281949</c:v>
                </c:pt>
                <c:pt idx="1">
                  <c:v>30128.866166974221</c:v>
                </c:pt>
                <c:pt idx="2">
                  <c:v>26452.66606354187</c:v>
                </c:pt>
                <c:pt idx="3">
                  <c:v>27496.785483019725</c:v>
                </c:pt>
                <c:pt idx="4">
                  <c:v>26692.549698648367</c:v>
                </c:pt>
                <c:pt idx="5">
                  <c:v>29601.737043527472</c:v>
                </c:pt>
                <c:pt idx="6">
                  <c:v>29313.960540113068</c:v>
                </c:pt>
                <c:pt idx="7">
                  <c:v>31255.130841087965</c:v>
                </c:pt>
                <c:pt idx="8">
                  <c:v>29798.388580932733</c:v>
                </c:pt>
                <c:pt idx="9">
                  <c:v>31486.803025431487</c:v>
                </c:pt>
                <c:pt idx="10">
                  <c:v>30501.98325270713</c:v>
                </c:pt>
                <c:pt idx="11">
                  <c:v>32146.07027888405</c:v>
                </c:pt>
                <c:pt idx="12">
                  <c:v>33611.726633662489</c:v>
                </c:pt>
                <c:pt idx="13">
                  <c:v>33193.552687570838</c:v>
                </c:pt>
                <c:pt idx="14">
                  <c:v>30153.559860930087</c:v>
                </c:pt>
                <c:pt idx="15">
                  <c:v>31928.815371905068</c:v>
                </c:pt>
                <c:pt idx="16">
                  <c:v>29839.13098725165</c:v>
                </c:pt>
                <c:pt idx="17">
                  <c:v>26779.077648858922</c:v>
                </c:pt>
                <c:pt idx="18">
                  <c:v>32383.873319180089</c:v>
                </c:pt>
                <c:pt idx="19">
                  <c:v>31272.844710889061</c:v>
                </c:pt>
                <c:pt idx="20">
                  <c:v>31715.135565880653</c:v>
                </c:pt>
                <c:pt idx="21">
                  <c:v>35127.341410720896</c:v>
                </c:pt>
                <c:pt idx="22">
                  <c:v>27644.17927984404</c:v>
                </c:pt>
                <c:pt idx="23">
                  <c:v>30663.32037420023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7-4841-BBF1-6755A3342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943696"/>
        <c:axId val="728944176"/>
      </c:lineChart>
      <c:dateAx>
        <c:axId val="72894369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944176"/>
        <c:crosses val="autoZero"/>
        <c:auto val="1"/>
        <c:lblOffset val="100"/>
        <c:baseTimeUnit val="months"/>
      </c:dateAx>
      <c:valAx>
        <c:axId val="7289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[Red]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9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Cutomer loyalty 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'Customer model'!$B$144</c:f>
              <c:strCache>
                <c:ptCount val="1"/>
                <c:pt idx="0">
                  <c:v>Indulgent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'Customer model'!$A$145:$A$168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xVal>
          <c:yVal>
            <c:numRef>
              <c:f>'Customer model'!$B$145:$B$168</c:f>
              <c:numCache>
                <c:formatCode>0%</c:formatCode>
                <c:ptCount val="24"/>
                <c:pt idx="0">
                  <c:v>0.75220529270248593</c:v>
                </c:pt>
                <c:pt idx="1">
                  <c:v>0.79481481481481486</c:v>
                </c:pt>
                <c:pt idx="2">
                  <c:v>0.66045548654244302</c:v>
                </c:pt>
                <c:pt idx="3">
                  <c:v>0.56809338521400776</c:v>
                </c:pt>
                <c:pt idx="4">
                  <c:v>0.60377358490566035</c:v>
                </c:pt>
                <c:pt idx="5">
                  <c:v>0.5949796472184532</c:v>
                </c:pt>
                <c:pt idx="6">
                  <c:v>0.66666666666666663</c:v>
                </c:pt>
                <c:pt idx="7">
                  <c:v>0.74315619967793878</c:v>
                </c:pt>
                <c:pt idx="8">
                  <c:v>0.58827586206896554</c:v>
                </c:pt>
                <c:pt idx="9">
                  <c:v>0.63475409836065577</c:v>
                </c:pt>
                <c:pt idx="10">
                  <c:v>0.81847914963205237</c:v>
                </c:pt>
                <c:pt idx="11">
                  <c:v>0.66412698412698412</c:v>
                </c:pt>
                <c:pt idx="12">
                  <c:v>0.80827586206896551</c:v>
                </c:pt>
                <c:pt idx="13">
                  <c:v>0.74622356495468278</c:v>
                </c:pt>
                <c:pt idx="14">
                  <c:v>0.74983541803818299</c:v>
                </c:pt>
                <c:pt idx="15">
                  <c:v>0.75982532751091703</c:v>
                </c:pt>
                <c:pt idx="16">
                  <c:v>0.67117437722419926</c:v>
                </c:pt>
                <c:pt idx="17">
                  <c:v>0.55911169170476815</c:v>
                </c:pt>
                <c:pt idx="18">
                  <c:v>0.78700602813127929</c:v>
                </c:pt>
                <c:pt idx="19">
                  <c:v>0.65723684210526312</c:v>
                </c:pt>
                <c:pt idx="20">
                  <c:v>0.66720911310008135</c:v>
                </c:pt>
                <c:pt idx="21">
                  <c:v>0.81522542498152251</c:v>
                </c:pt>
                <c:pt idx="22">
                  <c:v>0.56722951844903069</c:v>
                </c:pt>
                <c:pt idx="23">
                  <c:v>0.6211180124223602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1-4275-BFF1-397ED70D1068}"/>
            </c:ext>
          </c:extLst>
        </c:ser>
        <c:ser>
          <c:idx val="1"/>
          <c:order val="1"/>
          <c:tx>
            <c:strRef>
              <c:f>'Customer model'!$C$144</c:f>
              <c:strCache>
                <c:ptCount val="1"/>
                <c:pt idx="0">
                  <c:v>Health-Conscious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'Customer model'!$A$145:$A$168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xVal>
          <c:yVal>
            <c:numRef>
              <c:f>'Customer model'!$C$145:$C$168</c:f>
              <c:numCache>
                <c:formatCode>0%</c:formatCode>
                <c:ptCount val="24"/>
                <c:pt idx="0">
                  <c:v>0.60146699266503667</c:v>
                </c:pt>
                <c:pt idx="1">
                  <c:v>0.37579617834394907</c:v>
                </c:pt>
                <c:pt idx="2">
                  <c:v>0.48641975308641977</c:v>
                </c:pt>
                <c:pt idx="3">
                  <c:v>0.37195121951219512</c:v>
                </c:pt>
                <c:pt idx="4">
                  <c:v>0.36639676113360325</c:v>
                </c:pt>
                <c:pt idx="5">
                  <c:v>0.52017937219730936</c:v>
                </c:pt>
                <c:pt idx="6">
                  <c:v>0.58064516129032262</c:v>
                </c:pt>
                <c:pt idx="7">
                  <c:v>0.51528384279475981</c:v>
                </c:pt>
                <c:pt idx="8">
                  <c:v>0.48539325842696629</c:v>
                </c:pt>
                <c:pt idx="9">
                  <c:v>0.44567627494456763</c:v>
                </c:pt>
                <c:pt idx="10">
                  <c:v>0.54525386313465785</c:v>
                </c:pt>
                <c:pt idx="11">
                  <c:v>0.59808612440191389</c:v>
                </c:pt>
                <c:pt idx="12">
                  <c:v>0.36842105263157893</c:v>
                </c:pt>
                <c:pt idx="13">
                  <c:v>0.38185654008438819</c:v>
                </c:pt>
                <c:pt idx="14">
                  <c:v>0.4731182795698925</c:v>
                </c:pt>
                <c:pt idx="15">
                  <c:v>0.34193548387096773</c:v>
                </c:pt>
                <c:pt idx="16">
                  <c:v>0.55144032921810704</c:v>
                </c:pt>
                <c:pt idx="17">
                  <c:v>0.36873747494989978</c:v>
                </c:pt>
                <c:pt idx="18">
                  <c:v>0.50976138828633411</c:v>
                </c:pt>
                <c:pt idx="19">
                  <c:v>0.6706443914081146</c:v>
                </c:pt>
                <c:pt idx="20">
                  <c:v>0.59628770301624134</c:v>
                </c:pt>
                <c:pt idx="21">
                  <c:v>0.57582938388625593</c:v>
                </c:pt>
                <c:pt idx="22">
                  <c:v>0.47123893805309736</c:v>
                </c:pt>
                <c:pt idx="23">
                  <c:v>0.59482758620689657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71-4275-BFF1-397ED70D1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626144"/>
        <c:axId val="1960624704"/>
      </c:scatterChart>
      <c:valAx>
        <c:axId val="196062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624704"/>
        <c:crosses val="autoZero"/>
        <c:crossBetween val="midCat"/>
      </c:valAx>
      <c:valAx>
        <c:axId val="196062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62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Health-conscious/Indulgent Trend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model'!$K$57</c:f>
              <c:strCache>
                <c:ptCount val="1"/>
                <c:pt idx="0">
                  <c:v>Health Trend Demand(k)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'Customer model'!$J$58:$J$81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model'!$K$58:$K$81</c:f>
              <c:numCache>
                <c:formatCode>0.00</c:formatCode>
                <c:ptCount val="24"/>
                <c:pt idx="0">
                  <c:v>629.33963341849369</c:v>
                </c:pt>
                <c:pt idx="1">
                  <c:v>597.89743249732487</c:v>
                </c:pt>
                <c:pt idx="2">
                  <c:v>487.20590767612083</c:v>
                </c:pt>
                <c:pt idx="3">
                  <c:v>577.63547434516511</c:v>
                </c:pt>
                <c:pt idx="4">
                  <c:v>532.2836015186233</c:v>
                </c:pt>
                <c:pt idx="5">
                  <c:v>603.26012985084878</c:v>
                </c:pt>
                <c:pt idx="6">
                  <c:v>720.64718433819803</c:v>
                </c:pt>
                <c:pt idx="7">
                  <c:v>688.63232535075906</c:v>
                </c:pt>
                <c:pt idx="8">
                  <c:v>718.63941685578732</c:v>
                </c:pt>
                <c:pt idx="9">
                  <c:v>675.28698453707455</c:v>
                </c:pt>
                <c:pt idx="10">
                  <c:v>551.37060690034411</c:v>
                </c:pt>
                <c:pt idx="11">
                  <c:v>682.92454523330264</c:v>
                </c:pt>
                <c:pt idx="12">
                  <c:v>675.34102800086669</c:v>
                </c:pt>
                <c:pt idx="13">
                  <c:v>645.81483796947839</c:v>
                </c:pt>
                <c:pt idx="14">
                  <c:v>650.09773857310972</c:v>
                </c:pt>
                <c:pt idx="15">
                  <c:v>708.26748402013914</c:v>
                </c:pt>
                <c:pt idx="16">
                  <c:v>676.39954937707341</c:v>
                </c:pt>
                <c:pt idx="17">
                  <c:v>616.19516383127075</c:v>
                </c:pt>
                <c:pt idx="18">
                  <c:v>612.21641519223806</c:v>
                </c:pt>
                <c:pt idx="19">
                  <c:v>671.03275316031431</c:v>
                </c:pt>
                <c:pt idx="20">
                  <c:v>693.54084465519861</c:v>
                </c:pt>
                <c:pt idx="21">
                  <c:v>736.42595810932994</c:v>
                </c:pt>
                <c:pt idx="22">
                  <c:v>592.2874733136515</c:v>
                </c:pt>
                <c:pt idx="23">
                  <c:v>559.685517958731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6210DECA-32E3-4237-AE5B-7D87D8293952}"/>
            </c:ext>
          </c:extLst>
        </c:ser>
        <c:ser>
          <c:idx val="1"/>
          <c:order val="1"/>
          <c:tx>
            <c:strRef>
              <c:f>'Customer model'!$L$57</c:f>
              <c:strCache>
                <c:ptCount val="1"/>
                <c:pt idx="0">
                  <c:v>Indulgent Trend Demand(k)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model'!$J$58:$J$81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model'!$L$58:$L$81</c:f>
              <c:numCache>
                <c:formatCode>0.00</c:formatCode>
                <c:ptCount val="24"/>
                <c:pt idx="0">
                  <c:v>1440.7891353034881</c:v>
                </c:pt>
                <c:pt idx="1">
                  <c:v>1488.5334985159193</c:v>
                </c:pt>
                <c:pt idx="2">
                  <c:v>1720.848599558723</c:v>
                </c:pt>
                <c:pt idx="3">
                  <c:v>1717.4105024129635</c:v>
                </c:pt>
                <c:pt idx="4">
                  <c:v>1430.8158977619669</c:v>
                </c:pt>
                <c:pt idx="5">
                  <c:v>1532.2835086799082</c:v>
                </c:pt>
                <c:pt idx="6">
                  <c:v>1598.4761523843686</c:v>
                </c:pt>
                <c:pt idx="7">
                  <c:v>1506.8549457103834</c:v>
                </c:pt>
                <c:pt idx="8">
                  <c:v>1556.8352988011902</c:v>
                </c:pt>
                <c:pt idx="9">
                  <c:v>1509.2046312517191</c:v>
                </c:pt>
                <c:pt idx="10">
                  <c:v>1461.6174079806074</c:v>
                </c:pt>
                <c:pt idx="11">
                  <c:v>1514.6972383693189</c:v>
                </c:pt>
                <c:pt idx="12">
                  <c:v>1642.7970727484474</c:v>
                </c:pt>
                <c:pt idx="13">
                  <c:v>1825.9173647968541</c:v>
                </c:pt>
                <c:pt idx="14">
                  <c:v>1628.8523666651506</c:v>
                </c:pt>
                <c:pt idx="15">
                  <c:v>1287.2273798825927</c:v>
                </c:pt>
                <c:pt idx="16">
                  <c:v>1510.3366130135698</c:v>
                </c:pt>
                <c:pt idx="17">
                  <c:v>1508.1316035025088</c:v>
                </c:pt>
                <c:pt idx="18">
                  <c:v>1797.4174295022144</c:v>
                </c:pt>
                <c:pt idx="19">
                  <c:v>1643.4986124318125</c:v>
                </c:pt>
                <c:pt idx="20">
                  <c:v>1413.826732209558</c:v>
                </c:pt>
                <c:pt idx="21">
                  <c:v>1710.1858238541101</c:v>
                </c:pt>
                <c:pt idx="22">
                  <c:v>1337.5208712974884</c:v>
                </c:pt>
                <c:pt idx="23">
                  <c:v>1452.1079861644337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D45BB99-C0C5-48DC-A989-707BE37A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6841096"/>
        <c:axId val="1706843144"/>
      </c:lineChart>
      <c:dateAx>
        <c:axId val="1706841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43144"/>
        <c:crosses val="autoZero"/>
        <c:auto val="1"/>
        <c:lblOffset val="100"/>
        <c:baseTimeUnit val="months"/>
      </c:dateAx>
      <c:valAx>
        <c:axId val="170684314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841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Health-conscious/Indulgent Trend Revenue(k)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model'!$K$84</c:f>
              <c:strCache>
                <c:ptCount val="1"/>
                <c:pt idx="0">
                  <c:v>Health Trend Revenue(k)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'Customer model'!$J$85:$J$108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model'!$K$85:$K$108</c:f>
              <c:numCache>
                <c:formatCode>0.00</c:formatCode>
                <c:ptCount val="24"/>
                <c:pt idx="0">
                  <c:v>18033.947832433871</c:v>
                </c:pt>
                <c:pt idx="1">
                  <c:v>14649.112125076517</c:v>
                </c:pt>
                <c:pt idx="2">
                  <c:v>12046.436880464677</c:v>
                </c:pt>
                <c:pt idx="3">
                  <c:v>14143.64939491081</c:v>
                </c:pt>
                <c:pt idx="4">
                  <c:v>11480.497507919625</c:v>
                </c:pt>
                <c:pt idx="5">
                  <c:v>18054.65703205422</c:v>
                </c:pt>
                <c:pt idx="6">
                  <c:v>18001.36907392741</c:v>
                </c:pt>
                <c:pt idx="7">
                  <c:v>18360.767638691719</c:v>
                </c:pt>
                <c:pt idx="8">
                  <c:v>19022.389091993682</c:v>
                </c:pt>
                <c:pt idx="9">
                  <c:v>18940.388891025916</c:v>
                </c:pt>
                <c:pt idx="10">
                  <c:v>15786.165215017891</c:v>
                </c:pt>
                <c:pt idx="11">
                  <c:v>21961.644134816175</c:v>
                </c:pt>
                <c:pt idx="12">
                  <c:v>17785.209062041071</c:v>
                </c:pt>
                <c:pt idx="13">
                  <c:v>17805.673543291257</c:v>
                </c:pt>
                <c:pt idx="14">
                  <c:v>15063.694972627045</c:v>
                </c:pt>
                <c:pt idx="15">
                  <c:v>16054.441506670848</c:v>
                </c:pt>
                <c:pt idx="16">
                  <c:v>17613.772274917348</c:v>
                </c:pt>
                <c:pt idx="17">
                  <c:v>13616.677279955242</c:v>
                </c:pt>
                <c:pt idx="18">
                  <c:v>17149.570550529981</c:v>
                </c:pt>
                <c:pt idx="19">
                  <c:v>21088.722438900557</c:v>
                </c:pt>
                <c:pt idx="20">
                  <c:v>19211.368412802767</c:v>
                </c:pt>
                <c:pt idx="21">
                  <c:v>23220.717946788729</c:v>
                </c:pt>
                <c:pt idx="22">
                  <c:v>14030.670929794753</c:v>
                </c:pt>
                <c:pt idx="23">
                  <c:v>17733.032052488452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2ECB211-AC73-42B7-ABD6-8D2A438CD028}"/>
            </c:ext>
          </c:extLst>
        </c:ser>
        <c:ser>
          <c:idx val="1"/>
          <c:order val="1"/>
          <c:tx>
            <c:strRef>
              <c:f>'Customer model'!$L$84</c:f>
              <c:strCache>
                <c:ptCount val="1"/>
                <c:pt idx="0">
                  <c:v>Indulgent Trend Revenue(k)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'Customer model'!$J$85:$J$108</c:f>
              <c:numCache>
                <c:formatCode>yyyy/m/d;@</c:formatCode>
                <c:ptCount val="24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</c:numCache>
            </c:numRef>
          </c:cat>
          <c:val>
            <c:numRef>
              <c:f>'Customer model'!$L$85:$L$108</c:f>
              <c:numCache>
                <c:formatCode>0.00</c:formatCode>
                <c:ptCount val="24"/>
                <c:pt idx="0">
                  <c:v>19415.196010314754</c:v>
                </c:pt>
                <c:pt idx="1">
                  <c:v>19925.285234321484</c:v>
                </c:pt>
                <c:pt idx="2">
                  <c:v>18444.014736496218</c:v>
                </c:pt>
                <c:pt idx="3">
                  <c:v>17528.474326162046</c:v>
                </c:pt>
                <c:pt idx="4">
                  <c:v>18291.76302238648</c:v>
                </c:pt>
                <c:pt idx="5">
                  <c:v>18139.006004060651</c:v>
                </c:pt>
                <c:pt idx="6">
                  <c:v>18790.508586205313</c:v>
                </c:pt>
                <c:pt idx="7">
                  <c:v>19739.375585177993</c:v>
                </c:pt>
                <c:pt idx="8">
                  <c:v>17952.973692713033</c:v>
                </c:pt>
                <c:pt idx="9">
                  <c:v>18914.509704407727</c:v>
                </c:pt>
                <c:pt idx="10">
                  <c:v>20703.89500362238</c:v>
                </c:pt>
                <c:pt idx="11">
                  <c:v>19221.195197900841</c:v>
                </c:pt>
                <c:pt idx="12">
                  <c:v>21098.004228535228</c:v>
                </c:pt>
                <c:pt idx="13">
                  <c:v>20665.64335866852</c:v>
                </c:pt>
                <c:pt idx="14">
                  <c:v>20420.939963596647</c:v>
                </c:pt>
                <c:pt idx="15">
                  <c:v>20587.766714150821</c:v>
                </c:pt>
                <c:pt idx="16">
                  <c:v>19473.96495096806</c:v>
                </c:pt>
                <c:pt idx="17">
                  <c:v>18008.685902301633</c:v>
                </c:pt>
                <c:pt idx="18">
                  <c:v>21433.520379384401</c:v>
                </c:pt>
                <c:pt idx="19">
                  <c:v>19698.825733963651</c:v>
                </c:pt>
                <c:pt idx="20">
                  <c:v>20132.813203575868</c:v>
                </c:pt>
                <c:pt idx="21">
                  <c:v>21627.654037900538</c:v>
                </c:pt>
                <c:pt idx="22">
                  <c:v>18699.845932580549</c:v>
                </c:pt>
                <c:pt idx="23">
                  <c:v>19797.524834408214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308B31D3-DAF9-4B72-A2E9-3846F9982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879687"/>
        <c:axId val="1335882759"/>
      </c:lineChart>
      <c:dateAx>
        <c:axId val="1335879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82759"/>
        <c:crosses val="autoZero"/>
        <c:auto val="1"/>
        <c:lblOffset val="100"/>
        <c:baseTimeUnit val="months"/>
      </c:dateAx>
      <c:valAx>
        <c:axId val="133588275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79687"/>
        <c:crosses val="autoZero"/>
        <c:crossBetween val="between"/>
        <c:majorUnit val="5000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for Health-conscious'!$B$1</c:f>
              <c:strCache>
                <c:ptCount val="1"/>
                <c:pt idx="0">
                  <c:v>Health Trend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for Health-conscious'!$B$2:$B$49</c:f>
              <c:numCache>
                <c:formatCode>\$#,##0.00_);[Red]\(\$#,##0.00\)</c:formatCode>
                <c:ptCount val="48"/>
                <c:pt idx="0">
                  <c:v>28839.14487222187</c:v>
                </c:pt>
                <c:pt idx="1">
                  <c:v>25493.141750509218</c:v>
                </c:pt>
                <c:pt idx="2">
                  <c:v>22929.299091542176</c:v>
                </c:pt>
                <c:pt idx="3">
                  <c:v>25065.34419163311</c:v>
                </c:pt>
                <c:pt idx="4">
                  <c:v>22441.024890286622</c:v>
                </c:pt>
                <c:pt idx="5">
                  <c:v>29054.017000066022</c:v>
                </c:pt>
                <c:pt idx="6">
                  <c:v>29039.561627584008</c:v>
                </c:pt>
                <c:pt idx="7">
                  <c:v>29437.79277799312</c:v>
                </c:pt>
                <c:pt idx="8">
                  <c:v>30138.246816939783</c:v>
                </c:pt>
                <c:pt idx="9">
                  <c:v>30095.079201616816</c:v>
                </c:pt>
                <c:pt idx="10">
                  <c:v>26979.688111253592</c:v>
                </c:pt>
                <c:pt idx="11">
                  <c:v>33193.999616696572</c:v>
                </c:pt>
                <c:pt idx="12">
                  <c:v>29056.39712956627</c:v>
                </c:pt>
                <c:pt idx="13">
                  <c:v>29115.694196461256</c:v>
                </c:pt>
                <c:pt idx="14">
                  <c:v>26412.548211441845</c:v>
                </c:pt>
                <c:pt idx="15">
                  <c:v>27442.127331130348</c:v>
                </c:pt>
                <c:pt idx="16">
                  <c:v>29040.290685021646</c:v>
                </c:pt>
                <c:pt idx="17">
                  <c:v>25082.028275704342</c:v>
                </c:pt>
                <c:pt idx="18">
                  <c:v>28653.754131923779</c:v>
                </c:pt>
                <c:pt idx="19">
                  <c:v>32631.738605939157</c:v>
                </c:pt>
                <c:pt idx="20">
                  <c:v>30793.217165486167</c:v>
                </c:pt>
                <c:pt idx="21">
                  <c:v>34841.39928511683</c:v>
                </c:pt>
                <c:pt idx="22">
                  <c:v>25690.184853767652</c:v>
                </c:pt>
                <c:pt idx="23">
                  <c:v>29431.378562106154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E-46E5-9F9F-325F1D0DDBCA}"/>
            </c:ext>
          </c:extLst>
        </c:ser>
        <c:ser>
          <c:idx val="1"/>
          <c:order val="1"/>
          <c:tx>
            <c:strRef>
              <c:f>'Forecast for Health-conscious'!$C$1</c:f>
              <c:strCache>
                <c:ptCount val="1"/>
                <c:pt idx="0">
                  <c:v>Forecast(Health Trend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for Health-conscious'!$A$2:$A$49</c:f>
              <c:numCache>
                <c:formatCode>yyyy/m/d;@</c:formatCode>
                <c:ptCount val="48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45353</c:v>
                </c:pt>
                <c:pt idx="26">
                  <c:v>45382</c:v>
                </c:pt>
                <c:pt idx="27">
                  <c:v>45413</c:v>
                </c:pt>
                <c:pt idx="28">
                  <c:v>45443</c:v>
                </c:pt>
                <c:pt idx="29">
                  <c:v>45474</c:v>
                </c:pt>
                <c:pt idx="30">
                  <c:v>45504</c:v>
                </c:pt>
                <c:pt idx="31">
                  <c:v>45535</c:v>
                </c:pt>
                <c:pt idx="32">
                  <c:v>45566</c:v>
                </c:pt>
                <c:pt idx="33">
                  <c:v>45596</c:v>
                </c:pt>
                <c:pt idx="34">
                  <c:v>45627</c:v>
                </c:pt>
                <c:pt idx="35">
                  <c:v>45657</c:v>
                </c:pt>
                <c:pt idx="36">
                  <c:v>45688</c:v>
                </c:pt>
                <c:pt idx="37">
                  <c:v>45719</c:v>
                </c:pt>
                <c:pt idx="38">
                  <c:v>45747</c:v>
                </c:pt>
                <c:pt idx="39">
                  <c:v>45778</c:v>
                </c:pt>
                <c:pt idx="40">
                  <c:v>45808</c:v>
                </c:pt>
                <c:pt idx="41">
                  <c:v>45839</c:v>
                </c:pt>
                <c:pt idx="42">
                  <c:v>45869</c:v>
                </c:pt>
                <c:pt idx="43">
                  <c:v>45900</c:v>
                </c:pt>
                <c:pt idx="44">
                  <c:v>45931</c:v>
                </c:pt>
                <c:pt idx="45">
                  <c:v>45961</c:v>
                </c:pt>
                <c:pt idx="46">
                  <c:v>45992</c:v>
                </c:pt>
                <c:pt idx="47">
                  <c:v>46022</c:v>
                </c:pt>
              </c:numCache>
            </c:numRef>
          </c:cat>
          <c:val>
            <c:numRef>
              <c:f>'Forecast for Health-conscious'!$C$2:$C$49</c:f>
              <c:numCache>
                <c:formatCode>General</c:formatCode>
                <c:ptCount val="48"/>
                <c:pt idx="23" formatCode="\$#,##0.00_);[Red]\(\$#,##0.00\)">
                  <c:v>29431.378562106154</c:v>
                </c:pt>
                <c:pt idx="24" formatCode="\$#,##0.00_);[Red]\(\$#,##0.00\)">
                  <c:v>29646.073163067438</c:v>
                </c:pt>
                <c:pt idx="25" formatCode="\$#,##0.00_);[Red]\(\$#,##0.00\)">
                  <c:v>29816.36947297378</c:v>
                </c:pt>
                <c:pt idx="26" formatCode="\$#,##0.00_);[Red]\(\$#,##0.00\)">
                  <c:v>29986.665782880111</c:v>
                </c:pt>
                <c:pt idx="27" formatCode="\$#,##0.00_);[Red]\(\$#,##0.00\)">
                  <c:v>30156.962092786456</c:v>
                </c:pt>
                <c:pt idx="28" formatCode="\$#,##0.00_);[Red]\(\$#,##0.00\)">
                  <c:v>30327.258402692783</c:v>
                </c:pt>
                <c:pt idx="29" formatCode="\$#,##0.00_);[Red]\(\$#,##0.00\)">
                  <c:v>30497.554712599129</c:v>
                </c:pt>
                <c:pt idx="30" formatCode="\$#,##0.00_);[Red]\(\$#,##0.00\)">
                  <c:v>30667.85102250546</c:v>
                </c:pt>
                <c:pt idx="31" formatCode="\$#,##0.00_);[Red]\(\$#,##0.00\)">
                  <c:v>30838.147332411801</c:v>
                </c:pt>
                <c:pt idx="32" formatCode="\$#,##0.00_);[Red]\(\$#,##0.00\)">
                  <c:v>31008.443642318132</c:v>
                </c:pt>
                <c:pt idx="33" formatCode="\$#,##0.00_);[Red]\(\$#,##0.00\)">
                  <c:v>31178.739952224474</c:v>
                </c:pt>
                <c:pt idx="34" formatCode="\$#,##0.00_);[Red]\(\$#,##0.00\)">
                  <c:v>31349.036262130805</c:v>
                </c:pt>
                <c:pt idx="35" formatCode="\$#,##0.00_);[Red]\(\$#,##0.00\)">
                  <c:v>31519.33257203715</c:v>
                </c:pt>
                <c:pt idx="36" formatCode="\$#,##0.00_);[Red]\(\$#,##0.00\)">
                  <c:v>31689.628881943478</c:v>
                </c:pt>
                <c:pt idx="37" formatCode="\$#,##0.00_);[Red]\(\$#,##0.00\)">
                  <c:v>31859.925191849823</c:v>
                </c:pt>
                <c:pt idx="38" formatCode="\$#,##0.00_);[Red]\(\$#,##0.00\)">
                  <c:v>32030.221501756154</c:v>
                </c:pt>
                <c:pt idx="39" formatCode="\$#,##0.00_);[Red]\(\$#,##0.00\)">
                  <c:v>32200.517811662496</c:v>
                </c:pt>
                <c:pt idx="40" formatCode="\$#,##0.00_);[Red]\(\$#,##0.00\)">
                  <c:v>32370.814121568827</c:v>
                </c:pt>
                <c:pt idx="41" formatCode="\$#,##0.00_);[Red]\(\$#,##0.00\)">
                  <c:v>32541.110431475168</c:v>
                </c:pt>
                <c:pt idx="42" formatCode="\$#,##0.00_);[Red]\(\$#,##0.00\)">
                  <c:v>32711.406741381499</c:v>
                </c:pt>
                <c:pt idx="43" formatCode="\$#,##0.00_);[Red]\(\$#,##0.00\)">
                  <c:v>32881.703051287841</c:v>
                </c:pt>
                <c:pt idx="44" formatCode="\$#,##0.00_);[Red]\(\$#,##0.00\)">
                  <c:v>33051.999361194175</c:v>
                </c:pt>
                <c:pt idx="45" formatCode="\$#,##0.00_);[Red]\(\$#,##0.00\)">
                  <c:v>33222.295671100517</c:v>
                </c:pt>
                <c:pt idx="46" formatCode="\$#,##0.00_);[Red]\(\$#,##0.00\)">
                  <c:v>33392.591981006852</c:v>
                </c:pt>
                <c:pt idx="47" formatCode="\$#,##0.00_);[Red]\(\$#,##0.00\)">
                  <c:v>33562.888290913186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E-46E5-9F9F-325F1D0DDBCA}"/>
            </c:ext>
          </c:extLst>
        </c:ser>
        <c:ser>
          <c:idx val="2"/>
          <c:order val="2"/>
          <c:tx>
            <c:strRef>
              <c:f>'Forecast for Health-conscious'!$D$1</c:f>
              <c:strCache>
                <c:ptCount val="1"/>
                <c:pt idx="0">
                  <c:v>Lower Confidence Bound(Health Trend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for Health-conscious'!$A$2:$A$49</c:f>
              <c:numCache>
                <c:formatCode>yyyy/m/d;@</c:formatCode>
                <c:ptCount val="48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45353</c:v>
                </c:pt>
                <c:pt idx="26">
                  <c:v>45382</c:v>
                </c:pt>
                <c:pt idx="27">
                  <c:v>45413</c:v>
                </c:pt>
                <c:pt idx="28">
                  <c:v>45443</c:v>
                </c:pt>
                <c:pt idx="29">
                  <c:v>45474</c:v>
                </c:pt>
                <c:pt idx="30">
                  <c:v>45504</c:v>
                </c:pt>
                <c:pt idx="31">
                  <c:v>45535</c:v>
                </c:pt>
                <c:pt idx="32">
                  <c:v>45566</c:v>
                </c:pt>
                <c:pt idx="33">
                  <c:v>45596</c:v>
                </c:pt>
                <c:pt idx="34">
                  <c:v>45627</c:v>
                </c:pt>
                <c:pt idx="35">
                  <c:v>45657</c:v>
                </c:pt>
                <c:pt idx="36">
                  <c:v>45688</c:v>
                </c:pt>
                <c:pt idx="37">
                  <c:v>45719</c:v>
                </c:pt>
                <c:pt idx="38">
                  <c:v>45747</c:v>
                </c:pt>
                <c:pt idx="39">
                  <c:v>45778</c:v>
                </c:pt>
                <c:pt idx="40">
                  <c:v>45808</c:v>
                </c:pt>
                <c:pt idx="41">
                  <c:v>45839</c:v>
                </c:pt>
                <c:pt idx="42">
                  <c:v>45869</c:v>
                </c:pt>
                <c:pt idx="43">
                  <c:v>45900</c:v>
                </c:pt>
                <c:pt idx="44">
                  <c:v>45931</c:v>
                </c:pt>
                <c:pt idx="45">
                  <c:v>45961</c:v>
                </c:pt>
                <c:pt idx="46">
                  <c:v>45992</c:v>
                </c:pt>
                <c:pt idx="47">
                  <c:v>46022</c:v>
                </c:pt>
              </c:numCache>
            </c:numRef>
          </c:cat>
          <c:val>
            <c:numRef>
              <c:f>'Forecast for Health-conscious'!$D$2:$D$49</c:f>
              <c:numCache>
                <c:formatCode>General</c:formatCode>
                <c:ptCount val="48"/>
                <c:pt idx="23" formatCode="\$#,##0.00_);[Red]\(\$#,##0.00\)">
                  <c:v>29431.378562106154</c:v>
                </c:pt>
                <c:pt idx="24" formatCode="\$#,##0.00_);[Red]\(\$#,##0.00\)">
                  <c:v>23568.810063691701</c:v>
                </c:pt>
                <c:pt idx="25" formatCode="\$#,##0.00_);[Red]\(\$#,##0.00\)">
                  <c:v>23019.062761216665</c:v>
                </c:pt>
                <c:pt idx="26" formatCode="\$#,##0.00_);[Red]\(\$#,##0.00\)">
                  <c:v>22536.117198076303</c:v>
                </c:pt>
                <c:pt idx="27" formatCode="\$#,##0.00_);[Red]\(\$#,##0.00\)">
                  <c:v>22103.696439167506</c:v>
                </c:pt>
                <c:pt idx="28" formatCode="\$#,##0.00_);[Red]\(\$#,##0.00\)">
                  <c:v>21711.18662840598</c:v>
                </c:pt>
                <c:pt idx="29" formatCode="\$#,##0.00_);[Red]\(\$#,##0.00\)">
                  <c:v>21351.213177510639</c:v>
                </c:pt>
                <c:pt idx="30" formatCode="\$#,##0.00_);[Red]\(\$#,##0.00\)">
                  <c:v>21018.406814444475</c:v>
                </c:pt>
                <c:pt idx="31" formatCode="\$#,##0.00_);[Red]\(\$#,##0.00\)">
                  <c:v>20708.715125722942</c:v>
                </c:pt>
                <c:pt idx="32" formatCode="\$#,##0.00_);[Red]\(\$#,##0.00\)">
                  <c:v>20418.99100023081</c:v>
                </c:pt>
                <c:pt idx="33" formatCode="\$#,##0.00_);[Red]\(\$#,##0.00\)">
                  <c:v>20146.732941800256</c:v>
                </c:pt>
                <c:pt idx="34" formatCode="\$#,##0.00_);[Red]\(\$#,##0.00\)">
                  <c:v>19889.913915577563</c:v>
                </c:pt>
                <c:pt idx="35" formatCode="\$#,##0.00_);[Red]\(\$#,##0.00\)">
                  <c:v>19646.864422956103</c:v>
                </c:pt>
                <c:pt idx="36" formatCode="\$#,##0.00_);[Red]\(\$#,##0.00\)">
                  <c:v>19416.190181346683</c:v>
                </c:pt>
                <c:pt idx="37" formatCode="\$#,##0.00_);[Red]\(\$#,##0.00\)">
                  <c:v>19196.712661902351</c:v>
                </c:pt>
                <c:pt idx="38" formatCode="\$#,##0.00_);[Red]\(\$#,##0.00\)">
                  <c:v>18987.425178071098</c:v>
                </c:pt>
                <c:pt idx="39" formatCode="\$#,##0.00_);[Red]\(\$#,##0.00\)">
                  <c:v>18787.459827328661</c:v>
                </c:pt>
                <c:pt idx="40" formatCode="\$#,##0.00_);[Red]\(\$#,##0.00\)">
                  <c:v>18596.062178438231</c:v>
                </c:pt>
                <c:pt idx="41" formatCode="\$#,##0.00_);[Red]\(\$#,##0.00\)">
                  <c:v>18412.571596251571</c:v>
                </c:pt>
                <c:pt idx="42" formatCode="\$#,##0.00_);[Red]\(\$#,##0.00\)">
                  <c:v>18236.405742131828</c:v>
                </c:pt>
                <c:pt idx="43" formatCode="\$#,##0.00_);[Red]\(\$#,##0.00\)">
                  <c:v>18067.048215936251</c:v>
                </c:pt>
                <c:pt idx="44" formatCode="\$#,##0.00_);[Red]\(\$#,##0.00\)">
                  <c:v>17904.038595082551</c:v>
                </c:pt>
                <c:pt idx="45" formatCode="\$#,##0.00_);[Red]\(\$#,##0.00\)">
                  <c:v>17746.964326095818</c:v>
                </c:pt>
                <c:pt idx="46" formatCode="\$#,##0.00_);[Red]\(\$#,##0.00\)">
                  <c:v>17595.454064442878</c:v>
                </c:pt>
                <c:pt idx="47" formatCode="\$#,##0.00_);[Red]\(\$#,##0.00\)">
                  <c:v>17449.172158695717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E-46E5-9F9F-325F1D0DDBCA}"/>
            </c:ext>
          </c:extLst>
        </c:ser>
        <c:ser>
          <c:idx val="3"/>
          <c:order val="3"/>
          <c:tx>
            <c:strRef>
              <c:f>'Forecast for Health-conscious'!$E$1</c:f>
              <c:strCache>
                <c:ptCount val="1"/>
                <c:pt idx="0">
                  <c:v>Upper Confidence Bound(Health Trend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for Health-conscious'!$A$2:$A$49</c:f>
              <c:numCache>
                <c:formatCode>yyyy/m/d;@</c:formatCode>
                <c:ptCount val="48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45353</c:v>
                </c:pt>
                <c:pt idx="26">
                  <c:v>45382</c:v>
                </c:pt>
                <c:pt idx="27">
                  <c:v>45413</c:v>
                </c:pt>
                <c:pt idx="28">
                  <c:v>45443</c:v>
                </c:pt>
                <c:pt idx="29">
                  <c:v>45474</c:v>
                </c:pt>
                <c:pt idx="30">
                  <c:v>45504</c:v>
                </c:pt>
                <c:pt idx="31">
                  <c:v>45535</c:v>
                </c:pt>
                <c:pt idx="32">
                  <c:v>45566</c:v>
                </c:pt>
                <c:pt idx="33">
                  <c:v>45596</c:v>
                </c:pt>
                <c:pt idx="34">
                  <c:v>45627</c:v>
                </c:pt>
                <c:pt idx="35">
                  <c:v>45657</c:v>
                </c:pt>
                <c:pt idx="36">
                  <c:v>45688</c:v>
                </c:pt>
                <c:pt idx="37">
                  <c:v>45719</c:v>
                </c:pt>
                <c:pt idx="38">
                  <c:v>45747</c:v>
                </c:pt>
                <c:pt idx="39">
                  <c:v>45778</c:v>
                </c:pt>
                <c:pt idx="40">
                  <c:v>45808</c:v>
                </c:pt>
                <c:pt idx="41">
                  <c:v>45839</c:v>
                </c:pt>
                <c:pt idx="42">
                  <c:v>45869</c:v>
                </c:pt>
                <c:pt idx="43">
                  <c:v>45900</c:v>
                </c:pt>
                <c:pt idx="44">
                  <c:v>45931</c:v>
                </c:pt>
                <c:pt idx="45">
                  <c:v>45961</c:v>
                </c:pt>
                <c:pt idx="46">
                  <c:v>45992</c:v>
                </c:pt>
                <c:pt idx="47">
                  <c:v>46022</c:v>
                </c:pt>
              </c:numCache>
            </c:numRef>
          </c:cat>
          <c:val>
            <c:numRef>
              <c:f>'Forecast for Health-conscious'!$E$2:$E$49</c:f>
              <c:numCache>
                <c:formatCode>General</c:formatCode>
                <c:ptCount val="48"/>
                <c:pt idx="23" formatCode="\$#,##0.00_);[Red]\(\$#,##0.00\)">
                  <c:v>29431.378562106154</c:v>
                </c:pt>
                <c:pt idx="24" formatCode="\$#,##0.00_);[Red]\(\$#,##0.00\)">
                  <c:v>35723.336262443176</c:v>
                </c:pt>
                <c:pt idx="25" formatCode="\$#,##0.00_);[Red]\(\$#,##0.00\)">
                  <c:v>36613.676184730895</c:v>
                </c:pt>
                <c:pt idx="26" formatCode="\$#,##0.00_);[Red]\(\$#,##0.00\)">
                  <c:v>37437.214367683919</c:v>
                </c:pt>
                <c:pt idx="27" formatCode="\$#,##0.00_);[Red]\(\$#,##0.00\)">
                  <c:v>38210.227746405406</c:v>
                </c:pt>
                <c:pt idx="28" formatCode="\$#,##0.00_);[Red]\(\$#,##0.00\)">
                  <c:v>38943.330176979587</c:v>
                </c:pt>
                <c:pt idx="29" formatCode="\$#,##0.00_);[Red]\(\$#,##0.00\)">
                  <c:v>39643.896247687619</c:v>
                </c:pt>
                <c:pt idx="30" formatCode="\$#,##0.00_);[Red]\(\$#,##0.00\)">
                  <c:v>40317.295230566444</c:v>
                </c:pt>
                <c:pt idx="31" formatCode="\$#,##0.00_);[Red]\(\$#,##0.00\)">
                  <c:v>40967.579539100661</c:v>
                </c:pt>
                <c:pt idx="32" formatCode="\$#,##0.00_);[Red]\(\$#,##0.00\)">
                  <c:v>41597.896284405455</c:v>
                </c:pt>
                <c:pt idx="33" formatCode="\$#,##0.00_);[Red]\(\$#,##0.00\)">
                  <c:v>42210.746962648693</c:v>
                </c:pt>
                <c:pt idx="34" formatCode="\$#,##0.00_);[Red]\(\$#,##0.00\)">
                  <c:v>42808.158608684047</c:v>
                </c:pt>
                <c:pt idx="35" formatCode="\$#,##0.00_);[Red]\(\$#,##0.00\)">
                  <c:v>43391.800721118198</c:v>
                </c:pt>
                <c:pt idx="36" formatCode="\$#,##0.00_);[Red]\(\$#,##0.00\)">
                  <c:v>43963.067582540272</c:v>
                </c:pt>
                <c:pt idx="37" formatCode="\$#,##0.00_);[Red]\(\$#,##0.00\)">
                  <c:v>44523.137721797291</c:v>
                </c:pt>
                <c:pt idx="38" formatCode="\$#,##0.00_);[Red]\(\$#,##0.00\)">
                  <c:v>45073.017825441209</c:v>
                </c:pt>
                <c:pt idx="39" formatCode="\$#,##0.00_);[Red]\(\$#,##0.00\)">
                  <c:v>45613.57579599633</c:v>
                </c:pt>
                <c:pt idx="40" formatCode="\$#,##0.00_);[Red]\(\$#,##0.00\)">
                  <c:v>46145.566064699422</c:v>
                </c:pt>
                <c:pt idx="41" formatCode="\$#,##0.00_);[Red]\(\$#,##0.00\)">
                  <c:v>46669.649266698761</c:v>
                </c:pt>
                <c:pt idx="42" formatCode="\$#,##0.00_);[Red]\(\$#,##0.00\)">
                  <c:v>47186.40774063117</c:v>
                </c:pt>
                <c:pt idx="43" formatCode="\$#,##0.00_);[Red]\(\$#,##0.00\)">
                  <c:v>47696.357886639431</c:v>
                </c:pt>
                <c:pt idx="44" formatCode="\$#,##0.00_);[Red]\(\$#,##0.00\)">
                  <c:v>48199.9601273058</c:v>
                </c:pt>
                <c:pt idx="45" formatCode="\$#,##0.00_);[Red]\(\$#,##0.00\)">
                  <c:v>48697.627016105216</c:v>
                </c:pt>
                <c:pt idx="46" formatCode="\$#,##0.00_);[Red]\(\$#,##0.00\)">
                  <c:v>49189.729897570825</c:v>
                </c:pt>
                <c:pt idx="47" formatCode="\$#,##0.00_);[Red]\(\$#,##0.00\)">
                  <c:v>49676.604423130659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E-46E5-9F9F-325F1D0DD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971440"/>
        <c:axId val="1455971920"/>
      </c:lineChart>
      <c:catAx>
        <c:axId val="14559714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71920"/>
        <c:crosses val="autoZero"/>
        <c:auto val="1"/>
        <c:lblAlgn val="ctr"/>
        <c:lblOffset val="100"/>
        <c:noMultiLvlLbl val="0"/>
      </c:catAx>
      <c:valAx>
        <c:axId val="145597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[Red]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for Indulgent'!$B$1</c:f>
              <c:strCache>
                <c:ptCount val="1"/>
                <c:pt idx="0">
                  <c:v>Indulgent Trend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for Indulgent'!$B$2:$B$49</c:f>
              <c:numCache>
                <c:formatCode>\$#,##0.00_);[Red]\(\$#,##0.00\)</c:formatCode>
                <c:ptCount val="48"/>
                <c:pt idx="0">
                  <c:v>29739.565705776953</c:v>
                </c:pt>
                <c:pt idx="1">
                  <c:v>29666.605956670086</c:v>
                </c:pt>
                <c:pt idx="2">
                  <c:v>26079.159594714718</c:v>
                </c:pt>
                <c:pt idx="3">
                  <c:v>27094.548522924168</c:v>
                </c:pt>
                <c:pt idx="4">
                  <c:v>25978.99096873726</c:v>
                </c:pt>
                <c:pt idx="5">
                  <c:v>29006.486320875054</c:v>
                </c:pt>
                <c:pt idx="6">
                  <c:v>28920.439543335415</c:v>
                </c:pt>
                <c:pt idx="7">
                  <c:v>30824.740301471593</c:v>
                </c:pt>
                <c:pt idx="8">
                  <c:v>29500.463398944434</c:v>
                </c:pt>
                <c:pt idx="9">
                  <c:v>30807.469022206125</c:v>
                </c:pt>
                <c:pt idx="10">
                  <c:v>30153.27624681835</c:v>
                </c:pt>
                <c:pt idx="11">
                  <c:v>31616.940933687041</c:v>
                </c:pt>
                <c:pt idx="12">
                  <c:v>32895.139724472829</c:v>
                </c:pt>
                <c:pt idx="13">
                  <c:v>32277.733913591917</c:v>
                </c:pt>
                <c:pt idx="14">
                  <c:v>29591.245248728927</c:v>
                </c:pt>
                <c:pt idx="15">
                  <c:v>31381.386593375122</c:v>
                </c:pt>
                <c:pt idx="16">
                  <c:v>29460.870824130492</c:v>
                </c:pt>
                <c:pt idx="17">
                  <c:v>26646.154533528614</c:v>
                </c:pt>
                <c:pt idx="18">
                  <c:v>31508.398348475301</c:v>
                </c:pt>
                <c:pt idx="19">
                  <c:v>30703.530637958451</c:v>
                </c:pt>
                <c:pt idx="20">
                  <c:v>30891.686149325367</c:v>
                </c:pt>
                <c:pt idx="21">
                  <c:v>34593.843593761834</c:v>
                </c:pt>
                <c:pt idx="22">
                  <c:v>27217.467739681309</c:v>
                </c:pt>
                <c:pt idx="23">
                  <c:v>29830.195782091512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7-4AD8-90F1-505C6DB065FC}"/>
            </c:ext>
          </c:extLst>
        </c:ser>
        <c:ser>
          <c:idx val="1"/>
          <c:order val="1"/>
          <c:tx>
            <c:strRef>
              <c:f>'Forecast for Indulgent'!$C$1</c:f>
              <c:strCache>
                <c:ptCount val="1"/>
                <c:pt idx="0">
                  <c:v>Forecast(Indulgent Trend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for Indulgent'!$A$2:$A$49</c:f>
              <c:numCache>
                <c:formatCode>yyyy/m/d;@</c:formatCode>
                <c:ptCount val="48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45353</c:v>
                </c:pt>
                <c:pt idx="26">
                  <c:v>45382</c:v>
                </c:pt>
                <c:pt idx="27">
                  <c:v>45413</c:v>
                </c:pt>
                <c:pt idx="28">
                  <c:v>45443</c:v>
                </c:pt>
                <c:pt idx="29">
                  <c:v>45474</c:v>
                </c:pt>
                <c:pt idx="30">
                  <c:v>45504</c:v>
                </c:pt>
                <c:pt idx="31">
                  <c:v>45535</c:v>
                </c:pt>
                <c:pt idx="32">
                  <c:v>45566</c:v>
                </c:pt>
                <c:pt idx="33">
                  <c:v>45596</c:v>
                </c:pt>
                <c:pt idx="34">
                  <c:v>45627</c:v>
                </c:pt>
                <c:pt idx="35">
                  <c:v>45657</c:v>
                </c:pt>
                <c:pt idx="36">
                  <c:v>45688</c:v>
                </c:pt>
                <c:pt idx="37">
                  <c:v>45719</c:v>
                </c:pt>
                <c:pt idx="38">
                  <c:v>45747</c:v>
                </c:pt>
                <c:pt idx="39">
                  <c:v>45778</c:v>
                </c:pt>
                <c:pt idx="40">
                  <c:v>45808</c:v>
                </c:pt>
                <c:pt idx="41">
                  <c:v>45839</c:v>
                </c:pt>
                <c:pt idx="42">
                  <c:v>45869</c:v>
                </c:pt>
                <c:pt idx="43">
                  <c:v>45900</c:v>
                </c:pt>
                <c:pt idx="44">
                  <c:v>45931</c:v>
                </c:pt>
                <c:pt idx="45">
                  <c:v>45961</c:v>
                </c:pt>
                <c:pt idx="46">
                  <c:v>45992</c:v>
                </c:pt>
                <c:pt idx="47">
                  <c:v>46022</c:v>
                </c:pt>
              </c:numCache>
            </c:numRef>
          </c:cat>
          <c:val>
            <c:numRef>
              <c:f>'Forecast for Indulgent'!$C$2:$C$49</c:f>
              <c:numCache>
                <c:formatCode>General</c:formatCode>
                <c:ptCount val="48"/>
                <c:pt idx="23" formatCode="\$#,##0.00_);[Red]\(\$#,##0.00\)">
                  <c:v>29830.195782091512</c:v>
                </c:pt>
                <c:pt idx="24" formatCode="\$#,##0.00_);[Red]\(\$#,##0.00\)">
                  <c:v>29760.138450796316</c:v>
                </c:pt>
                <c:pt idx="25" formatCode="\$#,##0.00_);[Red]\(\$#,##0.00\)">
                  <c:v>29869.302235672323</c:v>
                </c:pt>
                <c:pt idx="26" formatCode="\$#,##0.00_);[Red]\(\$#,##0.00\)">
                  <c:v>29978.466020548316</c:v>
                </c:pt>
                <c:pt idx="27" formatCode="\$#,##0.00_);[Red]\(\$#,##0.00\)">
                  <c:v>30087.629805424323</c:v>
                </c:pt>
                <c:pt idx="28" formatCode="\$#,##0.00_);[Red]\(\$#,##0.00\)">
                  <c:v>30196.793590300316</c:v>
                </c:pt>
                <c:pt idx="29" formatCode="\$#,##0.00_);[Red]\(\$#,##0.00\)">
                  <c:v>30305.95737517632</c:v>
                </c:pt>
                <c:pt idx="30" formatCode="\$#,##0.00_);[Red]\(\$#,##0.00\)">
                  <c:v>30415.121160052313</c:v>
                </c:pt>
                <c:pt idx="31" formatCode="\$#,##0.00_);[Red]\(\$#,##0.00\)">
                  <c:v>30524.28494492832</c:v>
                </c:pt>
                <c:pt idx="32" formatCode="\$#,##0.00_);[Red]\(\$#,##0.00\)">
                  <c:v>30633.448729804313</c:v>
                </c:pt>
                <c:pt idx="33" formatCode="\$#,##0.00_);[Red]\(\$#,##0.00\)">
                  <c:v>30742.612514680321</c:v>
                </c:pt>
                <c:pt idx="34" formatCode="\$#,##0.00_);[Red]\(\$#,##0.00\)">
                  <c:v>30851.776299556313</c:v>
                </c:pt>
                <c:pt idx="35" formatCode="\$#,##0.00_);[Red]\(\$#,##0.00\)">
                  <c:v>30960.940084432321</c:v>
                </c:pt>
                <c:pt idx="36" formatCode="\$#,##0.00_);[Red]\(\$#,##0.00\)">
                  <c:v>31070.103869308314</c:v>
                </c:pt>
                <c:pt idx="37" formatCode="\$#,##0.00_);[Red]\(\$#,##0.00\)">
                  <c:v>31179.267654184321</c:v>
                </c:pt>
                <c:pt idx="38" formatCode="\$#,##0.00_);[Red]\(\$#,##0.00\)">
                  <c:v>31288.431439060314</c:v>
                </c:pt>
                <c:pt idx="39" formatCode="\$#,##0.00_);[Red]\(\$#,##0.00\)">
                  <c:v>31397.595223936321</c:v>
                </c:pt>
                <c:pt idx="40" formatCode="\$#,##0.00_);[Red]\(\$#,##0.00\)">
                  <c:v>31506.759008812314</c:v>
                </c:pt>
                <c:pt idx="41" formatCode="\$#,##0.00_);[Red]\(\$#,##0.00\)">
                  <c:v>31615.922793688318</c:v>
                </c:pt>
                <c:pt idx="42" formatCode="\$#,##0.00_);[Red]\(\$#,##0.00\)">
                  <c:v>31725.086578564311</c:v>
                </c:pt>
                <c:pt idx="43" formatCode="\$#,##0.00_);[Red]\(\$#,##0.00\)">
                  <c:v>31834.250363440318</c:v>
                </c:pt>
                <c:pt idx="44" formatCode="\$#,##0.00_);[Red]\(\$#,##0.00\)">
                  <c:v>31943.414148316311</c:v>
                </c:pt>
                <c:pt idx="45" formatCode="\$#,##0.00_);[Red]\(\$#,##0.00\)">
                  <c:v>32052.577933192319</c:v>
                </c:pt>
                <c:pt idx="46" formatCode="\$#,##0.00_);[Red]\(\$#,##0.00\)">
                  <c:v>32161.741718068311</c:v>
                </c:pt>
                <c:pt idx="47" formatCode="\$#,##0.00_);[Red]\(\$#,##0.00\)">
                  <c:v>32270.905502944319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7-4AD8-90F1-505C6DB065FC}"/>
            </c:ext>
          </c:extLst>
        </c:ser>
        <c:ser>
          <c:idx val="2"/>
          <c:order val="2"/>
          <c:tx>
            <c:strRef>
              <c:f>'Forecast for Indulgent'!$D$1</c:f>
              <c:strCache>
                <c:ptCount val="1"/>
                <c:pt idx="0">
                  <c:v>Lower Confidence Bound(Indulgent Trend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for Indulgent'!$A$2:$A$49</c:f>
              <c:numCache>
                <c:formatCode>yyyy/m/d;@</c:formatCode>
                <c:ptCount val="48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45353</c:v>
                </c:pt>
                <c:pt idx="26">
                  <c:v>45382</c:v>
                </c:pt>
                <c:pt idx="27">
                  <c:v>45413</c:v>
                </c:pt>
                <c:pt idx="28">
                  <c:v>45443</c:v>
                </c:pt>
                <c:pt idx="29">
                  <c:v>45474</c:v>
                </c:pt>
                <c:pt idx="30">
                  <c:v>45504</c:v>
                </c:pt>
                <c:pt idx="31">
                  <c:v>45535</c:v>
                </c:pt>
                <c:pt idx="32">
                  <c:v>45566</c:v>
                </c:pt>
                <c:pt idx="33">
                  <c:v>45596</c:v>
                </c:pt>
                <c:pt idx="34">
                  <c:v>45627</c:v>
                </c:pt>
                <c:pt idx="35">
                  <c:v>45657</c:v>
                </c:pt>
                <c:pt idx="36">
                  <c:v>45688</c:v>
                </c:pt>
                <c:pt idx="37">
                  <c:v>45719</c:v>
                </c:pt>
                <c:pt idx="38">
                  <c:v>45747</c:v>
                </c:pt>
                <c:pt idx="39">
                  <c:v>45778</c:v>
                </c:pt>
                <c:pt idx="40">
                  <c:v>45808</c:v>
                </c:pt>
                <c:pt idx="41">
                  <c:v>45839</c:v>
                </c:pt>
                <c:pt idx="42">
                  <c:v>45869</c:v>
                </c:pt>
                <c:pt idx="43">
                  <c:v>45900</c:v>
                </c:pt>
                <c:pt idx="44">
                  <c:v>45931</c:v>
                </c:pt>
                <c:pt idx="45">
                  <c:v>45961</c:v>
                </c:pt>
                <c:pt idx="46">
                  <c:v>45992</c:v>
                </c:pt>
                <c:pt idx="47">
                  <c:v>46022</c:v>
                </c:pt>
              </c:numCache>
            </c:numRef>
          </c:cat>
          <c:val>
            <c:numRef>
              <c:f>'Forecast for Indulgent'!$D$2:$D$49</c:f>
              <c:numCache>
                <c:formatCode>General</c:formatCode>
                <c:ptCount val="48"/>
                <c:pt idx="23" formatCode="\$#,##0.00_);[Red]\(\$#,##0.00\)">
                  <c:v>29830.195782091512</c:v>
                </c:pt>
                <c:pt idx="24" formatCode="\$#,##0.00_);[Red]\(\$#,##0.00\)">
                  <c:v>24961.908580949486</c:v>
                </c:pt>
                <c:pt idx="25" formatCode="\$#,##0.00_);[Red]\(\$#,##0.00\)">
                  <c:v>23410.733328349095</c:v>
                </c:pt>
                <c:pt idx="26" formatCode="\$#,##0.00_);[Red]\(\$#,##0.00\)">
                  <c:v>22203.84543403639</c:v>
                </c:pt>
                <c:pt idx="27" formatCode="\$#,##0.00_);[Red]\(\$#,##0.00\)">
                  <c:v>21187.186292282513</c:v>
                </c:pt>
                <c:pt idx="28" formatCode="\$#,##0.00_);[Red]\(\$#,##0.00\)">
                  <c:v>20295.648869819688</c:v>
                </c:pt>
                <c:pt idx="29" formatCode="\$#,##0.00_);[Red]\(\$#,##0.00\)">
                  <c:v>19494.431699026136</c:v>
                </c:pt>
                <c:pt idx="30" formatCode="\$#,##0.00_);[Red]\(\$#,##0.00\)">
                  <c:v>18762.344547282817</c:v>
                </c:pt>
                <c:pt idx="31" formatCode="\$#,##0.00_);[Red]\(\$#,##0.00\)">
                  <c:v>18085.351757348282</c:v>
                </c:pt>
                <c:pt idx="32" formatCode="\$#,##0.00_);[Red]\(\$#,##0.00\)">
                  <c:v>17453.589031537726</c:v>
                </c:pt>
                <c:pt idx="33" formatCode="\$#,##0.00_);[Red]\(\$#,##0.00\)">
                  <c:v>16859.811021614787</c:v>
                </c:pt>
                <c:pt idx="34" formatCode="\$#,##0.00_);[Red]\(\$#,##0.00\)">
                  <c:v>16298.510969029552</c:v>
                </c:pt>
                <c:pt idx="35" formatCode="\$#,##0.00_);[Red]\(\$#,##0.00\)">
                  <c:v>15765.387736243056</c:v>
                </c:pt>
                <c:pt idx="36" formatCode="\$#,##0.00_);[Red]\(\$#,##0.00\)">
                  <c:v>15257.006086159472</c:v>
                </c:pt>
                <c:pt idx="37" formatCode="\$#,##0.00_);[Red]\(\$#,##0.00\)">
                  <c:v>14770.57091052636</c:v>
                </c:pt>
                <c:pt idx="38" formatCode="\$#,##0.00_);[Red]\(\$#,##0.00\)">
                  <c:v>14303.771913762383</c:v>
                </c:pt>
                <c:pt idx="39" formatCode="\$#,##0.00_);[Red]\(\$#,##0.00\)">
                  <c:v>13854.673613203009</c:v>
                </c:pt>
                <c:pt idx="40" formatCode="\$#,##0.00_);[Red]\(\$#,##0.00\)">
                  <c:v>13421.635475325704</c:v>
                </c:pt>
                <c:pt idx="41" formatCode="\$#,##0.00_);[Red]\(\$#,##0.00\)">
                  <c:v>13003.252674123905</c:v>
                </c:pt>
                <c:pt idx="42" formatCode="\$#,##0.00_);[Red]\(\$#,##0.00\)">
                  <c:v>12598.31131556931</c:v>
                </c:pt>
                <c:pt idx="43" formatCode="\$#,##0.00_);[Red]\(\$#,##0.00\)">
                  <c:v>12205.754032552773</c:v>
                </c:pt>
                <c:pt idx="44" formatCode="\$#,##0.00_);[Red]\(\$#,##0.00\)">
                  <c:v>11824.653158200879</c:v>
                </c:pt>
                <c:pt idx="45" formatCode="\$#,##0.00_);[Red]\(\$#,##0.00\)">
                  <c:v>11454.189532535547</c:v>
                </c:pt>
                <c:pt idx="46" formatCode="\$#,##0.00_);[Red]\(\$#,##0.00\)">
                  <c:v>11093.635561167343</c:v>
                </c:pt>
                <c:pt idx="47" formatCode="\$#,##0.00_);[Red]\(\$#,##0.00\)">
                  <c:v>10742.341527940753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37-4AD8-90F1-505C6DB065FC}"/>
            </c:ext>
          </c:extLst>
        </c:ser>
        <c:ser>
          <c:idx val="3"/>
          <c:order val="3"/>
          <c:tx>
            <c:strRef>
              <c:f>'Forecast for Indulgent'!$E$1</c:f>
              <c:strCache>
                <c:ptCount val="1"/>
                <c:pt idx="0">
                  <c:v>Upper Confidence Bound(Indulgent Trend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for Indulgent'!$A$2:$A$49</c:f>
              <c:numCache>
                <c:formatCode>yyyy/m/d;@</c:formatCode>
                <c:ptCount val="48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45353</c:v>
                </c:pt>
                <c:pt idx="26">
                  <c:v>45382</c:v>
                </c:pt>
                <c:pt idx="27">
                  <c:v>45413</c:v>
                </c:pt>
                <c:pt idx="28">
                  <c:v>45443</c:v>
                </c:pt>
                <c:pt idx="29">
                  <c:v>45474</c:v>
                </c:pt>
                <c:pt idx="30">
                  <c:v>45504</c:v>
                </c:pt>
                <c:pt idx="31">
                  <c:v>45535</c:v>
                </c:pt>
                <c:pt idx="32">
                  <c:v>45566</c:v>
                </c:pt>
                <c:pt idx="33">
                  <c:v>45596</c:v>
                </c:pt>
                <c:pt idx="34">
                  <c:v>45627</c:v>
                </c:pt>
                <c:pt idx="35">
                  <c:v>45657</c:v>
                </c:pt>
                <c:pt idx="36">
                  <c:v>45688</c:v>
                </c:pt>
                <c:pt idx="37">
                  <c:v>45719</c:v>
                </c:pt>
                <c:pt idx="38">
                  <c:v>45747</c:v>
                </c:pt>
                <c:pt idx="39">
                  <c:v>45778</c:v>
                </c:pt>
                <c:pt idx="40">
                  <c:v>45808</c:v>
                </c:pt>
                <c:pt idx="41">
                  <c:v>45839</c:v>
                </c:pt>
                <c:pt idx="42">
                  <c:v>45869</c:v>
                </c:pt>
                <c:pt idx="43">
                  <c:v>45900</c:v>
                </c:pt>
                <c:pt idx="44">
                  <c:v>45931</c:v>
                </c:pt>
                <c:pt idx="45">
                  <c:v>45961</c:v>
                </c:pt>
                <c:pt idx="46">
                  <c:v>45992</c:v>
                </c:pt>
                <c:pt idx="47">
                  <c:v>46022</c:v>
                </c:pt>
              </c:numCache>
            </c:numRef>
          </c:cat>
          <c:val>
            <c:numRef>
              <c:f>'Forecast for Indulgent'!$E$2:$E$49</c:f>
              <c:numCache>
                <c:formatCode>General</c:formatCode>
                <c:ptCount val="48"/>
                <c:pt idx="23" formatCode="\$#,##0.00_);[Red]\(\$#,##0.00\)">
                  <c:v>29830.195782091512</c:v>
                </c:pt>
                <c:pt idx="24" formatCode="\$#,##0.00_);[Red]\(\$#,##0.00\)">
                  <c:v>34558.368320643145</c:v>
                </c:pt>
                <c:pt idx="25" formatCode="\$#,##0.00_);[Red]\(\$#,##0.00\)">
                  <c:v>36327.871142995551</c:v>
                </c:pt>
                <c:pt idx="26" formatCode="\$#,##0.00_);[Red]\(\$#,##0.00\)">
                  <c:v>37753.086607060242</c:v>
                </c:pt>
                <c:pt idx="27" formatCode="\$#,##0.00_);[Red]\(\$#,##0.00\)">
                  <c:v>38988.073318566137</c:v>
                </c:pt>
                <c:pt idx="28" formatCode="\$#,##0.00_);[Red]\(\$#,##0.00\)">
                  <c:v>40097.938310780941</c:v>
                </c:pt>
                <c:pt idx="29" formatCode="\$#,##0.00_);[Red]\(\$#,##0.00\)">
                  <c:v>41117.483051326504</c:v>
                </c:pt>
                <c:pt idx="30" formatCode="\$#,##0.00_);[Red]\(\$#,##0.00\)">
                  <c:v>42067.897772821809</c:v>
                </c:pt>
                <c:pt idx="31" formatCode="\$#,##0.00_);[Red]\(\$#,##0.00\)">
                  <c:v>42963.218132508358</c:v>
                </c:pt>
                <c:pt idx="32" formatCode="\$#,##0.00_);[Red]\(\$#,##0.00\)">
                  <c:v>43813.308428070901</c:v>
                </c:pt>
                <c:pt idx="33" formatCode="\$#,##0.00_);[Red]\(\$#,##0.00\)">
                  <c:v>44625.414007745858</c:v>
                </c:pt>
                <c:pt idx="34" formatCode="\$#,##0.00_);[Red]\(\$#,##0.00\)">
                  <c:v>45405.041630083077</c:v>
                </c:pt>
                <c:pt idx="35" formatCode="\$#,##0.00_);[Red]\(\$#,##0.00\)">
                  <c:v>46156.492432621584</c:v>
                </c:pt>
                <c:pt idx="36" formatCode="\$#,##0.00_);[Red]\(\$#,##0.00\)">
                  <c:v>46883.201652457152</c:v>
                </c:pt>
                <c:pt idx="37" formatCode="\$#,##0.00_);[Red]\(\$#,##0.00\)">
                  <c:v>47587.964397842283</c:v>
                </c:pt>
                <c:pt idx="38" formatCode="\$#,##0.00_);[Red]\(\$#,##0.00\)">
                  <c:v>48273.090964358242</c:v>
                </c:pt>
                <c:pt idx="39" formatCode="\$#,##0.00_);[Red]\(\$#,##0.00\)">
                  <c:v>48940.51683466963</c:v>
                </c:pt>
                <c:pt idx="40" formatCode="\$#,##0.00_);[Red]\(\$#,##0.00\)">
                  <c:v>49591.882542298925</c:v>
                </c:pt>
                <c:pt idx="41" formatCode="\$#,##0.00_);[Red]\(\$#,##0.00\)">
                  <c:v>50228.592913252731</c:v>
                </c:pt>
                <c:pt idx="42" formatCode="\$#,##0.00_);[Red]\(\$#,##0.00\)">
                  <c:v>50851.861841559308</c:v>
                </c:pt>
                <c:pt idx="43" formatCode="\$#,##0.00_);[Red]\(\$#,##0.00\)">
                  <c:v>51462.746694327863</c:v>
                </c:pt>
                <c:pt idx="44" formatCode="\$#,##0.00_);[Red]\(\$#,##0.00\)">
                  <c:v>52062.175138431747</c:v>
                </c:pt>
                <c:pt idx="45" formatCode="\$#,##0.00_);[Red]\(\$#,##0.00\)">
                  <c:v>52650.966333849094</c:v>
                </c:pt>
                <c:pt idx="46" formatCode="\$#,##0.00_);[Red]\(\$#,##0.00\)">
                  <c:v>53229.84787496928</c:v>
                </c:pt>
                <c:pt idx="47" formatCode="\$#,##0.00_);[Red]\(\$#,##0.00\)">
                  <c:v>53799.469477947889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37-4AD8-90F1-505C6DB06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944080"/>
        <c:axId val="1455962800"/>
      </c:lineChart>
      <c:catAx>
        <c:axId val="14559440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62800"/>
        <c:crosses val="autoZero"/>
        <c:auto val="1"/>
        <c:lblAlgn val="ctr"/>
        <c:lblOffset val="100"/>
        <c:noMultiLvlLbl val="0"/>
      </c:catAx>
      <c:valAx>
        <c:axId val="14559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[Red]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4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Ala-Carte price vs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16657223854029"/>
                  <c:y val="-2.0565494994629202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y = 0.0305x + 6.6292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'Price model'!$C$40:$C$45</c:f>
              <c:numCache>
                <c:formatCode>_("$"* #,##0.00_);_("$"* \(#,##0.00\);_("$"* "-"??_);_(@_)</c:formatCode>
                <c:ptCount val="6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9</c:v>
                </c:pt>
                <c:pt idx="4">
                  <c:v>9.5</c:v>
                </c:pt>
                <c:pt idx="5">
                  <c:v>10</c:v>
                </c:pt>
              </c:numCache>
            </c:numRef>
          </c:xVal>
          <c:yVal>
            <c:numRef>
              <c:f>'Price model'!$D$40:$D$45</c:f>
              <c:numCache>
                <c:formatCode>0.00000</c:formatCode>
                <c:ptCount val="6"/>
                <c:pt idx="0">
                  <c:v>8.5829043428571428</c:v>
                </c:pt>
                <c:pt idx="1">
                  <c:v>8.9018327466666669</c:v>
                </c:pt>
                <c:pt idx="2">
                  <c:v>6.06225215</c:v>
                </c:pt>
                <c:pt idx="3">
                  <c:v>6.3371749333333334</c:v>
                </c:pt>
                <c:pt idx="4">
                  <c:v>8.2803067368421051</c:v>
                </c:pt>
                <c:pt idx="5">
                  <c:v>9.0680624400000003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8-4BAF-A03E-2C94B802B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01439"/>
        <c:axId val="668901919"/>
      </c:scatterChart>
      <c:valAx>
        <c:axId val="66890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Ala-Carte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01919"/>
        <c:crosses val="autoZero"/>
        <c:crossBetween val="midCat"/>
      </c:valAx>
      <c:valAx>
        <c:axId val="668901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Ala-Carte 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0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'Price model'!$D$50</c:f>
              <c:strCache>
                <c:ptCount val="1"/>
                <c:pt idx="0">
                  <c:v>Beverages demand 'In Million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969921472440964"/>
                  <c:y val="4.1881745530442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'Price model'!$C$51:$C$56</c:f>
              <c:numCache>
                <c:formatCode>_("$"* #,##0.00_);_("$"* \(#,##0.00\);_("$"* "-"??_);_(@_)</c:formatCode>
                <c:ptCount val="6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5</c:v>
                </c:pt>
                <c:pt idx="4">
                  <c:v>5.5</c:v>
                </c:pt>
                <c:pt idx="5">
                  <c:v>6</c:v>
                </c:pt>
              </c:numCache>
            </c:numRef>
          </c:xVal>
          <c:yVal>
            <c:numRef>
              <c:f>'Price model'!$D$51:$D$56</c:f>
              <c:numCache>
                <c:formatCode>0.00000</c:formatCode>
                <c:ptCount val="6"/>
                <c:pt idx="0">
                  <c:v>5.0066942000000001</c:v>
                </c:pt>
                <c:pt idx="1">
                  <c:v>4.7688389714285719</c:v>
                </c:pt>
                <c:pt idx="2">
                  <c:v>3.031126075</c:v>
                </c:pt>
                <c:pt idx="3">
                  <c:v>2.8517287199999997</c:v>
                </c:pt>
                <c:pt idx="4">
                  <c:v>3.5755870000000001</c:v>
                </c:pt>
                <c:pt idx="5">
                  <c:v>3.7783593500000001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5-4BC2-86C6-F2DBDB516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591920"/>
        <c:axId val="1577595760"/>
      </c:scatterChart>
      <c:valAx>
        <c:axId val="1577591920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95760"/>
        <c:crosses val="autoZero"/>
        <c:crossBetween val="midCat"/>
      </c:valAx>
      <c:valAx>
        <c:axId val="1577595760"/>
        <c:scaling>
          <c:orientation val="minMax"/>
        </c:scaling>
        <c:delete val="0"/>
        <c:axPos val="l"/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9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'Price model'!$D$62</c:f>
              <c:strCache>
                <c:ptCount val="1"/>
                <c:pt idx="0">
                  <c:v>Set meal demand 'In Million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543715315275976"/>
                  <c:y val="7.44120691799153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'Price model'!$C$63:$C$68</c:f>
              <c:numCache>
                <c:formatCode>_("$"* #,##0.00_);_("$"* \(#,##0.00\);_("$"* "-"??_);_(@_)</c:formatCode>
                <c:ptCount val="6"/>
                <c:pt idx="0">
                  <c:v>9</c:v>
                </c:pt>
                <c:pt idx="1">
                  <c:v>9.5</c:v>
                </c:pt>
                <c:pt idx="2">
                  <c:v>10</c:v>
                </c:pt>
                <c:pt idx="3">
                  <c:v>11</c:v>
                </c:pt>
                <c:pt idx="4">
                  <c:v>11.5</c:v>
                </c:pt>
                <c:pt idx="5">
                  <c:v>12</c:v>
                </c:pt>
              </c:numCache>
            </c:numRef>
          </c:xVal>
          <c:yVal>
            <c:numRef>
              <c:f>'Price model'!$D$63:$D$68</c:f>
              <c:numCache>
                <c:formatCode>0.00000</c:formatCode>
                <c:ptCount val="6"/>
                <c:pt idx="0">
                  <c:v>8.3444903333333329</c:v>
                </c:pt>
                <c:pt idx="1">
                  <c:v>8.784703368421054</c:v>
                </c:pt>
                <c:pt idx="2">
                  <c:v>6.06225215</c:v>
                </c:pt>
                <c:pt idx="3">
                  <c:v>6.481201636363636</c:v>
                </c:pt>
                <c:pt idx="4">
                  <c:v>8.5503167391304356</c:v>
                </c:pt>
                <c:pt idx="5">
                  <c:v>9.4458983750000005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0-4F8E-8760-76BF9C165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79664"/>
        <c:axId val="1298873424"/>
      </c:scatterChart>
      <c:valAx>
        <c:axId val="1298879664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3424"/>
        <c:crosses val="autoZero"/>
        <c:crossBetween val="midCat"/>
      </c:valAx>
      <c:valAx>
        <c:axId val="1298873424"/>
        <c:scaling>
          <c:orientation val="minMax"/>
        </c:scaling>
        <c:delete val="0"/>
        <c:axPos val="l"/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model'!$H$118</c:f>
              <c:strCache>
                <c:ptCount val="1"/>
                <c:pt idx="0">
                  <c:v>Gross Profit (Ala-Carte)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'Price model'!$B$119:$B$123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'Price model'!$H$119:$H$123</c:f>
              <c:numCache>
                <c:formatCode>"$"#,##0.00_);[Red]\("$"#,##0.00\)</c:formatCode>
                <c:ptCount val="5"/>
                <c:pt idx="0">
                  <c:v>5.6450518994857362</c:v>
                </c:pt>
                <c:pt idx="1">
                  <c:v>2.2757140566611511</c:v>
                </c:pt>
                <c:pt idx="2">
                  <c:v>-2.6694494973932734</c:v>
                </c:pt>
                <c:pt idx="3">
                  <c:v>-6.5338819426666106</c:v>
                </c:pt>
                <c:pt idx="4">
                  <c:v>-3.9703699122174783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F-4B5E-8CA1-0992D14A1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734208"/>
        <c:axId val="1558734688"/>
      </c:lineChart>
      <c:catAx>
        <c:axId val="155873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34688"/>
        <c:crosses val="autoZero"/>
        <c:auto val="1"/>
        <c:lblAlgn val="ctr"/>
        <c:lblOffset val="100"/>
        <c:noMultiLvlLbl val="0"/>
      </c:catAx>
      <c:valAx>
        <c:axId val="155873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model'!$H$125</c:f>
              <c:strCache>
                <c:ptCount val="1"/>
                <c:pt idx="0">
                  <c:v>Gross Profit (Beverage)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'Price model'!$B$126:$B$130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'Price model'!$H$126:$H$130</c:f>
              <c:numCache>
                <c:formatCode>"$"#,##0.00_);[Red]\("$"#,##0.00\)</c:formatCode>
                <c:ptCount val="5"/>
                <c:pt idx="0">
                  <c:v>21.801168577202148</c:v>
                </c:pt>
                <c:pt idx="1">
                  <c:v>19.94680691195731</c:v>
                </c:pt>
                <c:pt idx="2">
                  <c:v>21.089017018432102</c:v>
                </c:pt>
                <c:pt idx="3">
                  <c:v>23.72555379189513</c:v>
                </c:pt>
                <c:pt idx="4">
                  <c:v>28.112077285227791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2-418C-995F-0369D7F9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737568"/>
        <c:axId val="1558738528"/>
      </c:lineChart>
      <c:catAx>
        <c:axId val="1558737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38528"/>
        <c:crosses val="autoZero"/>
        <c:auto val="1"/>
        <c:lblAlgn val="ctr"/>
        <c:lblOffset val="100"/>
        <c:noMultiLvlLbl val="0"/>
      </c:catAx>
      <c:valAx>
        <c:axId val="15587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3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model'!$H$132</c:f>
              <c:strCache>
                <c:ptCount val="1"/>
                <c:pt idx="0">
                  <c:v>Gross Profit (Set-Meal)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'Price model'!$B$133:$B$137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'Price model'!$H$133:$H$137</c:f>
              <c:numCache>
                <c:formatCode>"$"#,##0.00_);[Red]\("$"#,##0.00\)</c:formatCode>
                <c:ptCount val="5"/>
                <c:pt idx="0">
                  <c:v>3.3550112307587483</c:v>
                </c:pt>
                <c:pt idx="1">
                  <c:v>0.95856494966187711</c:v>
                </c:pt>
                <c:pt idx="2">
                  <c:v>-0.83811563556851354</c:v>
                </c:pt>
                <c:pt idx="3">
                  <c:v>-1.0656140732933608</c:v>
                </c:pt>
                <c:pt idx="4">
                  <c:v>1.9109193393714605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8-4E0E-AF39-EA3265F91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867184"/>
        <c:axId val="1298880624"/>
      </c:lineChart>
      <c:catAx>
        <c:axId val="129886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80624"/>
        <c:crosses val="autoZero"/>
        <c:auto val="1"/>
        <c:lblAlgn val="ctr"/>
        <c:lblOffset val="100"/>
        <c:noMultiLvlLbl val="0"/>
      </c:catAx>
      <c:valAx>
        <c:axId val="12988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6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Gross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'Financial P&amp;L model'!$B$13:$L$13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</c:numCache>
            </c:numRef>
          </c:cat>
          <c:val>
            <c:numRef>
              <c:f>'Financial P&amp;L model'!$B$15:$L$15</c:f>
              <c:numCache>
                <c:formatCode>_("$"* #,##0.00_);_("$"* \(#,##0.00\);_("$"* "-"??_);_(@_)</c:formatCode>
                <c:ptCount val="11"/>
                <c:pt idx="0">
                  <c:v>161167482</c:v>
                </c:pt>
                <c:pt idx="1">
                  <c:v>179627188</c:v>
                </c:pt>
                <c:pt idx="2">
                  <c:v>128313102</c:v>
                </c:pt>
                <c:pt idx="3">
                  <c:v>153576000</c:v>
                </c:pt>
                <c:pt idx="4">
                  <c:v>211902000</c:v>
                </c:pt>
                <c:pt idx="5">
                  <c:v>253167250</c:v>
                </c:pt>
                <c:pt idx="6">
                  <c:v>269460316.17056829</c:v>
                </c:pt>
                <c:pt idx="7">
                  <c:v>300442999.19284678</c:v>
                </c:pt>
                <c:pt idx="8">
                  <c:v>341373542.18415427</c:v>
                </c:pt>
                <c:pt idx="9">
                  <c:v>374041747.29501569</c:v>
                </c:pt>
                <c:pt idx="10">
                  <c:v>401066054.61592239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F-495A-9F9F-A97053D8B9F4}"/>
            </c:ext>
          </c:extLst>
        </c:ser>
        <c:ser>
          <c:idx val="1"/>
          <c:order val="1"/>
          <c:tx>
            <c:v>Gross 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'Financial P&amp;L model'!$B$13:$L$13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</c:numCache>
            </c:numRef>
          </c:cat>
          <c:val>
            <c:numRef>
              <c:f>'Financial P&amp;L model'!$B$19:$L$19</c:f>
              <c:numCache>
                <c:formatCode>_("$"* #,##0.00_);_("$"* \(#,##0.00\);_("$"* "-"??_);_(@_)</c:formatCode>
                <c:ptCount val="11"/>
                <c:pt idx="0">
                  <c:v>28747197</c:v>
                </c:pt>
                <c:pt idx="1">
                  <c:v>29368307</c:v>
                </c:pt>
                <c:pt idx="2">
                  <c:v>13586665</c:v>
                </c:pt>
                <c:pt idx="3">
                  <c:v>26078911</c:v>
                </c:pt>
                <c:pt idx="4">
                  <c:v>36596000</c:v>
                </c:pt>
                <c:pt idx="5">
                  <c:v>54361250</c:v>
                </c:pt>
                <c:pt idx="6">
                  <c:v>69837726.262938619</c:v>
                </c:pt>
                <c:pt idx="7">
                  <c:v>78455157.341930002</c:v>
                </c:pt>
                <c:pt idx="8">
                  <c:v>95289465.580780655</c:v>
                </c:pt>
                <c:pt idx="9">
                  <c:v>109686546.10173649</c:v>
                </c:pt>
                <c:pt idx="10">
                  <c:v>120593675.74371767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F-495A-9F9F-A97053D8B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085567"/>
        <c:axId val="330070687"/>
      </c:lineChart>
      <c:catAx>
        <c:axId val="3300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70687"/>
        <c:crosses val="autoZero"/>
        <c:auto val="1"/>
        <c:lblAlgn val="ctr"/>
        <c:lblOffset val="100"/>
        <c:noMultiLvlLbl val="0"/>
      </c:catAx>
      <c:valAx>
        <c:axId val="33007068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8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Actual Revenue</a:t>
            </a:r>
            <a:r>
              <a:rPr lang="en-SG" baseline="0"/>
              <a:t> vs Projected Revenue by adjusting Demand</a:t>
            </a:r>
            <a:endParaRPr lang="en-SG"/>
          </a:p>
        </c:rich>
      </c:tx>
      <c:layout>
        <c:manualLayout>
          <c:xMode val="edge"/>
          <c:yMode val="edge"/>
          <c:x val="0.19266518524384546"/>
          <c:y val="4.1481479721881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>
        <c:manualLayout>
          <c:layoutTarget val="inner"/>
          <c:xMode val="edge"/>
          <c:yMode val="edge"/>
          <c:x val="0.12205576458411363"/>
          <c:y val="0.13232592031280063"/>
          <c:w val="0.86033417213521013"/>
          <c:h val="0.68638724520216354"/>
        </c:manualLayout>
      </c:layout>
      <c:barChart>
        <c:barDir val="col"/>
        <c:grouping val="clustered"/>
        <c:varyColors val="0"/>
        <c:ser>
          <c:idx val="0"/>
          <c:order val="0"/>
          <c:tx>
            <c:v>Demand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P&amp;L model'!$A$79:$A$84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'Financial P&amp;L model'!$L$79:$L$84</c:f>
              <c:numCache>
                <c:formatCode>#,##0</c:formatCode>
                <c:ptCount val="6"/>
                <c:pt idx="0">
                  <c:v>21934088</c:v>
                </c:pt>
                <c:pt idx="1">
                  <c:v>22455375</c:v>
                </c:pt>
                <c:pt idx="2">
                  <c:v>15155630</c:v>
                </c:pt>
                <c:pt idx="3">
                  <c:v>15670106</c:v>
                </c:pt>
                <c:pt idx="4">
                  <c:v>20406211</c:v>
                </c:pt>
                <c:pt idx="5">
                  <c:v>22292381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9-4345-BFB7-2687A9AD91C6}"/>
            </c:ext>
          </c:extLst>
        </c:ser>
        <c:ser>
          <c:idx val="1"/>
          <c:order val="1"/>
          <c:tx>
            <c:v>Total Revenue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P&amp;L model'!$A$79:$A$84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'Financial P&amp;L model'!$N$79:$N$84</c:f>
              <c:numCache>
                <c:formatCode>"$"#,##0_);[Red]\("$"#,##0\)</c:formatCode>
                <c:ptCount val="6"/>
                <c:pt idx="0">
                  <c:v>153543348</c:v>
                </c:pt>
                <c:pt idx="1">
                  <c:v>173759580.5</c:v>
                </c:pt>
                <c:pt idx="2">
                  <c:v>125406217</c:v>
                </c:pt>
                <c:pt idx="3">
                  <c:v>146479460</c:v>
                </c:pt>
                <c:pt idx="4">
                  <c:v>202327000.5</c:v>
                </c:pt>
                <c:pt idx="5">
                  <c:v>228568789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9-4345-BFB7-2687A9AD91C6}"/>
            </c:ext>
          </c:extLst>
        </c:ser>
        <c:ser>
          <c:idx val="2"/>
          <c:order val="2"/>
          <c:tx>
            <c:v>Actual Revenue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'Financial P&amp;L model'!$A$79:$A$84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'Financial P&amp;L model'!$O$79:$O$84</c:f>
              <c:numCache>
                <c:formatCode>"$"#,##0_);[Red]\("$"#,##0\)</c:formatCode>
                <c:ptCount val="6"/>
                <c:pt idx="0">
                  <c:v>161167782</c:v>
                </c:pt>
                <c:pt idx="1">
                  <c:v>179626188</c:v>
                </c:pt>
                <c:pt idx="2">
                  <c:v>129313002</c:v>
                </c:pt>
                <c:pt idx="3">
                  <c:v>153575590</c:v>
                </c:pt>
                <c:pt idx="4">
                  <c:v>211902216</c:v>
                </c:pt>
                <c:pt idx="5">
                  <c:v>244107348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9-4345-BFB7-2687A9AD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475439"/>
        <c:axId val="406475919"/>
      </c:barChart>
      <c:catAx>
        <c:axId val="4064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75919"/>
        <c:crosses val="autoZero"/>
        <c:auto val="1"/>
        <c:lblAlgn val="ctr"/>
        <c:lblOffset val="100"/>
        <c:noMultiLvlLbl val="0"/>
      </c:catAx>
      <c:valAx>
        <c:axId val="40647591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7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Revenue vs Total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34022918629947"/>
          <c:y val="0.13745973414977142"/>
          <c:w val="0.78340485564304463"/>
          <c:h val="0.67118506059909711"/>
        </c:manualLayout>
      </c:layout>
      <c:lineChart>
        <c:grouping val="standard"/>
        <c:varyColors val="0"/>
        <c:ser>
          <c:idx val="0"/>
          <c:order val="0"/>
          <c:tx>
            <c:v>Projected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'Financial P&amp;L model'!$A$79:$A$84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'Financial P&amp;L model'!$N$79:$N$84</c:f>
              <c:numCache>
                <c:formatCode>"$"#,##0_);[Red]\("$"#,##0\)</c:formatCode>
                <c:ptCount val="6"/>
                <c:pt idx="0">
                  <c:v>153543348</c:v>
                </c:pt>
                <c:pt idx="1">
                  <c:v>173759580.5</c:v>
                </c:pt>
                <c:pt idx="2">
                  <c:v>125406217</c:v>
                </c:pt>
                <c:pt idx="3">
                  <c:v>146479460</c:v>
                </c:pt>
                <c:pt idx="4">
                  <c:v>202327000.5</c:v>
                </c:pt>
                <c:pt idx="5">
                  <c:v>228568789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9-4368-AFCA-83EE8A30A845}"/>
            </c:ext>
          </c:extLst>
        </c:ser>
        <c:ser>
          <c:idx val="1"/>
          <c:order val="1"/>
          <c:tx>
            <c:v>Actual 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'Financial P&amp;L model'!$A$79:$A$84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'Financial P&amp;L model'!$O$79:$O$84</c:f>
              <c:numCache>
                <c:formatCode>"$"#,##0_);[Red]\("$"#,##0\)</c:formatCode>
                <c:ptCount val="6"/>
                <c:pt idx="0">
                  <c:v>161167782</c:v>
                </c:pt>
                <c:pt idx="1">
                  <c:v>179626188</c:v>
                </c:pt>
                <c:pt idx="2">
                  <c:v>129313002</c:v>
                </c:pt>
                <c:pt idx="3">
                  <c:v>153575590</c:v>
                </c:pt>
                <c:pt idx="4">
                  <c:v>211902216</c:v>
                </c:pt>
                <c:pt idx="5">
                  <c:v>244107348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9-4368-AFCA-83EE8A30A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769215"/>
        <c:axId val="1897769695"/>
      </c:lineChart>
      <c:catAx>
        <c:axId val="1897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69695"/>
        <c:crosses val="autoZero"/>
        <c:auto val="1"/>
        <c:lblAlgn val="ctr"/>
        <c:lblOffset val="100"/>
        <c:noMultiLvlLbl val="0"/>
      </c:catAx>
      <c:valAx>
        <c:axId val="1897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16.xml"/><Relationship Id="rId7" Type="http://schemas.openxmlformats.org/officeDocument/2006/relationships/image" Target="../media/image6.png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188595</xdr:colOff>
      <xdr:row>0</xdr:row>
      <xdr:rowOff>133350</xdr:rowOff>
    </xdr:from>
    <xdr:to>
      <xdr:col>9</xdr:col>
      <xdr:colOff>131445</xdr:colOff>
      <xdr:row>14</xdr:row>
      <xdr:rowOff>95250</xdr:rowOff>
    </xdr:to>
    <xdr:pic>
      <xdr:nvPicPr>
        <xdr:cNvPr id="2" name="Picture 1" descr="A logo for a school of information systems">
          <a:extLst>
            <a:ext uri="{FF2B5EF4-FFF2-40B4-BE49-F238E27FC236}">
              <a16:creationId xmlns:a16="http://schemas.microsoft.com/office/drawing/2014/main" id="{97FA2FEB-FA9D-4B4B-A43A-C72FB4E2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087"/>
        <a:stretch>
          <a:fillRect/>
        </a:stretch>
      </xdr:blipFill>
      <xdr:spPr bwMode="auto">
        <a:xfrm>
          <a:off x="188595" y="133350"/>
          <a:ext cx="5436870" cy="24879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228304</xdr:colOff>
      <xdr:row>29</xdr:row>
      <xdr:rowOff>172690</xdr:rowOff>
    </xdr:from>
    <xdr:to>
      <xdr:col>10</xdr:col>
      <xdr:colOff>519547</xdr:colOff>
      <xdr:row>52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2DD81-8AC9-4632-89F9-9CBC1CE55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212912</xdr:colOff>
      <xdr:row>128</xdr:row>
      <xdr:rowOff>10646</xdr:rowOff>
    </xdr:from>
    <xdr:to>
      <xdr:col>8</xdr:col>
      <xdr:colOff>450273</xdr:colOff>
      <xdr:row>143</xdr:row>
      <xdr:rowOff>48634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36A57A-4F95-408A-B753-52CEF921E0CE}"/>
            </a:ext>
            <a:ext uri="{147F2762-F138-4A5C-976F-8EAC2B608ADB}">
              <a16:predDERef xmlns:a16="http://schemas.microsoft.com/office/drawing/2014/main" pred="{0132DD81-8AC9-4632-89F9-9CBC1CE55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348568</xdr:colOff>
      <xdr:row>56</xdr:row>
      <xdr:rowOff>179862</xdr:rowOff>
    </xdr:from>
    <xdr:to>
      <xdr:col>11</xdr:col>
      <xdr:colOff>1103995</xdr:colOff>
      <xdr:row>79</xdr:row>
      <xdr:rowOff>153107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2A76C-5BEC-4F12-8F0A-E18FF9230652}"/>
            </a:ext>
            <a:ext uri="{147F2762-F138-4A5C-976F-8EAC2B608ADB}">
              <a16:predDERef xmlns:a16="http://schemas.microsoft.com/office/drawing/2014/main" pred="{A036A57A-4F95-408A-B753-52CEF921E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1336182</xdr:colOff>
      <xdr:row>57</xdr:row>
      <xdr:rowOff>87989</xdr:rowOff>
    </xdr:from>
    <xdr:to>
      <xdr:col>16</xdr:col>
      <xdr:colOff>351151</xdr:colOff>
      <xdr:row>80</xdr:row>
      <xdr:rowOff>11380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166A03-1FF9-40B8-B84A-9772DA62E9C4}"/>
            </a:ext>
            <a:ext uri="{147F2762-F138-4A5C-976F-8EAC2B608ADB}">
              <a16:predDERef xmlns:a16="http://schemas.microsoft.com/office/drawing/2014/main" pred="{7392A76C-5BEC-4F12-8F0A-E18FF9230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2510524</xdr:colOff>
      <xdr:row>82</xdr:row>
      <xdr:rowOff>79075</xdr:rowOff>
    </xdr:from>
    <xdr:to>
      <xdr:col>14</xdr:col>
      <xdr:colOff>139372</xdr:colOff>
      <xdr:row>108</xdr:row>
      <xdr:rowOff>41235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3551B1-8D73-4607-AC0D-6D8929533421}"/>
            </a:ext>
            <a:ext uri="{147F2762-F138-4A5C-976F-8EAC2B608ADB}">
              <a16:predDERef xmlns:a16="http://schemas.microsoft.com/office/drawing/2014/main" pred="{8B166A03-1FF9-40B8-B84A-9772DA62E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426693</xdr:colOff>
      <xdr:row>87</xdr:row>
      <xdr:rowOff>2296</xdr:rowOff>
    </xdr:from>
    <xdr:to>
      <xdr:col>9</xdr:col>
      <xdr:colOff>147042</xdr:colOff>
      <xdr:row>103</xdr:row>
      <xdr:rowOff>113893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81EFE8-DD9F-4F36-85A9-CD3621619D12}"/>
            </a:ext>
            <a:ext uri="{147F2762-F138-4A5C-976F-8EAC2B608ADB}">
              <a16:predDERef xmlns:a16="http://schemas.microsoft.com/office/drawing/2014/main" pred="{ED3551B1-8D73-4607-AC0D-6D8929533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422909</xdr:colOff>
      <xdr:row>103</xdr:row>
      <xdr:rowOff>115390</xdr:rowOff>
    </xdr:from>
    <xdr:to>
      <xdr:col>9</xdr:col>
      <xdr:colOff>207819</xdr:colOff>
      <xdr:row>124</xdr:row>
      <xdr:rowOff>138545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435222-102F-4BF7-9DD3-2F339B9339AB}"/>
            </a:ext>
            <a:ext uri="{147F2762-F138-4A5C-976F-8EAC2B608ADB}">
              <a16:predDERef xmlns:a16="http://schemas.microsoft.com/office/drawing/2014/main" pred="{A081EFE8-DD9F-4F36-85A9-CD3621619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9527</xdr:colOff>
      <xdr:row>0</xdr:row>
      <xdr:rowOff>357792</xdr:rowOff>
    </xdr:from>
    <xdr:to>
      <xdr:col>4</xdr:col>
      <xdr:colOff>1425168</xdr:colOff>
      <xdr:row>28</xdr:row>
      <xdr:rowOff>92306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2A4C39-C35E-13BA-4FC9-7CC3E6268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7" y="357792"/>
          <a:ext cx="8527699" cy="4785708"/>
        </a:xfrm>
        <a:prstGeom prst="rect">
          <a:avLst/>
        </a:prstGeom>
      </xdr:spPr>
    </xdr:pic>
    <xdr:clientData/>
  </xdr:twoCellAnchor>
  <xdr:twoCellAnchor editAs="oneCell">
    <xdr:from>
      <xdr:col>5</xdr:col>
      <xdr:colOff>219275</xdr:colOff>
      <xdr:row>1</xdr:row>
      <xdr:rowOff>94062</xdr:rowOff>
    </xdr:from>
    <xdr:to>
      <xdr:col>9</xdr:col>
      <xdr:colOff>1275452</xdr:colOff>
      <xdr:row>28</xdr:row>
      <xdr:rowOff>92306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D2BBD1-AFCC-0503-71E0-1A06FE73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3002" y="475062"/>
          <a:ext cx="8372070" cy="46684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109</xdr:row>
      <xdr:rowOff>85725</xdr:rowOff>
    </xdr:from>
    <xdr:to>
      <xdr:col>9</xdr:col>
      <xdr:colOff>419100</xdr:colOff>
      <xdr:row>135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BEAD3C-38D5-9FCE-989A-443ACE4B7EFC}"/>
            </a:ext>
            <a:ext uri="{147F2762-F138-4A5C-976F-8EAC2B608ADB}">
              <a16:predDERef xmlns:a16="http://schemas.microsoft.com/office/drawing/2014/main" pred="{5EFB89E2-6473-F81E-174E-5D07FCEBE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397582</xdr:colOff>
      <xdr:row>143</xdr:row>
      <xdr:rowOff>114858</xdr:rowOff>
    </xdr:from>
    <xdr:to>
      <xdr:col>7</xdr:col>
      <xdr:colOff>11206</xdr:colOff>
      <xdr:row>166</xdr:row>
      <xdr:rowOff>145676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7B5BA4-6B79-C83E-DA22-264042DE2D4C}"/>
            </a:ext>
            <a:ext uri="{147F2762-F138-4A5C-976F-8EAC2B608ADB}">
              <a16:predDERef xmlns:a16="http://schemas.microsoft.com/office/drawing/2014/main" pred="{B4BEAD3C-38D5-9FCE-989A-443ACE4B7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1857375</xdr:colOff>
      <xdr:row>56</xdr:row>
      <xdr:rowOff>0</xdr:rowOff>
    </xdr:from>
    <xdr:to>
      <xdr:col>23</xdr:col>
      <xdr:colOff>581025</xdr:colOff>
      <xdr:row>80</xdr:row>
      <xdr:rowOff>171450</xdr:rowOff>
    </xdr:to>
    <xdr:graphicFrame macro="">
      <xdr:nvGraphicFramePr>
        <xdr:cNvPr id="145" name="图表 1" descr="图表类型: 折线图。 “Health trend demand”，“Indulgent trend demand”按“Month”排列&#10;&#10;已自动生成说明">
          <a:extLst>
            <a:ext uri="{FF2B5EF4-FFF2-40B4-BE49-F238E27FC236}">
              <a16:creationId xmlns:a16="http://schemas.microsoft.com/office/drawing/2014/main" id="{A0793AD1-A267-6564-5F14-CC320AD76D7C}"/>
            </a:ext>
            <a:ext uri="{147F2762-F138-4A5C-976F-8EAC2B608ADB}">
              <a16:predDERef xmlns:a16="http://schemas.microsoft.com/office/drawing/2014/main" pred="{B125B69F-A4A0-8068-CF91-D616BD4F2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1857375</xdr:colOff>
      <xdr:row>82</xdr:row>
      <xdr:rowOff>161925</xdr:rowOff>
    </xdr:from>
    <xdr:to>
      <xdr:col>24</xdr:col>
      <xdr:colOff>19050</xdr:colOff>
      <xdr:row>108</xdr:row>
      <xdr:rowOff>0</xdr:rowOff>
    </xdr:to>
    <xdr:graphicFrame macro="">
      <xdr:nvGraphicFramePr>
        <xdr:cNvPr id="181" name="图表 11" descr="图表类型: 折线图。 “Health Trend Revenue(k)”，“Indulgent Trend Revenue(k)”按“Month”排列&#10;&#10;已自动生成说明">
          <a:extLst>
            <a:ext uri="{FF2B5EF4-FFF2-40B4-BE49-F238E27FC236}">
              <a16:creationId xmlns:a16="http://schemas.microsoft.com/office/drawing/2014/main" id="{0EAFBBB6-56C8-CA71-0492-85E3DCCB9F66}"/>
            </a:ext>
            <a:ext uri="{147F2762-F138-4A5C-976F-8EAC2B608ADB}">
              <a16:predDERef xmlns:a16="http://schemas.microsoft.com/office/drawing/2014/main" pred="{A0793AD1-A267-6564-5F14-CC320AD76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1150620</xdr:colOff>
      <xdr:row>1</xdr:row>
      <xdr:rowOff>7621</xdr:rowOff>
    </xdr:from>
    <xdr:to>
      <xdr:col>6</xdr:col>
      <xdr:colOff>509311</xdr:colOff>
      <xdr:row>2</xdr:row>
      <xdr:rowOff>7621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BDACA9-5900-279F-0A47-83940E5CA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2080" y="388621"/>
          <a:ext cx="5218471" cy="29413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7620</xdr:rowOff>
    </xdr:from>
    <xdr:to>
      <xdr:col>3</xdr:col>
      <xdr:colOff>1135381</xdr:colOff>
      <xdr:row>2</xdr:row>
      <xdr:rowOff>8849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E012B4-040F-5D70-4FC0-1104BB2E2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388620"/>
          <a:ext cx="5196840" cy="29425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3810</xdr:rowOff>
    </xdr:from>
    <xdr:to>
      <xdr:col>18</xdr:col>
      <xdr:colOff>360045</xdr:colOff>
      <xdr:row>21</xdr:row>
      <xdr:rowOff>165735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F55E0-B9F0-2AEA-ABB5-3E1952C9A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171450</xdr:rowOff>
    </xdr:from>
    <xdr:to>
      <xdr:col>18</xdr:col>
      <xdr:colOff>352425</xdr:colOff>
      <xdr:row>21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D62D7-C343-E2EE-B163-2811B1D8F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365503</xdr:colOff>
      <xdr:row>34</xdr:row>
      <xdr:rowOff>134491</xdr:rowOff>
    </xdr:from>
    <xdr:to>
      <xdr:col>10</xdr:col>
      <xdr:colOff>1192307</xdr:colOff>
      <xdr:row>47</xdr:row>
      <xdr:rowOff>53788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E7CE5037-641C-CFAF-A14B-03EF71A59338}"/>
            </a:ext>
            <a:ext uri="{147F2762-F138-4A5C-976F-8EAC2B608ADB}">
              <a16:predDERef xmlns:a16="http://schemas.microsoft.com/office/drawing/2014/main" pred="{7C44ACAA-9998-78E3-E995-259937219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325030</xdr:colOff>
      <xdr:row>48</xdr:row>
      <xdr:rowOff>22555</xdr:rowOff>
    </xdr:from>
    <xdr:to>
      <xdr:col>11</xdr:col>
      <xdr:colOff>54429</xdr:colOff>
      <xdr:row>61</xdr:row>
      <xdr:rowOff>68036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DD3741-15FF-FA37-EEB0-4D3471987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221079</xdr:colOff>
      <xdr:row>63</xdr:row>
      <xdr:rowOff>15586</xdr:rowOff>
    </xdr:from>
    <xdr:to>
      <xdr:col>11</xdr:col>
      <xdr:colOff>1059279</xdr:colOff>
      <xdr:row>76</xdr:row>
      <xdr:rowOff>216378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81FB46-CDEA-11B9-9E84-20E3F4B8D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792208</xdr:colOff>
      <xdr:row>110</xdr:row>
      <xdr:rowOff>86268</xdr:rowOff>
    </xdr:from>
    <xdr:to>
      <xdr:col>11</xdr:col>
      <xdr:colOff>1329690</xdr:colOff>
      <xdr:row>126</xdr:row>
      <xdr:rowOff>110762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BF154E-C9BA-EF11-9FB7-1000D9D42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272959</xdr:colOff>
      <xdr:row>110</xdr:row>
      <xdr:rowOff>144507</xdr:rowOff>
    </xdr:from>
    <xdr:to>
      <xdr:col>15</xdr:col>
      <xdr:colOff>90351</xdr:colOff>
      <xdr:row>126</xdr:row>
      <xdr:rowOff>49802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945E11-DBBE-44B5-D1AB-9652B18D5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433114</xdr:colOff>
      <xdr:row>128</xdr:row>
      <xdr:rowOff>4220</xdr:rowOff>
    </xdr:from>
    <xdr:to>
      <xdr:col>11</xdr:col>
      <xdr:colOff>1384528</xdr:colOff>
      <xdr:row>140</xdr:row>
      <xdr:rowOff>145189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2E361C-A32C-1C65-7A84-058BEDC8C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136071</xdr:colOff>
      <xdr:row>1</xdr:row>
      <xdr:rowOff>126818</xdr:rowOff>
    </xdr:from>
    <xdr:to>
      <xdr:col>4</xdr:col>
      <xdr:colOff>1369507</xdr:colOff>
      <xdr:row>24</xdr:row>
      <xdr:rowOff>15516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15219B-5959-81F9-B03A-674FF4D0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071" y="507818"/>
          <a:ext cx="8398413" cy="3945804"/>
        </a:xfrm>
        <a:prstGeom prst="rect">
          <a:avLst/>
        </a:prstGeom>
      </xdr:spPr>
    </xdr:pic>
    <xdr:clientData/>
  </xdr:twoCellAnchor>
  <xdr:twoCellAnchor editAs="oneCell">
    <xdr:from>
      <xdr:col>4</xdr:col>
      <xdr:colOff>2577465</xdr:colOff>
      <xdr:row>1</xdr:row>
      <xdr:rowOff>7620</xdr:rowOff>
    </xdr:from>
    <xdr:to>
      <xdr:col>9</xdr:col>
      <xdr:colOff>261937</xdr:colOff>
      <xdr:row>24</xdr:row>
      <xdr:rowOff>134038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ACBC6-95A6-6213-9682-794AE1D35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45028" y="388620"/>
          <a:ext cx="8423909" cy="45079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45720</xdr:rowOff>
    </xdr:from>
    <xdr:to>
      <xdr:col>2</xdr:col>
      <xdr:colOff>1394219</xdr:colOff>
      <xdr:row>8</xdr:row>
      <xdr:rowOff>360045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FD8A82-699E-4BDF-91BC-08758A707AB7}"/>
            </a:ext>
            <a:ext uri="{147F2762-F138-4A5C-976F-8EAC2B608ADB}">
              <a16:predDERef xmlns:a16="http://schemas.microsoft.com/office/drawing/2014/main" pred="{D3ECAC63-9649-4AFC-B6E4-D558A46C3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426720"/>
          <a:ext cx="5454046" cy="2981325"/>
        </a:xfrm>
        <a:prstGeom prst="rect">
          <a:avLst/>
        </a:prstGeom>
      </xdr:spPr>
    </xdr:pic>
    <xdr:clientData/>
  </xdr:twoCellAnchor>
  <xdr:twoCellAnchor editAs="oneCell">
    <xdr:from>
      <xdr:col>4</xdr:col>
      <xdr:colOff>601980</xdr:colOff>
      <xdr:row>1</xdr:row>
      <xdr:rowOff>9524</xdr:rowOff>
    </xdr:from>
    <xdr:to>
      <xdr:col>8</xdr:col>
      <xdr:colOff>899158</xdr:colOff>
      <xdr:row>9</xdr:row>
      <xdr:rowOff>305697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05545FE-037D-4F1E-98A8-ABFA1F273681}"/>
            </a:ext>
            <a:ext uri="{147F2762-F138-4A5C-976F-8EAC2B608ADB}">
              <a16:predDERef xmlns:a16="http://schemas.microsoft.com/office/drawing/2014/main" pred="{5595C73C-2B77-1901-E8D1-CF0C50F77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0755" y="390524"/>
          <a:ext cx="6063615" cy="3344173"/>
        </a:xfrm>
        <a:prstGeom prst="rect">
          <a:avLst/>
        </a:prstGeom>
      </xdr:spPr>
    </xdr:pic>
    <xdr:clientData/>
  </xdr:twoCellAnchor>
  <xdr:twoCellAnchor>
    <xdr:from>
      <xdr:col>2</xdr:col>
      <xdr:colOff>119063</xdr:colOff>
      <xdr:row>21</xdr:row>
      <xdr:rowOff>97971</xdr:rowOff>
    </xdr:from>
    <xdr:to>
      <xdr:col>5</xdr:col>
      <xdr:colOff>1187631</xdr:colOff>
      <xdr:row>37</xdr:row>
      <xdr:rowOff>122465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36F16E-60FA-7633-4B5D-C31C29F89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1034141</xdr:colOff>
      <xdr:row>94</xdr:row>
      <xdr:rowOff>81643</xdr:rowOff>
    </xdr:from>
    <xdr:ext cx="174851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F3E408-762C-1A78-F50F-698DFC4FD4F5}"/>
            </a:ext>
          </a:extLst>
        </xdr:cNvPr>
        <xdr:cNvSpPr txBox="1"/>
      </xdr:nvSpPr>
      <xdr:spPr>
        <a:xfrm>
          <a:off x="13096874" y="20261036"/>
          <a:ext cx="17485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SG" sz="1100" kern="1200"/>
        </a:p>
      </xdr:txBody>
    </xdr:sp>
    <xdr:clientData/>
  </xdr:oneCellAnchor>
  <xdr:twoCellAnchor>
    <xdr:from>
      <xdr:col>0</xdr:col>
      <xdr:colOff>1586101</xdr:colOff>
      <xdr:row>89</xdr:row>
      <xdr:rowOff>147058</xdr:rowOff>
    </xdr:from>
    <xdr:to>
      <xdr:col>4</xdr:col>
      <xdr:colOff>955729</xdr:colOff>
      <xdr:row>109</xdr:row>
      <xdr:rowOff>85646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CFE592-657E-4EB6-F8EC-876877120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1320913</xdr:colOff>
      <xdr:row>90</xdr:row>
      <xdr:rowOff>131546</xdr:rowOff>
    </xdr:from>
    <xdr:to>
      <xdr:col>8</xdr:col>
      <xdr:colOff>1644037</xdr:colOff>
      <xdr:row>109</xdr:row>
      <xdr:rowOff>140073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A1083D-19C5-5554-9A99-4F152A0B1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6</xdr:col>
      <xdr:colOff>1428749</xdr:colOff>
      <xdr:row>93</xdr:row>
      <xdr:rowOff>13607</xdr:rowOff>
    </xdr:from>
    <xdr:ext cx="1768930" cy="436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BDF272-AF2A-E6A7-BA09-1911FC20E797}"/>
            </a:ext>
          </a:extLst>
        </xdr:cNvPr>
        <xdr:cNvSpPr txBox="1"/>
      </xdr:nvSpPr>
      <xdr:spPr>
        <a:xfrm>
          <a:off x="12015106" y="20009304"/>
          <a:ext cx="1768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SG" sz="1100" kern="1200"/>
            <a:t>Slope : 1.094945737 </a:t>
          </a:r>
        </a:p>
        <a:p>
          <a:r>
            <a:rPr lang="en-SG" sz="1100" kern="1200"/>
            <a:t>R Square : 0.998231866</a:t>
          </a:r>
        </a:p>
      </xdr:txBody>
    </xdr:sp>
    <xdr:clientData/>
  </xdr:one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0.40104</cdr:x>
      <cdr:y>0.14534</cdr:y>
    </cdr:from>
    <cdr:to>
      <cdr:x>0.86533</cdr:x>
      <cdr:y>0.35615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6BDB44D-3159-0FE0-D26B-584C9D26EC15}"/>
            </a:ext>
          </a:extLst>
        </cdr:cNvPr>
        <cdr:cNvSpPr txBox="1"/>
      </cdr:nvSpPr>
      <cdr:spPr>
        <a:xfrm xmlns:a="http://schemas.openxmlformats.org/drawingml/2006/main">
          <a:off x="1833563" y="398690"/>
          <a:ext cx="2122714" cy="5783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0.30134</cdr:x>
      <cdr:y>0.16518</cdr:y>
    </cdr:from>
    <cdr:to>
      <cdr:x>0.80283</cdr:x>
      <cdr:y>0.34127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57277B4-D530-FCE7-3F4D-930311266F03}"/>
            </a:ext>
          </a:extLst>
        </cdr:cNvPr>
        <cdr:cNvSpPr txBox="1"/>
      </cdr:nvSpPr>
      <cdr:spPr>
        <a:xfrm xmlns:a="http://schemas.openxmlformats.org/drawingml/2006/main">
          <a:off x="1377723" y="453118"/>
          <a:ext cx="2292804" cy="483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0.51265</cdr:x>
      <cdr:y>0.31895</cdr:y>
    </cdr:from>
    <cdr:to>
      <cdr:x>0.71265</cdr:x>
      <cdr:y>0.65228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8B3667B-FA94-9713-40DF-ECC15C24E3B3}"/>
            </a:ext>
          </a:extLst>
        </cdr:cNvPr>
        <cdr:cNvSpPr txBox="1"/>
      </cdr:nvSpPr>
      <cdr:spPr>
        <a:xfrm xmlns:a="http://schemas.openxmlformats.org/drawingml/2006/main">
          <a:off x="2343831" y="8749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0.50967</cdr:x>
      <cdr:y>0.2495</cdr:y>
    </cdr:from>
    <cdr:to>
      <cdr:x>0.70967</cdr:x>
      <cdr:y>0.58284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F705D81-B451-C5D0-8C2A-4B19E02A1B41}"/>
            </a:ext>
          </a:extLst>
        </cdr:cNvPr>
        <cdr:cNvSpPr txBox="1"/>
      </cdr:nvSpPr>
      <cdr:spPr>
        <a:xfrm xmlns:a="http://schemas.openxmlformats.org/drawingml/2006/main">
          <a:off x="2330223" y="6844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mu.sharepoint.com/teams/IS602-Spreadsheetmodelingfordecisionmaking/Shared%20Documents/General/Competitor_Model.xlsx" TargetMode="External"/><Relationship Id="rId2" Type="http://schemas.microsoft.com/office/2019/04/relationships/externalLinkLongPath" Target="https://smu.sharepoint.com/teams/IS602-Spreadsheetmodelingfordecisionmaking/Shared%20Documents/General/MITB/Spreadsheets%20Modeling%20for%20Decision%20Making/assignment/IS602%20Project%20assignment/group%20assignment/29-10-2024%20version/Competitor_Model.xlsx?F765E6DB" TargetMode="External"/><Relationship Id="rId1" Type="http://schemas.openxmlformats.org/officeDocument/2006/relationships/externalLinkPath" Target="file:///\\F765E6DB\Competitor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gg4OOUgLj025N6vBmuz21Rw3FvRgM89NqL173F5V7HekyCXtcDdQQaJ9varTc0iY" itemId="01HERB4PUXTG6NZRSMYZFYGU42KWYAURKD">
      <xxl21:absoluteUrl r:id="rId3"/>
    </xxl21:alternateUrls>
    <sheetNames>
      <sheetName val="McDonald"/>
      <sheetName val="Popeyes"/>
      <sheetName val="Sheet1"/>
      <sheetName val="Competitor model"/>
      <sheetName val="Sheet2"/>
    </sheetNames>
    <sheetDataSet>
      <sheetData sheetId="0"/>
      <sheetData sheetId="1"/>
      <sheetData sheetId="2"/>
      <sheetData sheetId="3">
        <row r="15">
          <cell r="B15" t="str">
            <v>Jollibee vs mcdonals</v>
          </cell>
          <cell r="C15" t="str">
            <v>Jollibee vs Popeyes</v>
          </cell>
        </row>
        <row r="16">
          <cell r="A16" t="str">
            <v>Crispy Chicken (Ala Carte)</v>
          </cell>
          <cell r="B16">
            <v>0.20000000000000018</v>
          </cell>
          <cell r="C16">
            <v>9.9999999999999645E-2</v>
          </cell>
        </row>
        <row r="17">
          <cell r="A17" t="str">
            <v>Combo Meal (Chicken + Sides)</v>
          </cell>
          <cell r="B17">
            <v>0.5</v>
          </cell>
          <cell r="C17">
            <v>0.19999999999999929</v>
          </cell>
        </row>
        <row r="18">
          <cell r="A18" t="str">
            <v>Family Meal</v>
          </cell>
          <cell r="B18">
            <v>2</v>
          </cell>
          <cell r="C18">
            <v>1.5</v>
          </cell>
        </row>
        <row r="19">
          <cell r="A19" t="str">
            <v>Beverages (Soft Drink)</v>
          </cell>
          <cell r="B19">
            <v>0.19999999999999996</v>
          </cell>
          <cell r="C19">
            <v>0.10000000000000009</v>
          </cell>
        </row>
        <row r="20">
          <cell r="A20" t="str">
            <v>Chicken Sandwich (Ala Carte)</v>
          </cell>
          <cell r="B20">
            <v>0.20000000000000018</v>
          </cell>
          <cell r="C20">
            <v>9.9999999999999645E-2</v>
          </cell>
        </row>
        <row r="21">
          <cell r="A21" t="str">
            <v>Value Meal (Sandwich + Fries + Drink)</v>
          </cell>
          <cell r="B21">
            <v>0.5</v>
          </cell>
          <cell r="C21">
            <v>0.29999999999999982</v>
          </cell>
        </row>
        <row r="22">
          <cell r="A22" t="str">
            <v>Breakfast Combo (Egg + Meat + Drink)</v>
          </cell>
          <cell r="B22">
            <v>0.5</v>
          </cell>
          <cell r="C22">
            <v>0.29999999999999982</v>
          </cell>
        </row>
        <row r="23">
          <cell r="A23" t="str">
            <v>Desserts (Ice Cream)</v>
          </cell>
          <cell r="B23">
            <v>0.30000000000000004</v>
          </cell>
          <cell r="C23">
            <v>0.19999999999999996</v>
          </cell>
        </row>
        <row r="24">
          <cell r="A24" t="str">
            <v>Kids Meal (Chicken + Side + Toy)</v>
          </cell>
          <cell r="B24">
            <v>0.20000000000000018</v>
          </cell>
          <cell r="C24">
            <v>9.9999999999999645E-2</v>
          </cell>
        </row>
        <row r="25">
          <cell r="A25" t="str">
            <v>Seasonal/Promotional Meal</v>
          </cell>
          <cell r="B25">
            <v>0.5</v>
          </cell>
          <cell r="C25">
            <v>0.30000000000000071</v>
          </cell>
        </row>
        <row r="31">
          <cell r="H31" t="str">
            <v>2022-2023</v>
          </cell>
          <cell r="I31" t="str">
            <v>2023-2024</v>
          </cell>
        </row>
        <row r="32">
          <cell r="G32" t="str">
            <v>6 pcs chickenjoy burket</v>
          </cell>
          <cell r="H32">
            <v>0.1</v>
          </cell>
          <cell r="I32">
            <v>9.0909090909090592E-3</v>
          </cell>
        </row>
        <row r="33">
          <cell r="G33" t="str">
            <v>8 pcs chickenjoy burket</v>
          </cell>
          <cell r="H33">
            <v>0.1272727272727272</v>
          </cell>
          <cell r="I33">
            <v>3.5842293906810548E-3</v>
          </cell>
        </row>
        <row r="34">
          <cell r="G34" t="str">
            <v>Pie</v>
          </cell>
          <cell r="H34"/>
          <cell r="I34">
            <v>0</v>
          </cell>
        </row>
        <row r="35">
          <cell r="G35" t="str">
            <v>Cheesy Yumburger</v>
          </cell>
          <cell r="H35">
            <v>5.5555555555555518E-2</v>
          </cell>
          <cell r="I35">
            <v>0.12280701754385967</v>
          </cell>
        </row>
        <row r="36">
          <cell r="G36" t="str">
            <v>Buttered corn</v>
          </cell>
          <cell r="H36">
            <v>8.8235294117647134E-2</v>
          </cell>
          <cell r="I36">
            <v>0</v>
          </cell>
        </row>
        <row r="37">
          <cell r="G37" t="str">
            <v>Mineral water</v>
          </cell>
          <cell r="H37">
            <v>2.1739130434782726E-2</v>
          </cell>
          <cell r="I37">
            <v>0.21276595744680851</v>
          </cell>
        </row>
        <row r="38">
          <cell r="G38" t="str">
            <v>Coca cola(canned)</v>
          </cell>
          <cell r="H38">
            <v>1.9230769230769162E-2</v>
          </cell>
          <cell r="I38">
            <v>7.5471698113207614E-2</v>
          </cell>
        </row>
        <row r="41">
          <cell r="H41" t="str">
            <v>2022-2023</v>
          </cell>
          <cell r="I41" t="str">
            <v>2023-2024</v>
          </cell>
        </row>
        <row r="42">
          <cell r="G42" t="str">
            <v>6 pcs chickenjoy burket</v>
          </cell>
          <cell r="H42">
            <v>4.5454545454545456E-2</v>
          </cell>
          <cell r="I42">
            <v>6.5217391304347207E-3</v>
          </cell>
        </row>
        <row r="43">
          <cell r="G43" t="str">
            <v>8 pcs chickenjoy burket</v>
          </cell>
          <cell r="H43">
            <v>5.1724137931034482E-2</v>
          </cell>
          <cell r="I43">
            <v>1.6393442622950821E-2</v>
          </cell>
        </row>
        <row r="44">
          <cell r="G44" t="str">
            <v>Pie</v>
          </cell>
          <cell r="H44">
            <v>7.1428571428571494E-2</v>
          </cell>
          <cell r="I44">
            <v>3.3333333333333361E-2</v>
          </cell>
        </row>
        <row r="45">
          <cell r="G45" t="str">
            <v>Cheesy Yumburger</v>
          </cell>
          <cell r="H45">
            <v>3.1249999999999889E-2</v>
          </cell>
          <cell r="I45">
            <v>6.0606060606060663E-2</v>
          </cell>
        </row>
        <row r="46">
          <cell r="G46" t="str">
            <v>Buttered corn</v>
          </cell>
          <cell r="H46">
            <v>5.2631578947368474E-2</v>
          </cell>
          <cell r="I46">
            <v>5.0000000000000044E-2</v>
          </cell>
        </row>
        <row r="47">
          <cell r="G47" t="str">
            <v>Mineral water</v>
          </cell>
          <cell r="H47">
            <v>4.0000000000000036E-2</v>
          </cell>
          <cell r="I47">
            <v>3.8461538461538491E-2</v>
          </cell>
        </row>
        <row r="48">
          <cell r="G48" t="str">
            <v>Coca cola(canned)</v>
          </cell>
          <cell r="H48">
            <v>7.4074074074073973E-2</v>
          </cell>
          <cell r="I48">
            <v>0.10344827586206906</v>
          </cell>
        </row>
        <row r="51">
          <cell r="H51" t="str">
            <v>2022-2023</v>
          </cell>
          <cell r="I51" t="str">
            <v>2023-2024</v>
          </cell>
        </row>
        <row r="52">
          <cell r="G52" t="str">
            <v>6 pcs chickenjoy burket</v>
          </cell>
          <cell r="H52">
            <v>7.1428571428571425E-2</v>
          </cell>
          <cell r="I52">
            <v>2.2222222222222223E-2</v>
          </cell>
        </row>
        <row r="53">
          <cell r="G53" t="str">
            <v>8 pcs chickenjoy burket</v>
          </cell>
          <cell r="H53">
            <v>5.3571428571428568E-2</v>
          </cell>
          <cell r="I53">
            <v>1.6949152542372881E-2</v>
          </cell>
        </row>
        <row r="54">
          <cell r="G54" t="str">
            <v>Pie</v>
          </cell>
          <cell r="H54">
            <v>7.6923076923076816E-2</v>
          </cell>
          <cell r="I54">
            <v>7.1428571428571494E-2</v>
          </cell>
        </row>
        <row r="55">
          <cell r="G55" t="str">
            <v>Cheesy Yumburger</v>
          </cell>
          <cell r="H55">
            <v>6.6666666666666721E-2</v>
          </cell>
          <cell r="I55">
            <v>6.2499999999999917E-2</v>
          </cell>
        </row>
        <row r="56">
          <cell r="G56" t="str">
            <v>Buttered corn</v>
          </cell>
          <cell r="H56">
            <v>5.4054054054053981E-2</v>
          </cell>
          <cell r="I56">
            <v>5.1282051282051218E-2</v>
          </cell>
        </row>
        <row r="57">
          <cell r="G57" t="str">
            <v>Mineral water</v>
          </cell>
          <cell r="H57">
            <v>4.1666666666666706E-2</v>
          </cell>
          <cell r="I57">
            <v>4.0000000000000036E-2</v>
          </cell>
        </row>
        <row r="58">
          <cell r="G58" t="str">
            <v>Coca cola(canned)</v>
          </cell>
          <cell r="H58">
            <v>3.7735849056603807E-2</v>
          </cell>
          <cell r="I58">
            <v>3.6363636363636397E-2</v>
          </cell>
        </row>
        <row r="62">
          <cell r="B62" t="str">
            <v>Jollibee</v>
          </cell>
          <cell r="C62" t="str">
            <v>McDonald</v>
          </cell>
          <cell r="D62" t="str">
            <v>Popeyes</v>
          </cell>
        </row>
        <row r="63">
          <cell r="A63" t="str">
            <v>6 pcs chickenjoy burket</v>
          </cell>
          <cell r="B63">
            <v>0.1</v>
          </cell>
          <cell r="C63">
            <v>4.5454545454545456E-2</v>
          </cell>
          <cell r="D63">
            <v>7.1428571428571425E-2</v>
          </cell>
        </row>
        <row r="64">
          <cell r="A64" t="str">
            <v>8 pcs chickenjoy burket</v>
          </cell>
          <cell r="B64">
            <v>0.1272727272727272</v>
          </cell>
          <cell r="C64">
            <v>5.1724137931034482E-2</v>
          </cell>
          <cell r="D64">
            <v>5.3571428571428568E-2</v>
          </cell>
        </row>
        <row r="65">
          <cell r="A65" t="str">
            <v>Pie</v>
          </cell>
          <cell r="B65"/>
          <cell r="C65">
            <v>7.1428571428571494E-2</v>
          </cell>
          <cell r="D65">
            <v>7.6923076923076816E-2</v>
          </cell>
        </row>
        <row r="66">
          <cell r="A66" t="str">
            <v>Cheesy Yumburger</v>
          </cell>
          <cell r="B66">
            <v>5.5555555555555518E-2</v>
          </cell>
          <cell r="C66">
            <v>3.1249999999999889E-2</v>
          </cell>
          <cell r="D66">
            <v>6.6666666666666721E-2</v>
          </cell>
        </row>
        <row r="67">
          <cell r="A67" t="str">
            <v>Buttered corn</v>
          </cell>
          <cell r="B67">
            <v>8.8235294117647134E-2</v>
          </cell>
          <cell r="C67">
            <v>5.2631578947368474E-2</v>
          </cell>
          <cell r="D67">
            <v>5.4054054054053981E-2</v>
          </cell>
        </row>
        <row r="68">
          <cell r="A68" t="str">
            <v>Mineral water</v>
          </cell>
          <cell r="B68">
            <v>2.1739130434782726E-2</v>
          </cell>
          <cell r="C68">
            <v>4.0000000000000036E-2</v>
          </cell>
          <cell r="D68">
            <v>4.1666666666666706E-2</v>
          </cell>
        </row>
        <row r="69">
          <cell r="A69" t="str">
            <v>Coca cola(canned)</v>
          </cell>
          <cell r="B69">
            <v>1.9230769230769162E-2</v>
          </cell>
          <cell r="C69">
            <v>7.4074074074073973E-2</v>
          </cell>
          <cell r="D69">
            <v>3.7735849056603807E-2</v>
          </cell>
        </row>
        <row r="77">
          <cell r="B77" t="str">
            <v>Jollibee</v>
          </cell>
          <cell r="C77" t="str">
            <v>McDonald</v>
          </cell>
          <cell r="D77" t="str">
            <v>Popeyes</v>
          </cell>
        </row>
        <row r="78">
          <cell r="A78" t="str">
            <v>6 pcs chickenjoy burket</v>
          </cell>
          <cell r="B78">
            <v>9.0909090909090592E-3</v>
          </cell>
          <cell r="C78">
            <v>6.5217391304347207E-3</v>
          </cell>
          <cell r="D78">
            <v>2.2222222222222223E-2</v>
          </cell>
        </row>
        <row r="79">
          <cell r="A79" t="str">
            <v>8 pcs chickenjoy burket</v>
          </cell>
          <cell r="B79">
            <v>3.5842293906810548E-3</v>
          </cell>
          <cell r="C79">
            <v>1.6393442622950821E-2</v>
          </cell>
          <cell r="D79">
            <v>1.6949152542372881E-2</v>
          </cell>
        </row>
        <row r="80">
          <cell r="A80" t="str">
            <v>Pie</v>
          </cell>
          <cell r="B80">
            <v>0</v>
          </cell>
          <cell r="C80">
            <v>3.3333333333333361E-2</v>
          </cell>
          <cell r="D80">
            <v>7.1428571428571494E-2</v>
          </cell>
        </row>
        <row r="81">
          <cell r="A81" t="str">
            <v>Cheesy Yumburger</v>
          </cell>
          <cell r="B81">
            <v>0.12280701754385967</v>
          </cell>
          <cell r="C81">
            <v>6.0606060606060663E-2</v>
          </cell>
          <cell r="D81">
            <v>6.2499999999999917E-2</v>
          </cell>
        </row>
        <row r="82">
          <cell r="A82" t="str">
            <v>Buttered corn</v>
          </cell>
          <cell r="B82">
            <v>0</v>
          </cell>
          <cell r="C82">
            <v>5.0000000000000044E-2</v>
          </cell>
          <cell r="D82">
            <v>5.1282051282051218E-2</v>
          </cell>
        </row>
        <row r="83">
          <cell r="A83" t="str">
            <v>Mineral water</v>
          </cell>
          <cell r="B83">
            <v>0.21276595744680851</v>
          </cell>
          <cell r="C83">
            <v>3.8461538461538491E-2</v>
          </cell>
          <cell r="D83">
            <v>4.0000000000000036E-2</v>
          </cell>
        </row>
        <row r="84">
          <cell r="A84" t="str">
            <v>Coca cola(canned)</v>
          </cell>
          <cell r="B84">
            <v>7.5471698113207614E-2</v>
          </cell>
          <cell r="C84">
            <v>0.10344827586206906</v>
          </cell>
          <cell r="D84">
            <v>3.6363636363636397E-2</v>
          </cell>
        </row>
        <row r="108">
          <cell r="B108">
            <v>2023</v>
          </cell>
          <cell r="C108">
            <v>2024</v>
          </cell>
        </row>
        <row r="109">
          <cell r="A109" t="str">
            <v xml:space="preserve">Jollibee </v>
          </cell>
          <cell r="B109">
            <v>6.6666666666666666E-2</v>
          </cell>
          <cell r="C109">
            <v>6.25E-2</v>
          </cell>
        </row>
        <row r="110">
          <cell r="A110" t="str">
            <v>McDonald</v>
          </cell>
          <cell r="B110">
            <v>4.8951048951048952E-2</v>
          </cell>
          <cell r="C110">
            <v>0</v>
          </cell>
        </row>
        <row r="111">
          <cell r="A111" t="str">
            <v>Popeyes</v>
          </cell>
          <cell r="B111">
            <v>0.16666666666666666</v>
          </cell>
          <cell r="C111">
            <v>0.21428571428571427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xy yang" id="{A77D9791-1A45-4BAC-ACE1-1696F3D3BCC7}" userId="0db70b350253287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889B3-0D86-40F7-8D04-E9FB8D11F6AE}" name="Table1" displayName="Table1" ref="A1:E49" totalsRowShown="0">
  <autoFilter ref="A1:E49" xr:uid="{282889B3-0D86-40F7-8D04-E9FB8D11F6AE}"/>
  <tableColumns count="5">
    <tableColumn id="1" xr3:uid="{577EA420-B328-42CD-8FA6-317CC622D6FD}" name="Year" dataDxfId="23"/>
    <tableColumn id="2" xr3:uid="{50B67099-9741-4499-96C9-E7820E3E247B}" name="Health Trend "/>
    <tableColumn id="3" xr3:uid="{197BD81E-303B-4C9D-B891-1F8272930F98}" name="Forecast(Health Trend )" dataDxfId="22">
      <calculatedColumnFormula>_xlfn.FORECAST.ETS(A2,$B$2:$B$25,$A$2:$A$25,1,1)</calculatedColumnFormula>
    </tableColumn>
    <tableColumn id="4" xr3:uid="{CD6DD2DE-405D-4C7A-87A7-ED493689D2AF}" name="Lower Confidence Bound(Health Trend )" dataDxfId="21">
      <calculatedColumnFormula>C2-_xlfn.FORECAST.ETS.CONFINT(A2,$B$2:$B$25,$A$2:$A$25,0.95,1,1)</calculatedColumnFormula>
    </tableColumn>
    <tableColumn id="5" xr3:uid="{F849EC1E-7713-4AB3-9DB0-8D052D9C9656}" name="Upper Confidence Bound(Health Trend )" dataDxfId="20">
      <calculatedColumnFormula>C2+_xlfn.FORECAST.ETS.CONFINT(A2,$B$2:$B$25,$A$2:$A$25,0.95,1,1)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E0033D-C694-4E7A-A9E6-8C56AC841C97}" name="Table4" displayName="Table4" ref="A1:E49" totalsRowShown="0">
  <autoFilter ref="A1:E49" xr:uid="{90E0033D-C694-4E7A-A9E6-8C56AC841C97}"/>
  <tableColumns count="5">
    <tableColumn id="1" xr3:uid="{CB440809-1B0A-4105-BD0D-40B32140D0B4}" name="Year" dataDxfId="19"/>
    <tableColumn id="2" xr3:uid="{A8DC1727-B4FD-4ECF-8599-30298FE0AE5E}" name="Indulgent Trend "/>
    <tableColumn id="3" xr3:uid="{8B917E87-2199-44A9-9F7F-5462FDFDB78F}" name="Forecast(Indulgent Trend )" dataDxfId="18">
      <calculatedColumnFormula>_xlfn.FORECAST.ETS(A2,$B$2:$B$25,$A$2:$A$25,1,1)</calculatedColumnFormula>
    </tableColumn>
    <tableColumn id="4" xr3:uid="{AEF8D077-4B82-468F-B7BC-60D750CA006D}" name="Lower Confidence Bound(Indulgent Trend )" dataDxfId="17">
      <calculatedColumnFormula>C2-_xlfn.FORECAST.ETS.CONFINT(A2,$B$2:$B$25,$A$2:$A$25,0.95,1,1)</calculatedColumnFormula>
    </tableColumn>
    <tableColumn id="5" xr3:uid="{802AA8C0-4408-473F-A98F-0ADDF0A49E7E}" name="Upper Confidence Bound(Indulgent Trend )" dataDxfId="16">
      <calculatedColumnFormula>C2+_xlfn.FORECAST.ETS.CONFINT(A2,$B$2:$B$25,$A$2:$A$25,0.95,1,1)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0" dT="2024-10-26T17:35:26.37" personId="{A77D9791-1A45-4BAC-ACE1-1696F3D3BCC7}" id="{50451916-2630-4661-99D9-47D538470DFF}">
    <text xml:space="preserve">类别 找麦当劳和 jollibee 相似的, </text>
  </threadedComment>
  <threadedComment ref="A80" dT="2024-10-26T17:35:26.37" personId="{A77D9791-1A45-4BAC-ACE1-1696F3D3BCC7}" id="{A938DB28-C4DA-46BD-8BFC-DA72C4046957}">
    <text xml:space="preserve">类别 找一些popeyes和 jollibee 相似的,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D3B4-EC9A-4B9E-A0DD-0DD2AC6011C7}">
  <sheetPr codeName="Sheet1"/>
  <dimension ref="C17:H32"/>
  <sheetViews>
    <sheetView topLeftCell="A4" workbookViewId="0">
      <selection activeCell="J28" sqref="J28"/>
    </sheetView>
  </sheetViews>
  <sheetFormatPr defaultRowHeight="14.5"/>
  <sheetData>
    <row r="17" spans="3:8" ht="21">
      <c r="C17" s="107" t="s">
        <v>190</v>
      </c>
      <c r="D17" s="107"/>
    </row>
    <row r="19" spans="3:8" ht="66.650000000000006" customHeight="1">
      <c r="C19" s="226" t="s">
        <v>191</v>
      </c>
      <c r="D19" s="226"/>
      <c r="E19" s="226"/>
      <c r="F19" s="226"/>
      <c r="G19" s="226"/>
      <c r="H19" s="226"/>
    </row>
    <row r="22" spans="3:8" ht="15.5">
      <c r="E22" s="108" t="s">
        <v>192</v>
      </c>
    </row>
    <row r="24" spans="3:8">
      <c r="E24" s="109" t="s">
        <v>193</v>
      </c>
    </row>
    <row r="26" spans="3:8">
      <c r="E26" s="109" t="s">
        <v>194</v>
      </c>
    </row>
    <row r="28" spans="3:8">
      <c r="E28" s="109" t="s">
        <v>195</v>
      </c>
    </row>
    <row r="30" spans="3:8">
      <c r="E30" s="109" t="s">
        <v>196</v>
      </c>
    </row>
    <row r="32" spans="3:8">
      <c r="E32" s="109" t="s">
        <v>197</v>
      </c>
    </row>
  </sheetData>
  <mergeCells count="1">
    <mergeCell ref="C19:H19"/>
  </mergeCells>
  <phoneticPr fontId="4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C000"/>
  </sheetPr>
  <dimension ref="A1:O237"/>
  <sheetViews>
    <sheetView topLeftCell="A124" zoomScale="55" zoomScaleNormal="55" workbookViewId="0">
      <selection activeCell="P171" sqref="P171"/>
    </sheetView>
  </sheetViews>
  <sheetFormatPr defaultColWidth="8.6328125" defaultRowHeight="14.5"/>
  <cols>
    <col min="1" max="1" width="34.81640625" customWidth="1"/>
    <col min="2" max="5" width="23.08984375" customWidth="1"/>
    <col min="6" max="6" width="37.54296875" customWidth="1"/>
    <col min="7" max="9" width="23.08984375" customWidth="1"/>
    <col min="10" max="10" width="23.90625" customWidth="1"/>
    <col min="11" max="18" width="23.08984375" customWidth="1"/>
    <col min="19" max="19" width="10" customWidth="1"/>
    <col min="20" max="20" width="35" customWidth="1"/>
    <col min="21" max="28" width="23.08984375" customWidth="1"/>
  </cols>
  <sheetData>
    <row r="1" spans="1:1" s="219" customFormat="1" ht="30" customHeight="1">
      <c r="A1" s="218" t="s">
        <v>175</v>
      </c>
    </row>
    <row r="29" spans="1:4" s="230" customFormat="1" ht="30" customHeight="1">
      <c r="A29" s="229" t="s">
        <v>0</v>
      </c>
    </row>
    <row r="30" spans="1:4">
      <c r="A30" s="1" t="s">
        <v>1</v>
      </c>
      <c r="B30" s="1" t="s">
        <v>2</v>
      </c>
      <c r="C30" s="1" t="s">
        <v>3</v>
      </c>
      <c r="D30" s="1" t="s">
        <v>4</v>
      </c>
    </row>
    <row r="31" spans="1:4">
      <c r="A31" s="2" t="s">
        <v>5</v>
      </c>
      <c r="B31" s="3">
        <v>4.5</v>
      </c>
      <c r="C31" s="3">
        <v>4.7</v>
      </c>
      <c r="D31" s="3">
        <v>4.5999999999999996</v>
      </c>
    </row>
    <row r="32" spans="1:4">
      <c r="A32" s="2" t="s">
        <v>6</v>
      </c>
      <c r="B32" s="3">
        <v>8</v>
      </c>
      <c r="C32" s="3">
        <v>8.5</v>
      </c>
      <c r="D32" s="3">
        <v>8.1999999999999993</v>
      </c>
    </row>
    <row r="33" spans="1:4">
      <c r="A33" s="2" t="s">
        <v>7</v>
      </c>
      <c r="B33" s="3">
        <v>20</v>
      </c>
      <c r="C33" s="3">
        <v>22</v>
      </c>
      <c r="D33" s="3">
        <v>21.5</v>
      </c>
    </row>
    <row r="34" spans="1:4">
      <c r="A34" s="2" t="s">
        <v>8</v>
      </c>
      <c r="B34" s="3">
        <v>1.5</v>
      </c>
      <c r="C34" s="3">
        <v>1.7</v>
      </c>
      <c r="D34" s="3">
        <v>1.6</v>
      </c>
    </row>
    <row r="35" spans="1:4">
      <c r="A35" s="2" t="s">
        <v>9</v>
      </c>
      <c r="B35" s="3">
        <v>5</v>
      </c>
      <c r="C35" s="3">
        <v>5.2</v>
      </c>
      <c r="D35" s="3">
        <v>5.0999999999999996</v>
      </c>
    </row>
    <row r="36" spans="1:4">
      <c r="A36" s="2" t="s">
        <v>10</v>
      </c>
      <c r="B36" s="3">
        <v>7.5</v>
      </c>
      <c r="C36" s="3">
        <v>8</v>
      </c>
      <c r="D36" s="3">
        <v>7.8</v>
      </c>
    </row>
    <row r="37" spans="1:4">
      <c r="A37" s="2" t="s">
        <v>11</v>
      </c>
      <c r="B37" s="3">
        <v>6</v>
      </c>
      <c r="C37" s="3">
        <v>6.5</v>
      </c>
      <c r="D37" s="3">
        <v>6.3</v>
      </c>
    </row>
    <row r="38" spans="1:4">
      <c r="A38" s="2" t="s">
        <v>12</v>
      </c>
      <c r="B38" s="3">
        <v>1.2</v>
      </c>
      <c r="C38" s="3">
        <v>1.5</v>
      </c>
      <c r="D38" s="3">
        <v>1.4</v>
      </c>
    </row>
    <row r="39" spans="1:4">
      <c r="A39" s="2" t="s">
        <v>13</v>
      </c>
      <c r="B39" s="3">
        <v>4</v>
      </c>
      <c r="C39" s="3">
        <v>4.2</v>
      </c>
      <c r="D39" s="3">
        <v>4.0999999999999996</v>
      </c>
    </row>
    <row r="40" spans="1:4">
      <c r="A40" s="2" t="s">
        <v>14</v>
      </c>
      <c r="B40" s="3">
        <v>9</v>
      </c>
      <c r="C40" s="3">
        <v>9.5</v>
      </c>
      <c r="D40" s="3">
        <v>9.3000000000000007</v>
      </c>
    </row>
    <row r="43" spans="1:4">
      <c r="A43" s="4" t="s">
        <v>15</v>
      </c>
      <c r="B43" s="5" t="s">
        <v>16</v>
      </c>
      <c r="C43" s="5" t="s">
        <v>17</v>
      </c>
    </row>
    <row r="44" spans="1:4">
      <c r="A44" s="2" t="s">
        <v>5</v>
      </c>
      <c r="B44" s="6">
        <f t="shared" ref="B44:B53" si="0">C31-B31</f>
        <v>0.20000000000000018</v>
      </c>
      <c r="C44" s="6">
        <f t="shared" ref="C44:C53" si="1">D31-B31</f>
        <v>9.9999999999999645E-2</v>
      </c>
    </row>
    <row r="45" spans="1:4">
      <c r="A45" s="2" t="s">
        <v>6</v>
      </c>
      <c r="B45" s="6">
        <f t="shared" si="0"/>
        <v>0.5</v>
      </c>
      <c r="C45" s="6">
        <f t="shared" si="1"/>
        <v>0.19999999999999929</v>
      </c>
    </row>
    <row r="46" spans="1:4">
      <c r="A46" s="2" t="s">
        <v>7</v>
      </c>
      <c r="B46" s="6">
        <f t="shared" si="0"/>
        <v>2</v>
      </c>
      <c r="C46" s="6">
        <f t="shared" si="1"/>
        <v>1.5</v>
      </c>
    </row>
    <row r="47" spans="1:4">
      <c r="A47" s="2" t="s">
        <v>8</v>
      </c>
      <c r="B47" s="6">
        <f t="shared" si="0"/>
        <v>0.19999999999999996</v>
      </c>
      <c r="C47" s="6">
        <f t="shared" si="1"/>
        <v>0.10000000000000009</v>
      </c>
    </row>
    <row r="48" spans="1:4">
      <c r="A48" s="2" t="s">
        <v>9</v>
      </c>
      <c r="B48" s="6">
        <f t="shared" si="0"/>
        <v>0.20000000000000018</v>
      </c>
      <c r="C48" s="6">
        <f t="shared" si="1"/>
        <v>9.9999999999999645E-2</v>
      </c>
    </row>
    <row r="49" spans="1:8">
      <c r="A49" s="2" t="s">
        <v>10</v>
      </c>
      <c r="B49" s="6">
        <f t="shared" si="0"/>
        <v>0.5</v>
      </c>
      <c r="C49" s="6">
        <f t="shared" si="1"/>
        <v>0.29999999999999982</v>
      </c>
    </row>
    <row r="50" spans="1:8">
      <c r="A50" s="2" t="s">
        <v>11</v>
      </c>
      <c r="B50" s="6">
        <f t="shared" si="0"/>
        <v>0.5</v>
      </c>
      <c r="C50" s="6">
        <f t="shared" si="1"/>
        <v>0.29999999999999982</v>
      </c>
    </row>
    <row r="51" spans="1:8">
      <c r="A51" s="2" t="s">
        <v>12</v>
      </c>
      <c r="B51" s="6">
        <f t="shared" si="0"/>
        <v>0.30000000000000004</v>
      </c>
      <c r="C51" s="6">
        <f t="shared" si="1"/>
        <v>0.19999999999999996</v>
      </c>
    </row>
    <row r="52" spans="1:8">
      <c r="A52" s="2" t="s">
        <v>13</v>
      </c>
      <c r="B52" s="6">
        <f t="shared" si="0"/>
        <v>0.20000000000000018</v>
      </c>
      <c r="C52" s="6">
        <f t="shared" si="1"/>
        <v>9.9999999999999645E-2</v>
      </c>
    </row>
    <row r="53" spans="1:8">
      <c r="A53" s="2" t="s">
        <v>14</v>
      </c>
      <c r="B53" s="6">
        <f t="shared" si="0"/>
        <v>0.5</v>
      </c>
      <c r="C53" s="6">
        <f t="shared" si="1"/>
        <v>0.30000000000000071</v>
      </c>
    </row>
    <row r="56" spans="1:8" s="8" customFormat="1" ht="18.5">
      <c r="A56" s="7" t="s">
        <v>18</v>
      </c>
    </row>
    <row r="58" spans="1:8">
      <c r="A58" s="231" t="s">
        <v>19</v>
      </c>
      <c r="B58" s="232"/>
      <c r="C58" s="232"/>
      <c r="D58" s="233"/>
      <c r="H58" s="110"/>
    </row>
    <row r="59" spans="1:8">
      <c r="A59" s="1" t="s">
        <v>1</v>
      </c>
      <c r="B59" s="4">
        <v>2022</v>
      </c>
      <c r="C59" s="1">
        <v>2023</v>
      </c>
      <c r="D59" s="4">
        <v>2024</v>
      </c>
      <c r="F59" s="2"/>
      <c r="G59" s="9" t="s">
        <v>20</v>
      </c>
      <c r="H59" s="9" t="s">
        <v>21</v>
      </c>
    </row>
    <row r="60" spans="1:8">
      <c r="A60" s="2" t="s">
        <v>22</v>
      </c>
      <c r="B60" s="10">
        <v>20</v>
      </c>
      <c r="C60" s="10">
        <v>22</v>
      </c>
      <c r="D60" s="10">
        <v>22.2</v>
      </c>
      <c r="F60" s="2" t="s">
        <v>22</v>
      </c>
      <c r="G60" s="11">
        <f>(C60-B60)/B60</f>
        <v>0.1</v>
      </c>
      <c r="H60" s="11">
        <f>(D60-C60)/C60</f>
        <v>9.0909090909090592E-3</v>
      </c>
    </row>
    <row r="61" spans="1:8">
      <c r="A61" s="2" t="s">
        <v>23</v>
      </c>
      <c r="B61" s="10">
        <v>24.75</v>
      </c>
      <c r="C61" s="10">
        <v>27.9</v>
      </c>
      <c r="D61" s="10">
        <v>28</v>
      </c>
      <c r="F61" s="2" t="s">
        <v>23</v>
      </c>
      <c r="G61" s="11">
        <f>(C61-B61)/B61</f>
        <v>0.1272727272727272</v>
      </c>
      <c r="H61" s="11">
        <f>(D61-C61)/C61</f>
        <v>3.5842293906810548E-3</v>
      </c>
    </row>
    <row r="62" spans="1:8">
      <c r="A62" s="2" t="s">
        <v>24</v>
      </c>
      <c r="B62" s="10"/>
      <c r="C62" s="10">
        <v>2.2999999999999998</v>
      </c>
      <c r="D62" s="10">
        <v>2.2999999999999998</v>
      </c>
      <c r="F62" s="2" t="s">
        <v>24</v>
      </c>
      <c r="G62" s="11"/>
      <c r="H62" s="11">
        <f>(D62-C62)/C62</f>
        <v>0</v>
      </c>
    </row>
    <row r="63" spans="1:8">
      <c r="A63" s="2" t="s">
        <v>25</v>
      </c>
      <c r="B63" s="10">
        <v>2.7</v>
      </c>
      <c r="C63" s="10">
        <v>2.85</v>
      </c>
      <c r="D63" s="10">
        <v>3.2</v>
      </c>
      <c r="F63" s="2" t="s">
        <v>25</v>
      </c>
      <c r="G63" s="11">
        <f>(C63-B63)/B63</f>
        <v>5.5555555555555518E-2</v>
      </c>
      <c r="H63" s="11">
        <f>(D63-C63)/C63</f>
        <v>0.12280701754385967</v>
      </c>
    </row>
    <row r="64" spans="1:8">
      <c r="A64" s="2" t="s">
        <v>26</v>
      </c>
      <c r="B64" s="10">
        <v>1.7</v>
      </c>
      <c r="C64" s="10">
        <v>1.85</v>
      </c>
      <c r="D64" s="10">
        <v>1.85</v>
      </c>
      <c r="F64" s="2" t="s">
        <v>26</v>
      </c>
      <c r="G64" s="11">
        <f>(C64-B64)/B64</f>
        <v>8.8235294117647134E-2</v>
      </c>
      <c r="H64" s="11">
        <f>(D64-C64)/C64</f>
        <v>0</v>
      </c>
    </row>
    <row r="65" spans="1:8">
      <c r="A65" s="2" t="s">
        <v>27</v>
      </c>
      <c r="B65" s="10">
        <v>2.2999999999999998</v>
      </c>
      <c r="C65" s="10">
        <v>2.35</v>
      </c>
      <c r="D65" s="10">
        <v>2.85</v>
      </c>
      <c r="F65" s="2" t="s">
        <v>27</v>
      </c>
      <c r="G65" s="11">
        <f>(C65-B65)/B65</f>
        <v>2.1739130434782726E-2</v>
      </c>
      <c r="H65" s="11">
        <f>(D65-C65)/C65</f>
        <v>0.21276595744680851</v>
      </c>
    </row>
    <row r="66" spans="1:8">
      <c r="A66" s="2" t="s">
        <v>28</v>
      </c>
      <c r="B66" s="3">
        <v>2.6</v>
      </c>
      <c r="C66" s="3">
        <v>2.65</v>
      </c>
      <c r="D66" s="3">
        <v>2.85</v>
      </c>
      <c r="F66" s="2" t="s">
        <v>28</v>
      </c>
      <c r="G66" s="11">
        <f>(C66-B66)/B66</f>
        <v>1.9230769230769162E-2</v>
      </c>
      <c r="H66" s="11">
        <f>(D66-C66)/C66</f>
        <v>7.5471698113207614E-2</v>
      </c>
    </row>
    <row r="68" spans="1:8">
      <c r="A68" s="231" t="s">
        <v>29</v>
      </c>
      <c r="B68" s="232"/>
      <c r="C68" s="232"/>
      <c r="D68" s="233"/>
    </row>
    <row r="69" spans="1:8">
      <c r="A69" s="1" t="s">
        <v>1</v>
      </c>
      <c r="B69" s="12">
        <v>2022</v>
      </c>
      <c r="C69" s="13">
        <v>2023</v>
      </c>
      <c r="D69" s="12">
        <v>2024</v>
      </c>
      <c r="F69" s="2"/>
      <c r="G69" s="9" t="s">
        <v>20</v>
      </c>
      <c r="H69" s="9" t="s">
        <v>21</v>
      </c>
    </row>
    <row r="70" spans="1:8">
      <c r="A70" s="2" t="s">
        <v>22</v>
      </c>
      <c r="B70" s="14">
        <v>22</v>
      </c>
      <c r="C70" s="14">
        <v>23</v>
      </c>
      <c r="D70" s="14">
        <v>23.15</v>
      </c>
      <c r="F70" s="2" t="s">
        <v>22</v>
      </c>
      <c r="G70" s="11">
        <f t="shared" ref="G70:H76" si="2">(C70-B70)/B70</f>
        <v>4.5454545454545456E-2</v>
      </c>
      <c r="H70" s="11">
        <f t="shared" si="2"/>
        <v>6.5217391304347207E-3</v>
      </c>
    </row>
    <row r="71" spans="1:8">
      <c r="A71" s="2" t="s">
        <v>23</v>
      </c>
      <c r="B71" s="14">
        <v>29</v>
      </c>
      <c r="C71" s="14">
        <v>30.5</v>
      </c>
      <c r="D71" s="14">
        <v>31</v>
      </c>
      <c r="F71" s="2" t="s">
        <v>23</v>
      </c>
      <c r="G71" s="11">
        <f t="shared" si="2"/>
        <v>5.1724137931034482E-2</v>
      </c>
      <c r="H71" s="11">
        <f t="shared" si="2"/>
        <v>1.6393442622950821E-2</v>
      </c>
    </row>
    <row r="72" spans="1:8">
      <c r="A72" s="2" t="s">
        <v>24</v>
      </c>
      <c r="B72" s="14">
        <v>2.8</v>
      </c>
      <c r="C72" s="14">
        <v>3</v>
      </c>
      <c r="D72" s="14">
        <v>3.1</v>
      </c>
      <c r="F72" s="2" t="s">
        <v>24</v>
      </c>
      <c r="G72" s="11">
        <f t="shared" si="2"/>
        <v>7.1428571428571494E-2</v>
      </c>
      <c r="H72" s="11">
        <f t="shared" si="2"/>
        <v>3.3333333333333361E-2</v>
      </c>
    </row>
    <row r="73" spans="1:8">
      <c r="A73" s="2" t="s">
        <v>25</v>
      </c>
      <c r="B73" s="14">
        <v>3.2</v>
      </c>
      <c r="C73" s="14">
        <v>3.3</v>
      </c>
      <c r="D73" s="14">
        <v>3.5</v>
      </c>
      <c r="F73" s="2" t="s">
        <v>25</v>
      </c>
      <c r="G73" s="11">
        <f t="shared" si="2"/>
        <v>3.1249999999999889E-2</v>
      </c>
      <c r="H73" s="11">
        <f t="shared" si="2"/>
        <v>6.0606060606060663E-2</v>
      </c>
    </row>
    <row r="74" spans="1:8">
      <c r="A74" s="2" t="s">
        <v>26</v>
      </c>
      <c r="B74" s="14">
        <v>1.9</v>
      </c>
      <c r="C74" s="14">
        <v>2</v>
      </c>
      <c r="D74" s="14">
        <v>2.1</v>
      </c>
      <c r="F74" s="2" t="s">
        <v>26</v>
      </c>
      <c r="G74" s="11">
        <f t="shared" si="2"/>
        <v>5.2631578947368474E-2</v>
      </c>
      <c r="H74" s="11">
        <f t="shared" si="2"/>
        <v>5.0000000000000044E-2</v>
      </c>
    </row>
    <row r="75" spans="1:8">
      <c r="A75" s="2" t="s">
        <v>27</v>
      </c>
      <c r="B75" s="14">
        <v>2.5</v>
      </c>
      <c r="C75" s="14">
        <v>2.6</v>
      </c>
      <c r="D75" s="14">
        <v>2.7</v>
      </c>
      <c r="F75" s="2" t="s">
        <v>27</v>
      </c>
      <c r="G75" s="11">
        <f t="shared" si="2"/>
        <v>4.0000000000000036E-2</v>
      </c>
      <c r="H75" s="11">
        <f t="shared" si="2"/>
        <v>3.8461538461538491E-2</v>
      </c>
    </row>
    <row r="76" spans="1:8">
      <c r="A76" s="2" t="s">
        <v>28</v>
      </c>
      <c r="B76" s="14">
        <v>2.7</v>
      </c>
      <c r="C76" s="14">
        <v>2.9</v>
      </c>
      <c r="D76" s="14">
        <v>3.2</v>
      </c>
      <c r="F76" s="2" t="s">
        <v>28</v>
      </c>
      <c r="G76" s="11">
        <f t="shared" si="2"/>
        <v>7.4074074074073973E-2</v>
      </c>
      <c r="H76" s="11">
        <f t="shared" si="2"/>
        <v>0.10344827586206906</v>
      </c>
    </row>
    <row r="78" spans="1:8">
      <c r="A78" s="231" t="s">
        <v>30</v>
      </c>
      <c r="B78" s="232"/>
      <c r="C78" s="232"/>
      <c r="D78" s="233"/>
    </row>
    <row r="79" spans="1:8">
      <c r="A79" s="1" t="s">
        <v>1</v>
      </c>
      <c r="B79" s="4">
        <v>2022</v>
      </c>
      <c r="C79" s="1">
        <v>2023</v>
      </c>
      <c r="D79" s="4">
        <v>2024</v>
      </c>
      <c r="F79" s="2"/>
      <c r="G79" s="9" t="s">
        <v>20</v>
      </c>
      <c r="H79" s="9" t="s">
        <v>21</v>
      </c>
    </row>
    <row r="80" spans="1:8">
      <c r="A80" s="2" t="s">
        <v>22</v>
      </c>
      <c r="B80" s="14">
        <v>21</v>
      </c>
      <c r="C80" s="14">
        <v>22.5</v>
      </c>
      <c r="D80" s="14">
        <v>23</v>
      </c>
      <c r="F80" s="2" t="s">
        <v>22</v>
      </c>
      <c r="G80" s="11">
        <f t="shared" ref="G80:H86" si="3">(C80-B80)/B80</f>
        <v>7.1428571428571425E-2</v>
      </c>
      <c r="H80" s="11">
        <f t="shared" si="3"/>
        <v>2.2222222222222223E-2</v>
      </c>
    </row>
    <row r="81" spans="1:8">
      <c r="A81" s="2" t="s">
        <v>23</v>
      </c>
      <c r="B81" s="14">
        <v>28</v>
      </c>
      <c r="C81" s="14">
        <v>29.5</v>
      </c>
      <c r="D81" s="14">
        <v>30</v>
      </c>
      <c r="F81" s="2" t="s">
        <v>23</v>
      </c>
      <c r="G81" s="11">
        <f t="shared" si="3"/>
        <v>5.3571428571428568E-2</v>
      </c>
      <c r="H81" s="11">
        <f t="shared" si="3"/>
        <v>1.6949152542372881E-2</v>
      </c>
    </row>
    <row r="82" spans="1:8">
      <c r="A82" s="2" t="s">
        <v>24</v>
      </c>
      <c r="B82" s="14">
        <v>2.6</v>
      </c>
      <c r="C82" s="14">
        <v>2.8</v>
      </c>
      <c r="D82" s="14">
        <v>3</v>
      </c>
      <c r="F82" s="2" t="s">
        <v>24</v>
      </c>
      <c r="G82" s="11">
        <f t="shared" si="3"/>
        <v>7.6923076923076816E-2</v>
      </c>
      <c r="H82" s="11">
        <f t="shared" si="3"/>
        <v>7.1428571428571494E-2</v>
      </c>
    </row>
    <row r="83" spans="1:8">
      <c r="A83" s="2" t="s">
        <v>25</v>
      </c>
      <c r="B83" s="14">
        <v>3</v>
      </c>
      <c r="C83" s="14">
        <v>3.2</v>
      </c>
      <c r="D83" s="14">
        <v>3.4</v>
      </c>
      <c r="F83" s="2" t="s">
        <v>25</v>
      </c>
      <c r="G83" s="11">
        <f t="shared" si="3"/>
        <v>6.6666666666666721E-2</v>
      </c>
      <c r="H83" s="11">
        <f t="shared" si="3"/>
        <v>6.2499999999999917E-2</v>
      </c>
    </row>
    <row r="84" spans="1:8">
      <c r="A84" s="2" t="s">
        <v>26</v>
      </c>
      <c r="B84" s="14">
        <v>1.85</v>
      </c>
      <c r="C84" s="14">
        <v>1.95</v>
      </c>
      <c r="D84" s="14">
        <v>2.0499999999999998</v>
      </c>
      <c r="F84" s="2" t="s">
        <v>26</v>
      </c>
      <c r="G84" s="11">
        <f t="shared" si="3"/>
        <v>5.4054054054053981E-2</v>
      </c>
      <c r="H84" s="11">
        <f t="shared" si="3"/>
        <v>5.1282051282051218E-2</v>
      </c>
    </row>
    <row r="85" spans="1:8">
      <c r="A85" s="2" t="s">
        <v>27</v>
      </c>
      <c r="B85" s="14">
        <v>2.4</v>
      </c>
      <c r="C85" s="14">
        <v>2.5</v>
      </c>
      <c r="D85" s="14">
        <v>2.6</v>
      </c>
      <c r="F85" s="2" t="s">
        <v>27</v>
      </c>
      <c r="G85" s="11">
        <f t="shared" si="3"/>
        <v>4.1666666666666706E-2</v>
      </c>
      <c r="H85" s="11">
        <f t="shared" si="3"/>
        <v>4.0000000000000036E-2</v>
      </c>
    </row>
    <row r="86" spans="1:8">
      <c r="A86" s="2" t="s">
        <v>28</v>
      </c>
      <c r="B86" s="14">
        <v>2.65</v>
      </c>
      <c r="C86" s="14">
        <v>2.75</v>
      </c>
      <c r="D86" s="14">
        <v>2.85</v>
      </c>
      <c r="F86" s="2" t="s">
        <v>28</v>
      </c>
      <c r="G86" s="11">
        <f t="shared" si="3"/>
        <v>3.7735849056603807E-2</v>
      </c>
      <c r="H86" s="11">
        <f t="shared" si="3"/>
        <v>3.6363636363636397E-2</v>
      </c>
    </row>
    <row r="89" spans="1:8">
      <c r="A89" s="228" t="s">
        <v>31</v>
      </c>
      <c r="B89" s="228"/>
      <c r="C89" s="228"/>
      <c r="D89" s="228"/>
    </row>
    <row r="90" spans="1:8">
      <c r="A90" s="2"/>
      <c r="B90" s="15" t="s">
        <v>19</v>
      </c>
      <c r="C90" s="15" t="s">
        <v>29</v>
      </c>
      <c r="D90" s="15" t="s">
        <v>30</v>
      </c>
    </row>
    <row r="91" spans="1:8">
      <c r="A91" s="2" t="s">
        <v>22</v>
      </c>
      <c r="B91" s="15">
        <v>0.1</v>
      </c>
      <c r="C91" s="16">
        <v>4.5454545454545456E-2</v>
      </c>
      <c r="D91" s="15">
        <v>7.1428571428571425E-2</v>
      </c>
    </row>
    <row r="92" spans="1:8">
      <c r="A92" s="2" t="s">
        <v>23</v>
      </c>
      <c r="B92" s="15">
        <v>0.1272727272727272</v>
      </c>
      <c r="C92" s="16">
        <v>5.1724137931034482E-2</v>
      </c>
      <c r="D92" s="15">
        <v>5.3571428571428568E-2</v>
      </c>
    </row>
    <row r="93" spans="1:8">
      <c r="A93" s="2" t="s">
        <v>24</v>
      </c>
      <c r="B93" s="15"/>
      <c r="C93" s="16">
        <v>7.1428571428571494E-2</v>
      </c>
      <c r="D93" s="15">
        <v>7.6923076923076816E-2</v>
      </c>
    </row>
    <row r="94" spans="1:8">
      <c r="A94" s="2" t="s">
        <v>25</v>
      </c>
      <c r="B94" s="15">
        <v>5.5555555555555518E-2</v>
      </c>
      <c r="C94" s="16">
        <v>3.1249999999999889E-2</v>
      </c>
      <c r="D94" s="15">
        <v>6.6666666666666721E-2</v>
      </c>
    </row>
    <row r="95" spans="1:8">
      <c r="A95" s="2" t="s">
        <v>26</v>
      </c>
      <c r="B95" s="15">
        <v>8.8235294117647134E-2</v>
      </c>
      <c r="C95" s="16">
        <v>5.2631578947368474E-2</v>
      </c>
      <c r="D95" s="15">
        <v>5.4054054054053981E-2</v>
      </c>
    </row>
    <row r="96" spans="1:8">
      <c r="A96" s="2" t="s">
        <v>27</v>
      </c>
      <c r="B96" s="17">
        <v>2.1739130434782726E-2</v>
      </c>
      <c r="C96" s="15">
        <v>4.0000000000000036E-2</v>
      </c>
      <c r="D96" s="15">
        <v>4.1666666666666706E-2</v>
      </c>
    </row>
    <row r="97" spans="1:4">
      <c r="A97" s="2" t="s">
        <v>28</v>
      </c>
      <c r="B97" s="16">
        <v>1.9230769230769162E-2</v>
      </c>
      <c r="C97" s="15">
        <v>7.4074074074073973E-2</v>
      </c>
      <c r="D97" s="15">
        <v>3.7735849056603807E-2</v>
      </c>
    </row>
    <row r="104" spans="1:4">
      <c r="A104" s="228" t="s">
        <v>32</v>
      </c>
      <c r="B104" s="228"/>
      <c r="C104" s="228"/>
      <c r="D104" s="228"/>
    </row>
    <row r="105" spans="1:4">
      <c r="A105" s="2"/>
      <c r="B105" s="15" t="s">
        <v>19</v>
      </c>
      <c r="C105" s="15" t="s">
        <v>29</v>
      </c>
      <c r="D105" s="15" t="s">
        <v>30</v>
      </c>
    </row>
    <row r="106" spans="1:4">
      <c r="A106" s="2" t="s">
        <v>22</v>
      </c>
      <c r="B106" s="15">
        <v>9.0909090909090592E-3</v>
      </c>
      <c r="C106" s="16">
        <v>6.5217391304347207E-3</v>
      </c>
      <c r="D106" s="15">
        <v>2.2222222222222223E-2</v>
      </c>
    </row>
    <row r="107" spans="1:4">
      <c r="A107" s="2" t="s">
        <v>23</v>
      </c>
      <c r="B107" s="15">
        <v>3.5842293906810548E-3</v>
      </c>
      <c r="C107" s="16">
        <v>1.6393442622950821E-2</v>
      </c>
      <c r="D107" s="15">
        <v>1.6949152542372881E-2</v>
      </c>
    </row>
    <row r="108" spans="1:4">
      <c r="A108" s="2" t="s">
        <v>24</v>
      </c>
      <c r="B108" s="15">
        <v>0</v>
      </c>
      <c r="C108" s="16">
        <v>3.3333333333333361E-2</v>
      </c>
      <c r="D108" s="15">
        <v>7.1428571428571494E-2</v>
      </c>
    </row>
    <row r="109" spans="1:4">
      <c r="A109" s="2" t="s">
        <v>25</v>
      </c>
      <c r="B109" s="15">
        <v>0.12280701754385967</v>
      </c>
      <c r="C109" s="16">
        <v>6.0606060606060663E-2</v>
      </c>
      <c r="D109" s="15">
        <v>6.2499999999999917E-2</v>
      </c>
    </row>
    <row r="110" spans="1:4">
      <c r="A110" s="2" t="s">
        <v>26</v>
      </c>
      <c r="B110" s="15">
        <v>0</v>
      </c>
      <c r="C110" s="16">
        <v>5.0000000000000044E-2</v>
      </c>
      <c r="D110" s="15">
        <v>5.1282051282051218E-2</v>
      </c>
    </row>
    <row r="111" spans="1:4">
      <c r="A111" s="2" t="s">
        <v>27</v>
      </c>
      <c r="B111" s="17">
        <v>0.21276595744680851</v>
      </c>
      <c r="C111" s="15">
        <v>3.8461538461538491E-2</v>
      </c>
      <c r="D111" s="15">
        <v>4.0000000000000036E-2</v>
      </c>
    </row>
    <row r="112" spans="1:4">
      <c r="A112" s="2" t="s">
        <v>28</v>
      </c>
      <c r="B112" s="16">
        <v>7.5471698113207614E-2</v>
      </c>
      <c r="C112" s="15">
        <v>0.10344827586206906</v>
      </c>
      <c r="D112" s="15">
        <v>3.6363636363636397E-2</v>
      </c>
    </row>
    <row r="127" spans="1:1" s="19" customFormat="1" ht="21">
      <c r="A127" s="18" t="s">
        <v>33</v>
      </c>
    </row>
    <row r="129" spans="1:4">
      <c r="A129" t="s">
        <v>34</v>
      </c>
    </row>
    <row r="130" spans="1:4">
      <c r="A130" s="2"/>
      <c r="B130" s="4">
        <v>2022</v>
      </c>
      <c r="C130" s="4">
        <v>2023</v>
      </c>
      <c r="D130" s="4">
        <v>2024</v>
      </c>
    </row>
    <row r="131" spans="1:4">
      <c r="A131" s="5" t="s">
        <v>35</v>
      </c>
      <c r="B131" s="20">
        <v>15</v>
      </c>
      <c r="C131" s="20">
        <v>16</v>
      </c>
      <c r="D131" s="20">
        <v>17</v>
      </c>
    </row>
    <row r="132" spans="1:4">
      <c r="A132" s="5" t="s">
        <v>29</v>
      </c>
      <c r="B132" s="20">
        <v>143</v>
      </c>
      <c r="C132" s="20">
        <v>150</v>
      </c>
      <c r="D132" s="20">
        <v>150</v>
      </c>
    </row>
    <row r="133" spans="1:4">
      <c r="A133" s="5" t="s">
        <v>30</v>
      </c>
      <c r="B133" s="20">
        <v>12</v>
      </c>
      <c r="C133" s="20">
        <v>14</v>
      </c>
      <c r="D133" s="20">
        <v>17</v>
      </c>
    </row>
    <row r="134" spans="1:4">
      <c r="A134" s="4" t="s">
        <v>36</v>
      </c>
      <c r="B134" s="20">
        <f>SUM(B131:B133)</f>
        <v>170</v>
      </c>
      <c r="C134" s="20">
        <f t="shared" ref="C134:D134" si="4">SUM(C131:C133)</f>
        <v>180</v>
      </c>
      <c r="D134" s="20">
        <f t="shared" si="4"/>
        <v>184</v>
      </c>
    </row>
    <row r="136" spans="1:4">
      <c r="A136" s="2"/>
      <c r="B136" s="4">
        <v>2023</v>
      </c>
      <c r="C136" s="4">
        <v>2024</v>
      </c>
    </row>
    <row r="137" spans="1:4">
      <c r="A137" s="5" t="s">
        <v>35</v>
      </c>
      <c r="B137" s="21">
        <f>(C131-B131)/B131</f>
        <v>6.6666666666666666E-2</v>
      </c>
      <c r="C137" s="21">
        <f>(D131-C131)/C131</f>
        <v>6.25E-2</v>
      </c>
    </row>
    <row r="138" spans="1:4">
      <c r="A138" s="5" t="s">
        <v>29</v>
      </c>
      <c r="B138" s="21">
        <f t="shared" ref="B138:C139" si="5">(C132-B132)/B132</f>
        <v>4.8951048951048952E-2</v>
      </c>
      <c r="C138" s="21">
        <f t="shared" si="5"/>
        <v>0</v>
      </c>
    </row>
    <row r="139" spans="1:4">
      <c r="A139" s="5" t="s">
        <v>30</v>
      </c>
      <c r="B139" s="21">
        <f t="shared" si="5"/>
        <v>0.16666666666666666</v>
      </c>
      <c r="C139" s="21">
        <f>(D133-C133)/C133</f>
        <v>0.21428571428571427</v>
      </c>
    </row>
    <row r="146" spans="1:15" s="19" customFormat="1" ht="21">
      <c r="A146" s="18" t="s">
        <v>37</v>
      </c>
    </row>
    <row r="147" spans="1:15">
      <c r="H147" s="215" t="s">
        <v>38</v>
      </c>
      <c r="I147" s="67">
        <v>0.15</v>
      </c>
      <c r="M147" s="215" t="s">
        <v>39</v>
      </c>
      <c r="N147" s="214">
        <v>0.15</v>
      </c>
      <c r="O147" s="22"/>
    </row>
    <row r="148" spans="1:15">
      <c r="A148" s="1" t="s">
        <v>1</v>
      </c>
      <c r="B148" s="1" t="s">
        <v>2</v>
      </c>
      <c r="C148" s="1" t="s">
        <v>3</v>
      </c>
      <c r="D148" s="1" t="s">
        <v>4</v>
      </c>
      <c r="F148" s="1" t="s">
        <v>1</v>
      </c>
      <c r="G148" s="1" t="s">
        <v>2</v>
      </c>
      <c r="H148" s="1" t="s">
        <v>40</v>
      </c>
      <c r="I148" s="1" t="s">
        <v>4</v>
      </c>
      <c r="K148" s="1" t="s">
        <v>1</v>
      </c>
      <c r="L148" s="1" t="s">
        <v>2</v>
      </c>
      <c r="M148" s="1" t="s">
        <v>40</v>
      </c>
      <c r="N148" s="1" t="s">
        <v>4</v>
      </c>
      <c r="O148" s="22"/>
    </row>
    <row r="149" spans="1:15">
      <c r="A149" s="20" t="s">
        <v>5</v>
      </c>
      <c r="B149" s="3">
        <v>4.5</v>
      </c>
      <c r="C149" s="3">
        <v>4.7</v>
      </c>
      <c r="D149" s="3">
        <v>4.5999999999999996</v>
      </c>
      <c r="F149" s="72" t="s">
        <v>5</v>
      </c>
      <c r="G149" s="3">
        <v>4.5</v>
      </c>
      <c r="H149" s="23">
        <f>C149*(1-$I$147)</f>
        <v>3.9950000000000001</v>
      </c>
      <c r="I149" s="3">
        <v>4.5999999999999996</v>
      </c>
      <c r="K149" s="20" t="s">
        <v>5</v>
      </c>
      <c r="L149" s="3">
        <v>4.5</v>
      </c>
      <c r="M149" s="23">
        <v>4.7</v>
      </c>
      <c r="N149" s="3">
        <f>D149*(1-$N$147)</f>
        <v>3.9099999999999997</v>
      </c>
      <c r="O149" s="22"/>
    </row>
    <row r="150" spans="1:15">
      <c r="A150" s="20" t="s">
        <v>6</v>
      </c>
      <c r="B150" s="3">
        <v>8</v>
      </c>
      <c r="C150" s="3">
        <v>8.5</v>
      </c>
      <c r="D150" s="3">
        <v>8.1999999999999993</v>
      </c>
      <c r="F150" s="72" t="s">
        <v>6</v>
      </c>
      <c r="G150" s="3">
        <v>8</v>
      </c>
      <c r="H150" s="23">
        <f t="shared" ref="H150:H158" si="6">C150*(1-$I$147)</f>
        <v>7.2249999999999996</v>
      </c>
      <c r="I150" s="3">
        <v>8.1999999999999993</v>
      </c>
      <c r="K150" s="20" t="s">
        <v>6</v>
      </c>
      <c r="L150" s="3">
        <v>8</v>
      </c>
      <c r="M150" s="23">
        <v>8.5</v>
      </c>
      <c r="N150" s="3">
        <f t="shared" ref="N150:N158" si="7">D150*(1-$N$147)</f>
        <v>6.9699999999999989</v>
      </c>
      <c r="O150" s="22"/>
    </row>
    <row r="151" spans="1:15">
      <c r="A151" s="20" t="s">
        <v>7</v>
      </c>
      <c r="B151" s="3">
        <v>20</v>
      </c>
      <c r="C151" s="3">
        <v>22</v>
      </c>
      <c r="D151" s="3">
        <v>21.5</v>
      </c>
      <c r="F151" s="72" t="s">
        <v>7</v>
      </c>
      <c r="G151" s="3">
        <v>20</v>
      </c>
      <c r="H151" s="23">
        <f t="shared" si="6"/>
        <v>18.7</v>
      </c>
      <c r="I151" s="3">
        <v>21.5</v>
      </c>
      <c r="K151" s="20" t="s">
        <v>7</v>
      </c>
      <c r="L151" s="3">
        <v>20</v>
      </c>
      <c r="M151" s="23">
        <v>22</v>
      </c>
      <c r="N151" s="3">
        <f t="shared" si="7"/>
        <v>18.274999999999999</v>
      </c>
      <c r="O151" s="22"/>
    </row>
    <row r="152" spans="1:15">
      <c r="A152" s="20" t="s">
        <v>8</v>
      </c>
      <c r="B152" s="3">
        <v>1.5</v>
      </c>
      <c r="C152" s="3">
        <v>1.7</v>
      </c>
      <c r="D152" s="3">
        <v>1.6</v>
      </c>
      <c r="F152" s="72" t="s">
        <v>8</v>
      </c>
      <c r="G152" s="3">
        <v>1.5</v>
      </c>
      <c r="H152" s="23">
        <f t="shared" si="6"/>
        <v>1.4449999999999998</v>
      </c>
      <c r="I152" s="3">
        <v>1.6</v>
      </c>
      <c r="K152" s="20" t="s">
        <v>8</v>
      </c>
      <c r="L152" s="3">
        <v>1.5</v>
      </c>
      <c r="M152" s="23">
        <v>1.7</v>
      </c>
      <c r="N152" s="3">
        <f t="shared" si="7"/>
        <v>1.36</v>
      </c>
      <c r="O152" s="22"/>
    </row>
    <row r="153" spans="1:15">
      <c r="A153" s="20" t="s">
        <v>9</v>
      </c>
      <c r="B153" s="3">
        <v>5</v>
      </c>
      <c r="C153" s="3">
        <v>5.2</v>
      </c>
      <c r="D153" s="3">
        <v>5.0999999999999996</v>
      </c>
      <c r="F153" s="72" t="s">
        <v>9</v>
      </c>
      <c r="G153" s="3">
        <v>5</v>
      </c>
      <c r="H153" s="23">
        <f t="shared" si="6"/>
        <v>4.42</v>
      </c>
      <c r="I153" s="3">
        <v>5.0999999999999996</v>
      </c>
      <c r="K153" s="20" t="s">
        <v>9</v>
      </c>
      <c r="L153" s="3">
        <v>5</v>
      </c>
      <c r="M153" s="23">
        <v>5.2</v>
      </c>
      <c r="N153" s="3">
        <f t="shared" si="7"/>
        <v>4.335</v>
      </c>
      <c r="O153" s="22"/>
    </row>
    <row r="154" spans="1:15">
      <c r="A154" s="20" t="s">
        <v>10</v>
      </c>
      <c r="B154" s="3">
        <v>7.5</v>
      </c>
      <c r="C154" s="3">
        <v>8</v>
      </c>
      <c r="D154" s="3">
        <v>7.8</v>
      </c>
      <c r="F154" s="72" t="s">
        <v>10</v>
      </c>
      <c r="G154" s="3">
        <v>7.5</v>
      </c>
      <c r="H154" s="23">
        <f t="shared" si="6"/>
        <v>6.8</v>
      </c>
      <c r="I154" s="3">
        <v>7.8</v>
      </c>
      <c r="K154" s="20" t="s">
        <v>10</v>
      </c>
      <c r="L154" s="3">
        <v>7.5</v>
      </c>
      <c r="M154" s="23">
        <v>8</v>
      </c>
      <c r="N154" s="3">
        <f t="shared" si="7"/>
        <v>6.63</v>
      </c>
      <c r="O154" s="22"/>
    </row>
    <row r="155" spans="1:15">
      <c r="A155" s="20" t="s">
        <v>11</v>
      </c>
      <c r="B155" s="3">
        <v>6</v>
      </c>
      <c r="C155" s="3">
        <v>6.5</v>
      </c>
      <c r="D155" s="3">
        <v>6.3</v>
      </c>
      <c r="F155" s="72" t="s">
        <v>11</v>
      </c>
      <c r="G155" s="3">
        <v>6</v>
      </c>
      <c r="H155" s="23">
        <f t="shared" si="6"/>
        <v>5.5249999999999995</v>
      </c>
      <c r="I155" s="3">
        <v>6.3</v>
      </c>
      <c r="K155" s="20" t="s">
        <v>11</v>
      </c>
      <c r="L155" s="3">
        <v>6</v>
      </c>
      <c r="M155" s="23">
        <v>6.5</v>
      </c>
      <c r="N155" s="3">
        <f t="shared" si="7"/>
        <v>5.3549999999999995</v>
      </c>
      <c r="O155" s="22"/>
    </row>
    <row r="156" spans="1:15">
      <c r="A156" s="20" t="s">
        <v>12</v>
      </c>
      <c r="B156" s="3">
        <v>1.2</v>
      </c>
      <c r="C156" s="3">
        <v>1.5</v>
      </c>
      <c r="D156" s="3">
        <v>1.4</v>
      </c>
      <c r="F156" s="72" t="s">
        <v>12</v>
      </c>
      <c r="G156" s="3">
        <v>1.2</v>
      </c>
      <c r="H156" s="23">
        <f t="shared" si="6"/>
        <v>1.2749999999999999</v>
      </c>
      <c r="I156" s="3">
        <v>1.4</v>
      </c>
      <c r="K156" s="20" t="s">
        <v>12</v>
      </c>
      <c r="L156" s="3">
        <v>1.2</v>
      </c>
      <c r="M156" s="23">
        <v>1.5</v>
      </c>
      <c r="N156" s="3">
        <f t="shared" si="7"/>
        <v>1.19</v>
      </c>
      <c r="O156" s="22"/>
    </row>
    <row r="157" spans="1:15">
      <c r="A157" s="20" t="s">
        <v>13</v>
      </c>
      <c r="B157" s="3">
        <v>4</v>
      </c>
      <c r="C157" s="3">
        <v>4.2</v>
      </c>
      <c r="D157" s="3">
        <v>4.0999999999999996</v>
      </c>
      <c r="F157" s="72" t="s">
        <v>13</v>
      </c>
      <c r="G157" s="3">
        <v>4</v>
      </c>
      <c r="H157" s="23">
        <f t="shared" si="6"/>
        <v>3.57</v>
      </c>
      <c r="I157" s="3">
        <v>4.0999999999999996</v>
      </c>
      <c r="K157" s="20" t="s">
        <v>13</v>
      </c>
      <c r="L157" s="3">
        <v>4</v>
      </c>
      <c r="M157" s="23">
        <v>4.2</v>
      </c>
      <c r="N157" s="3">
        <f t="shared" si="7"/>
        <v>3.4849999999999994</v>
      </c>
      <c r="O157" s="22"/>
    </row>
    <row r="158" spans="1:15">
      <c r="A158" s="20" t="s">
        <v>14</v>
      </c>
      <c r="B158" s="3">
        <v>9</v>
      </c>
      <c r="C158" s="3">
        <v>9.5</v>
      </c>
      <c r="D158" s="3">
        <v>9.3000000000000007</v>
      </c>
      <c r="F158" s="72" t="s">
        <v>14</v>
      </c>
      <c r="G158" s="3">
        <v>9</v>
      </c>
      <c r="H158" s="23">
        <f t="shared" si="6"/>
        <v>8.0749999999999993</v>
      </c>
      <c r="I158" s="3">
        <v>9.3000000000000007</v>
      </c>
      <c r="K158" s="20" t="s">
        <v>14</v>
      </c>
      <c r="L158" s="3">
        <v>9</v>
      </c>
      <c r="M158" s="23">
        <v>9.5</v>
      </c>
      <c r="N158" s="3">
        <f t="shared" si="7"/>
        <v>7.9050000000000002</v>
      </c>
      <c r="O158" s="22"/>
    </row>
    <row r="159" spans="1:15">
      <c r="A159" s="65" t="s">
        <v>41</v>
      </c>
      <c r="B159" s="66">
        <f>AVERAGE(B149:B158)</f>
        <v>6.67</v>
      </c>
      <c r="C159" s="66">
        <f t="shared" ref="C159:D159" si="8">AVERAGE(C149:C158)</f>
        <v>7.1800000000000015</v>
      </c>
      <c r="D159" s="66">
        <f t="shared" si="8"/>
        <v>6.9899999999999993</v>
      </c>
      <c r="F159" s="65" t="s">
        <v>41</v>
      </c>
      <c r="G159" s="66">
        <f>AVERAGE(G149:G158)</f>
        <v>6.67</v>
      </c>
      <c r="H159" s="66">
        <f t="shared" ref="H159" si="9">AVERAGE(H149:H158)</f>
        <v>6.1029999999999989</v>
      </c>
      <c r="I159" s="66">
        <f t="shared" ref="I159" si="10">AVERAGE(I149:I158)</f>
        <v>6.9899999999999993</v>
      </c>
      <c r="K159" s="65" t="s">
        <v>41</v>
      </c>
      <c r="L159" s="66">
        <f>AVERAGE(L149:L158)</f>
        <v>6.67</v>
      </c>
      <c r="M159" s="66">
        <f t="shared" ref="M159" si="11">AVERAGE(M149:M158)</f>
        <v>7.1800000000000015</v>
      </c>
      <c r="N159" s="66">
        <f t="shared" ref="N159" si="12">AVERAGE(N149:N158)</f>
        <v>5.9414999999999996</v>
      </c>
      <c r="O159" s="22"/>
    </row>
    <row r="160" spans="1:15">
      <c r="N160" s="22"/>
      <c r="O160" s="22"/>
    </row>
    <row r="161" spans="1:14" s="227" customFormat="1" ht="24.65" customHeight="1">
      <c r="A161" s="227" t="s">
        <v>42</v>
      </c>
    </row>
    <row r="162" spans="1:14" ht="21.75" customHeight="1">
      <c r="A162" s="68" t="s">
        <v>43</v>
      </c>
      <c r="B162" s="69">
        <v>0.5</v>
      </c>
      <c r="C162" s="68" t="str">
        <f>B148</f>
        <v>Jollibee Price</v>
      </c>
      <c r="D162" s="64"/>
      <c r="E162" s="64"/>
      <c r="F162" s="68" t="s">
        <v>43</v>
      </c>
      <c r="G162" s="69">
        <v>0.5</v>
      </c>
      <c r="H162" s="71" t="str">
        <f>H148</f>
        <v>McDonald's Promotion Price</v>
      </c>
      <c r="K162" s="68" t="s">
        <v>43</v>
      </c>
      <c r="L162" s="69">
        <v>0.5</v>
      </c>
      <c r="M162" s="1" t="s">
        <v>4</v>
      </c>
    </row>
    <row r="163" spans="1:14">
      <c r="A163" s="68" t="s">
        <v>44</v>
      </c>
      <c r="B163" s="69">
        <v>0.3</v>
      </c>
      <c r="C163" s="70" t="str">
        <f>D148</f>
        <v>Popeyes Price</v>
      </c>
      <c r="F163" s="68" t="s">
        <v>44</v>
      </c>
      <c r="G163" s="69">
        <v>0.3</v>
      </c>
      <c r="H163" s="70" t="str">
        <f>G148</f>
        <v>Jollibee Price</v>
      </c>
      <c r="K163" s="68" t="s">
        <v>44</v>
      </c>
      <c r="L163" s="69">
        <v>0.3</v>
      </c>
      <c r="M163" s="70" t="str">
        <f>L148</f>
        <v>Jollibee Price</v>
      </c>
    </row>
    <row r="164" spans="1:14">
      <c r="A164" s="68" t="s">
        <v>45</v>
      </c>
      <c r="B164" s="69">
        <v>0.2</v>
      </c>
      <c r="C164" s="70" t="str">
        <f>C148</f>
        <v>McDonald's Price</v>
      </c>
      <c r="F164" s="68" t="s">
        <v>45</v>
      </c>
      <c r="G164" s="69">
        <v>0.2</v>
      </c>
      <c r="H164" s="70" t="str">
        <f>I148</f>
        <v>Popeyes Price</v>
      </c>
      <c r="K164" s="68" t="s">
        <v>45</v>
      </c>
      <c r="L164" s="69">
        <v>0.2</v>
      </c>
      <c r="M164" s="70" t="str">
        <f>M148</f>
        <v>McDonald's Promotion Price</v>
      </c>
    </row>
    <row r="167" spans="1:14">
      <c r="A167" t="s">
        <v>46</v>
      </c>
      <c r="B167" s="114">
        <v>0.5</v>
      </c>
    </row>
    <row r="168" spans="1:14">
      <c r="A168" t="s">
        <v>47</v>
      </c>
      <c r="B168" s="114">
        <v>0.5</v>
      </c>
    </row>
    <row r="171" spans="1:14">
      <c r="A171" s="2"/>
      <c r="B171" s="1" t="s">
        <v>35</v>
      </c>
      <c r="C171" s="1" t="s">
        <v>29</v>
      </c>
      <c r="D171" s="1" t="s">
        <v>30</v>
      </c>
      <c r="F171" s="2"/>
      <c r="G171" s="1" t="s">
        <v>35</v>
      </c>
      <c r="H171" s="1" t="s">
        <v>29</v>
      </c>
      <c r="I171" s="1" t="s">
        <v>30</v>
      </c>
      <c r="K171" s="2"/>
      <c r="L171" s="1" t="s">
        <v>35</v>
      </c>
      <c r="M171" s="1" t="s">
        <v>29</v>
      </c>
      <c r="N171" s="1" t="s">
        <v>30</v>
      </c>
    </row>
    <row r="172" spans="1:14">
      <c r="A172" s="112" t="s">
        <v>46</v>
      </c>
      <c r="B172" s="11">
        <f>D131/D134</f>
        <v>9.2391304347826081E-2</v>
      </c>
      <c r="C172" s="11">
        <f>D132/D134</f>
        <v>0.81521739130434778</v>
      </c>
      <c r="D172" s="11">
        <f>D133/D134</f>
        <v>9.2391304347826081E-2</v>
      </c>
      <c r="F172" s="111" t="s">
        <v>46</v>
      </c>
      <c r="G172" s="111">
        <f>D131/D134</f>
        <v>9.2391304347826081E-2</v>
      </c>
      <c r="H172" s="111">
        <f>D132/D134</f>
        <v>0.81521739130434778</v>
      </c>
      <c r="I172" s="111">
        <f>D131/D134</f>
        <v>9.2391304347826081E-2</v>
      </c>
      <c r="K172" s="111" t="s">
        <v>46</v>
      </c>
      <c r="L172" s="111">
        <f>D131/D134</f>
        <v>9.2391304347826081E-2</v>
      </c>
      <c r="M172" s="111">
        <f>D132/D134</f>
        <v>0.81521739130434778</v>
      </c>
      <c r="N172" s="111">
        <f>D133/D134</f>
        <v>9.2391304347826081E-2</v>
      </c>
    </row>
    <row r="173" spans="1:14">
      <c r="A173" s="113" t="s">
        <v>47</v>
      </c>
      <c r="B173" s="111">
        <f>B162</f>
        <v>0.5</v>
      </c>
      <c r="C173" s="111">
        <f>B164</f>
        <v>0.2</v>
      </c>
      <c r="D173" s="111">
        <f>B163</f>
        <v>0.3</v>
      </c>
      <c r="F173" s="9" t="s">
        <v>47</v>
      </c>
      <c r="G173" s="111">
        <f>G163</f>
        <v>0.3</v>
      </c>
      <c r="H173" s="111">
        <f>G162</f>
        <v>0.5</v>
      </c>
      <c r="I173" s="111">
        <f>G164</f>
        <v>0.2</v>
      </c>
      <c r="K173" s="9" t="s">
        <v>47</v>
      </c>
      <c r="L173" s="111">
        <f>L163</f>
        <v>0.3</v>
      </c>
      <c r="M173" s="111">
        <f>L164</f>
        <v>0.2</v>
      </c>
      <c r="N173" s="111">
        <f>L162</f>
        <v>0.5</v>
      </c>
    </row>
    <row r="174" spans="1:14" ht="18.5">
      <c r="A174" s="4" t="s">
        <v>198</v>
      </c>
      <c r="B174" s="74">
        <f>B172*$B$167+B173*$B$168</f>
        <v>0.29619565217391303</v>
      </c>
      <c r="C174" s="74">
        <f t="shared" ref="C174:D174" si="13">C172*$B$167+C173*$B$168</f>
        <v>0.50760869565217392</v>
      </c>
      <c r="D174" s="74">
        <f t="shared" si="13"/>
        <v>0.19619565217391305</v>
      </c>
      <c r="F174" s="2" t="s">
        <v>48</v>
      </c>
      <c r="G174" s="74">
        <f>G172*$B$167+G173*$B$168</f>
        <v>0.19619565217391305</v>
      </c>
      <c r="H174" s="74">
        <f t="shared" ref="H174:I174" si="14">H172*$B$167+H173*$B$168</f>
        <v>0.65760869565217384</v>
      </c>
      <c r="I174" s="74">
        <f t="shared" si="14"/>
        <v>0.14619565217391306</v>
      </c>
      <c r="K174" s="2" t="s">
        <v>48</v>
      </c>
      <c r="L174" s="74">
        <f>L172*$B$167+L173*$B$168</f>
        <v>0.19619565217391305</v>
      </c>
      <c r="M174" s="74">
        <f t="shared" ref="M174:N174" si="15">M172*$B$167+M173*$B$168</f>
        <v>0.50760869565217392</v>
      </c>
      <c r="N174" s="74">
        <f t="shared" si="15"/>
        <v>0.29619565217391303</v>
      </c>
    </row>
    <row r="176" spans="1:14">
      <c r="A176" s="24"/>
      <c r="B176" s="24">
        <v>0</v>
      </c>
      <c r="F176" s="24"/>
      <c r="G176" s="24">
        <v>0</v>
      </c>
      <c r="K176" s="24"/>
      <c r="L176" s="24">
        <v>0</v>
      </c>
    </row>
    <row r="177" spans="1:13">
      <c r="A177" s="115" t="s">
        <v>35</v>
      </c>
      <c r="B177" s="25">
        <f>B174</f>
        <v>0.29619565217391303</v>
      </c>
      <c r="F177" s="115" t="s">
        <v>35</v>
      </c>
      <c r="G177" s="25">
        <f>G174</f>
        <v>0.19619565217391305</v>
      </c>
      <c r="K177" s="115" t="s">
        <v>35</v>
      </c>
      <c r="L177" s="25">
        <f>L174</f>
        <v>0.19619565217391305</v>
      </c>
    </row>
    <row r="178" spans="1:13">
      <c r="A178" s="24" t="s">
        <v>29</v>
      </c>
      <c r="B178" s="25">
        <f>B174+C174</f>
        <v>0.80380434782608701</v>
      </c>
      <c r="F178" s="24" t="s">
        <v>29</v>
      </c>
      <c r="G178" s="25">
        <f>G177+H174</f>
        <v>0.85380434782608683</v>
      </c>
      <c r="K178" s="24" t="s">
        <v>29</v>
      </c>
      <c r="L178" s="25">
        <f>L177+M174</f>
        <v>0.70380434782608692</v>
      </c>
    </row>
    <row r="179" spans="1:13">
      <c r="A179" s="24" t="s">
        <v>30</v>
      </c>
      <c r="B179" s="25">
        <f>B178+D174</f>
        <v>1</v>
      </c>
      <c r="F179" s="24" t="s">
        <v>30</v>
      </c>
      <c r="G179" s="25">
        <f>G178+I174</f>
        <v>0.99999999999999989</v>
      </c>
      <c r="K179" s="24" t="s">
        <v>30</v>
      </c>
      <c r="L179" s="25">
        <f>L178+N174</f>
        <v>1</v>
      </c>
    </row>
    <row r="182" spans="1:13" ht="15.5">
      <c r="A182" s="1" t="s">
        <v>35</v>
      </c>
      <c r="B182" s="26">
        <f ca="1">COUNTIF($B$188:$B$237,A182)</f>
        <v>11</v>
      </c>
      <c r="C182" s="27">
        <f ca="1">B182/(B184+B183+B182)</f>
        <v>0.22</v>
      </c>
      <c r="F182" s="1" t="s">
        <v>35</v>
      </c>
      <c r="G182" s="26">
        <f ca="1">COUNTIF($G$188:$G$237,F182)</f>
        <v>9</v>
      </c>
      <c r="H182" s="27">
        <f ca="1">G182/(G183+G182+G184)</f>
        <v>0.18</v>
      </c>
      <c r="K182" s="1" t="s">
        <v>35</v>
      </c>
      <c r="L182" s="26">
        <f ca="1">COUNTIF($G$188:$G$237,K182)</f>
        <v>9</v>
      </c>
      <c r="M182" s="27">
        <f ca="1">L182/(L183+L182+L184)</f>
        <v>0.18</v>
      </c>
    </row>
    <row r="183" spans="1:13" ht="15.5">
      <c r="A183" s="20" t="s">
        <v>29</v>
      </c>
      <c r="B183" s="26">
        <f t="shared" ref="B183:B184" ca="1" si="16">COUNTIF($B$188:$B$237,A183)</f>
        <v>28</v>
      </c>
      <c r="F183" s="20" t="s">
        <v>29</v>
      </c>
      <c r="G183" s="26">
        <f ca="1">COUNTIF($G$188:$G$237,F183)</f>
        <v>36</v>
      </c>
      <c r="H183" s="27"/>
      <c r="K183" s="20" t="s">
        <v>29</v>
      </c>
      <c r="L183" s="26">
        <f ca="1">COUNTIF($G$188:$G$237,K183)</f>
        <v>36</v>
      </c>
    </row>
    <row r="184" spans="1:13" ht="15.5">
      <c r="A184" s="20" t="s">
        <v>30</v>
      </c>
      <c r="B184" s="26">
        <f t="shared" ca="1" si="16"/>
        <v>11</v>
      </c>
      <c r="F184" s="20" t="s">
        <v>30</v>
      </c>
      <c r="G184" s="26">
        <f ca="1">COUNTIF($G$188:$G$237,F184)</f>
        <v>5</v>
      </c>
      <c r="K184" s="20" t="s">
        <v>30</v>
      </c>
      <c r="L184" s="26">
        <f ca="1">COUNTIF($G$188:$G$237,K184)</f>
        <v>5</v>
      </c>
    </row>
    <row r="186" spans="1:13">
      <c r="A186" t="s">
        <v>49</v>
      </c>
      <c r="B186" s="28" t="s">
        <v>50</v>
      </c>
      <c r="F186" s="28" t="s">
        <v>51</v>
      </c>
      <c r="K186" s="28" t="s">
        <v>52</v>
      </c>
    </row>
    <row r="188" spans="1:13">
      <c r="A188" s="20">
        <v>1</v>
      </c>
      <c r="B188" s="20" t="str">
        <f t="shared" ref="B188:B219" ca="1" si="17">LOOKUP(RAND(),$B$176:$B$178,$A$177:$A$179)</f>
        <v>Popeyes</v>
      </c>
      <c r="F188" s="20">
        <v>1</v>
      </c>
      <c r="G188" s="20" t="str">
        <f t="shared" ref="G188:G219" ca="1" si="18">LOOKUP(RAND(),$G$176:$G$178,$F$177:$F$179)</f>
        <v>McDonald</v>
      </c>
      <c r="K188" s="20">
        <v>1</v>
      </c>
      <c r="L188" s="20" t="str">
        <f t="shared" ref="L188:L219" ca="1" si="19">LOOKUP(RAND(),$L$176:$L$178,$K$177:$K$179)</f>
        <v>McDonald</v>
      </c>
    </row>
    <row r="189" spans="1:13">
      <c r="A189" s="20">
        <v>2</v>
      </c>
      <c r="B189" s="20" t="str">
        <f t="shared" ca="1" si="17"/>
        <v xml:space="preserve">Jollibee </v>
      </c>
      <c r="F189" s="20">
        <v>2</v>
      </c>
      <c r="G189" s="20" t="str">
        <f t="shared" ca="1" si="18"/>
        <v>McDonald</v>
      </c>
      <c r="K189" s="20">
        <v>2</v>
      </c>
      <c r="L189" s="20" t="str">
        <f t="shared" ca="1" si="19"/>
        <v>McDonald</v>
      </c>
    </row>
    <row r="190" spans="1:13">
      <c r="A190" s="20">
        <v>3</v>
      </c>
      <c r="B190" s="20" t="str">
        <f t="shared" ca="1" si="17"/>
        <v>Popeyes</v>
      </c>
      <c r="F190" s="20">
        <v>3</v>
      </c>
      <c r="G190" s="20" t="str">
        <f t="shared" ca="1" si="18"/>
        <v>McDonald</v>
      </c>
      <c r="K190" s="20">
        <v>3</v>
      </c>
      <c r="L190" s="20" t="str">
        <f t="shared" ca="1" si="19"/>
        <v xml:space="preserve">Jollibee </v>
      </c>
    </row>
    <row r="191" spans="1:13">
      <c r="A191" s="20">
        <v>4</v>
      </c>
      <c r="B191" s="20" t="str">
        <f t="shared" ca="1" si="17"/>
        <v xml:space="preserve">Jollibee </v>
      </c>
      <c r="F191" s="20">
        <v>4</v>
      </c>
      <c r="G191" s="20" t="str">
        <f t="shared" ca="1" si="18"/>
        <v>McDonald</v>
      </c>
      <c r="K191" s="20">
        <v>4</v>
      </c>
      <c r="L191" s="20" t="str">
        <f t="shared" ca="1" si="19"/>
        <v>McDonald</v>
      </c>
    </row>
    <row r="192" spans="1:13">
      <c r="A192" s="20">
        <v>5</v>
      </c>
      <c r="B192" s="20" t="str">
        <f t="shared" ca="1" si="17"/>
        <v>McDonald</v>
      </c>
      <c r="F192" s="20">
        <v>5</v>
      </c>
      <c r="G192" s="20" t="str">
        <f t="shared" ca="1" si="18"/>
        <v>McDonald</v>
      </c>
      <c r="K192" s="20">
        <v>5</v>
      </c>
      <c r="L192" s="20" t="str">
        <f t="shared" ca="1" si="19"/>
        <v>Popeyes</v>
      </c>
    </row>
    <row r="193" spans="1:12">
      <c r="A193" s="20">
        <v>6</v>
      </c>
      <c r="B193" s="20" t="str">
        <f t="shared" ca="1" si="17"/>
        <v>Popeyes</v>
      </c>
      <c r="F193" s="20">
        <v>6</v>
      </c>
      <c r="G193" s="20" t="str">
        <f t="shared" ca="1" si="18"/>
        <v xml:space="preserve">Jollibee </v>
      </c>
      <c r="K193" s="20">
        <v>6</v>
      </c>
      <c r="L193" s="20" t="str">
        <f t="shared" ca="1" si="19"/>
        <v>McDonald</v>
      </c>
    </row>
    <row r="194" spans="1:12">
      <c r="A194" s="20">
        <v>7</v>
      </c>
      <c r="B194" s="20" t="str">
        <f t="shared" ca="1" si="17"/>
        <v>McDonald</v>
      </c>
      <c r="F194" s="20">
        <v>7</v>
      </c>
      <c r="G194" s="20" t="str">
        <f t="shared" ca="1" si="18"/>
        <v>McDonald</v>
      </c>
      <c r="K194" s="20">
        <v>7</v>
      </c>
      <c r="L194" s="20" t="str">
        <f t="shared" ca="1" si="19"/>
        <v>Popeyes</v>
      </c>
    </row>
    <row r="195" spans="1:12">
      <c r="A195" s="20">
        <v>8</v>
      </c>
      <c r="B195" s="20" t="str">
        <f t="shared" ca="1" si="17"/>
        <v>McDonald</v>
      </c>
      <c r="F195" s="20">
        <v>8</v>
      </c>
      <c r="G195" s="20" t="str">
        <f t="shared" ca="1" si="18"/>
        <v>McDonald</v>
      </c>
      <c r="K195" s="20">
        <v>8</v>
      </c>
      <c r="L195" s="20" t="str">
        <f t="shared" ca="1" si="19"/>
        <v xml:space="preserve">Jollibee </v>
      </c>
    </row>
    <row r="196" spans="1:12">
      <c r="A196" s="20">
        <v>9</v>
      </c>
      <c r="B196" s="20" t="str">
        <f t="shared" ca="1" si="17"/>
        <v xml:space="preserve">Jollibee </v>
      </c>
      <c r="F196" s="20">
        <v>9</v>
      </c>
      <c r="G196" s="20" t="str">
        <f t="shared" ca="1" si="18"/>
        <v>McDonald</v>
      </c>
      <c r="K196" s="20">
        <v>9</v>
      </c>
      <c r="L196" s="20" t="str">
        <f t="shared" ca="1" si="19"/>
        <v xml:space="preserve">Jollibee </v>
      </c>
    </row>
    <row r="197" spans="1:12">
      <c r="A197" s="20">
        <v>10</v>
      </c>
      <c r="B197" s="20" t="str">
        <f t="shared" ca="1" si="17"/>
        <v>McDonald</v>
      </c>
      <c r="F197" s="20">
        <v>10</v>
      </c>
      <c r="G197" s="20" t="str">
        <f t="shared" ca="1" si="18"/>
        <v xml:space="preserve">Jollibee </v>
      </c>
      <c r="K197" s="20">
        <v>10</v>
      </c>
      <c r="L197" s="20" t="str">
        <f t="shared" ca="1" si="19"/>
        <v>Popeyes</v>
      </c>
    </row>
    <row r="198" spans="1:12">
      <c r="A198" s="20">
        <v>11</v>
      </c>
      <c r="B198" s="20" t="str">
        <f t="shared" ca="1" si="17"/>
        <v xml:space="preserve">Jollibee </v>
      </c>
      <c r="F198" s="20">
        <v>11</v>
      </c>
      <c r="G198" s="20" t="str">
        <f t="shared" ca="1" si="18"/>
        <v>McDonald</v>
      </c>
      <c r="K198" s="20">
        <v>11</v>
      </c>
      <c r="L198" s="20" t="str">
        <f t="shared" ca="1" si="19"/>
        <v>Popeyes</v>
      </c>
    </row>
    <row r="199" spans="1:12">
      <c r="A199" s="20">
        <v>12</v>
      </c>
      <c r="B199" s="20" t="str">
        <f t="shared" ca="1" si="17"/>
        <v>Popeyes</v>
      </c>
      <c r="F199" s="20">
        <v>12</v>
      </c>
      <c r="G199" s="20" t="str">
        <f t="shared" ca="1" si="18"/>
        <v>McDonald</v>
      </c>
      <c r="K199" s="20">
        <v>12</v>
      </c>
      <c r="L199" s="20" t="str">
        <f t="shared" ca="1" si="19"/>
        <v>Popeyes</v>
      </c>
    </row>
    <row r="200" spans="1:12">
      <c r="A200" s="20">
        <v>13</v>
      </c>
      <c r="B200" s="20" t="str">
        <f t="shared" ca="1" si="17"/>
        <v xml:space="preserve">Jollibee </v>
      </c>
      <c r="F200" s="20">
        <v>13</v>
      </c>
      <c r="G200" s="20" t="str">
        <f t="shared" ca="1" si="18"/>
        <v>McDonald</v>
      </c>
      <c r="K200" s="20">
        <v>13</v>
      </c>
      <c r="L200" s="20" t="str">
        <f t="shared" ca="1" si="19"/>
        <v>Popeyes</v>
      </c>
    </row>
    <row r="201" spans="1:12">
      <c r="A201" s="20">
        <v>14</v>
      </c>
      <c r="B201" s="20" t="str">
        <f t="shared" ca="1" si="17"/>
        <v xml:space="preserve">Jollibee </v>
      </c>
      <c r="F201" s="20">
        <v>14</v>
      </c>
      <c r="G201" s="20" t="str">
        <f t="shared" ca="1" si="18"/>
        <v>McDonald</v>
      </c>
      <c r="K201" s="20">
        <v>14</v>
      </c>
      <c r="L201" s="20" t="str">
        <f t="shared" ca="1" si="19"/>
        <v>McDonald</v>
      </c>
    </row>
    <row r="202" spans="1:12">
      <c r="A202" s="20">
        <v>15</v>
      </c>
      <c r="B202" s="20" t="str">
        <f t="shared" ca="1" si="17"/>
        <v>McDonald</v>
      </c>
      <c r="F202" s="20">
        <v>15</v>
      </c>
      <c r="G202" s="20" t="str">
        <f t="shared" ca="1" si="18"/>
        <v>McDonald</v>
      </c>
      <c r="K202" s="20">
        <v>15</v>
      </c>
      <c r="L202" s="20" t="str">
        <f t="shared" ca="1" si="19"/>
        <v>McDonald</v>
      </c>
    </row>
    <row r="203" spans="1:12">
      <c r="A203" s="20">
        <v>16</v>
      </c>
      <c r="B203" s="20" t="str">
        <f t="shared" ca="1" si="17"/>
        <v>McDonald</v>
      </c>
      <c r="F203" s="20">
        <v>16</v>
      </c>
      <c r="G203" s="20" t="str">
        <f t="shared" ca="1" si="18"/>
        <v>McDonald</v>
      </c>
      <c r="K203" s="20">
        <v>16</v>
      </c>
      <c r="L203" s="20" t="str">
        <f t="shared" ca="1" si="19"/>
        <v>McDonald</v>
      </c>
    </row>
    <row r="204" spans="1:12">
      <c r="A204" s="20">
        <v>17</v>
      </c>
      <c r="B204" s="20" t="str">
        <f t="shared" ca="1" si="17"/>
        <v>McDonald</v>
      </c>
      <c r="F204" s="20">
        <v>17</v>
      </c>
      <c r="G204" s="20" t="str">
        <f t="shared" ca="1" si="18"/>
        <v>McDonald</v>
      </c>
      <c r="K204" s="20">
        <v>17</v>
      </c>
      <c r="L204" s="20" t="str">
        <f t="shared" ca="1" si="19"/>
        <v>Popeyes</v>
      </c>
    </row>
    <row r="205" spans="1:12">
      <c r="A205" s="20">
        <v>18</v>
      </c>
      <c r="B205" s="20" t="str">
        <f t="shared" ca="1" si="17"/>
        <v>Popeyes</v>
      </c>
      <c r="F205" s="20">
        <v>18</v>
      </c>
      <c r="G205" s="20" t="str">
        <f t="shared" ca="1" si="18"/>
        <v>McDonald</v>
      </c>
      <c r="K205" s="20">
        <v>18</v>
      </c>
      <c r="L205" s="20" t="str">
        <f t="shared" ca="1" si="19"/>
        <v>Popeyes</v>
      </c>
    </row>
    <row r="206" spans="1:12">
      <c r="A206" s="20">
        <v>19</v>
      </c>
      <c r="B206" s="20" t="str">
        <f t="shared" ca="1" si="17"/>
        <v>McDonald</v>
      </c>
      <c r="F206" s="20">
        <v>19</v>
      </c>
      <c r="G206" s="20" t="str">
        <f t="shared" ca="1" si="18"/>
        <v>McDonald</v>
      </c>
      <c r="K206" s="20">
        <v>19</v>
      </c>
      <c r="L206" s="20" t="str">
        <f t="shared" ca="1" si="19"/>
        <v xml:space="preserve">Jollibee </v>
      </c>
    </row>
    <row r="207" spans="1:12">
      <c r="A207" s="20">
        <v>20</v>
      </c>
      <c r="B207" s="20" t="str">
        <f t="shared" ca="1" si="17"/>
        <v xml:space="preserve">Jollibee </v>
      </c>
      <c r="F207" s="20">
        <v>20</v>
      </c>
      <c r="G207" s="20" t="str">
        <f t="shared" ca="1" si="18"/>
        <v>Popeyes</v>
      </c>
      <c r="K207" s="20">
        <v>20</v>
      </c>
      <c r="L207" s="20" t="str">
        <f t="shared" ca="1" si="19"/>
        <v>McDonald</v>
      </c>
    </row>
    <row r="208" spans="1:12">
      <c r="A208" s="20">
        <v>21</v>
      </c>
      <c r="B208" s="20" t="str">
        <f t="shared" ca="1" si="17"/>
        <v>McDonald</v>
      </c>
      <c r="F208" s="20">
        <v>21</v>
      </c>
      <c r="G208" s="20" t="str">
        <f t="shared" ca="1" si="18"/>
        <v xml:space="preserve">Jollibee </v>
      </c>
      <c r="K208" s="20">
        <v>21</v>
      </c>
      <c r="L208" s="20" t="str">
        <f t="shared" ca="1" si="19"/>
        <v>Popeyes</v>
      </c>
    </row>
    <row r="209" spans="1:12">
      <c r="A209" s="20">
        <v>22</v>
      </c>
      <c r="B209" s="20" t="str">
        <f t="shared" ca="1" si="17"/>
        <v>McDonald</v>
      </c>
      <c r="F209" s="20">
        <v>22</v>
      </c>
      <c r="G209" s="20" t="str">
        <f t="shared" ca="1" si="18"/>
        <v>McDonald</v>
      </c>
      <c r="K209" s="20">
        <v>22</v>
      </c>
      <c r="L209" s="20" t="str">
        <f t="shared" ca="1" si="19"/>
        <v>McDonald</v>
      </c>
    </row>
    <row r="210" spans="1:12">
      <c r="A210" s="20">
        <v>23</v>
      </c>
      <c r="B210" s="20" t="str">
        <f t="shared" ca="1" si="17"/>
        <v>Popeyes</v>
      </c>
      <c r="F210" s="20">
        <v>23</v>
      </c>
      <c r="G210" s="20" t="str">
        <f t="shared" ca="1" si="18"/>
        <v xml:space="preserve">Jollibee </v>
      </c>
      <c r="K210" s="20">
        <v>23</v>
      </c>
      <c r="L210" s="20" t="str">
        <f t="shared" ca="1" si="19"/>
        <v>McDonald</v>
      </c>
    </row>
    <row r="211" spans="1:12">
      <c r="A211" s="20">
        <v>24</v>
      </c>
      <c r="B211" s="20" t="str">
        <f t="shared" ca="1" si="17"/>
        <v>McDonald</v>
      </c>
      <c r="F211" s="20">
        <v>24</v>
      </c>
      <c r="G211" s="20" t="str">
        <f t="shared" ca="1" si="18"/>
        <v>Popeyes</v>
      </c>
      <c r="K211" s="20">
        <v>24</v>
      </c>
      <c r="L211" s="20" t="str">
        <f t="shared" ca="1" si="19"/>
        <v>Popeyes</v>
      </c>
    </row>
    <row r="212" spans="1:12">
      <c r="A212" s="20">
        <v>25</v>
      </c>
      <c r="B212" s="20" t="str">
        <f t="shared" ca="1" si="17"/>
        <v>McDonald</v>
      </c>
      <c r="F212" s="20">
        <v>25</v>
      </c>
      <c r="G212" s="20" t="str">
        <f t="shared" ca="1" si="18"/>
        <v>Popeyes</v>
      </c>
      <c r="K212" s="20">
        <v>25</v>
      </c>
      <c r="L212" s="20" t="str">
        <f t="shared" ca="1" si="19"/>
        <v>Popeyes</v>
      </c>
    </row>
    <row r="213" spans="1:12">
      <c r="A213" s="20">
        <v>26</v>
      </c>
      <c r="B213" s="20" t="str">
        <f t="shared" ca="1" si="17"/>
        <v>Popeyes</v>
      </c>
      <c r="F213" s="20">
        <v>26</v>
      </c>
      <c r="G213" s="20" t="str">
        <f t="shared" ca="1" si="18"/>
        <v>McDonald</v>
      </c>
      <c r="K213" s="20">
        <v>26</v>
      </c>
      <c r="L213" s="20" t="str">
        <f t="shared" ca="1" si="19"/>
        <v>McDonald</v>
      </c>
    </row>
    <row r="214" spans="1:12">
      <c r="A214" s="20">
        <v>27</v>
      </c>
      <c r="B214" s="20" t="str">
        <f t="shared" ca="1" si="17"/>
        <v>McDonald</v>
      </c>
      <c r="F214" s="20">
        <v>27</v>
      </c>
      <c r="G214" s="20" t="str">
        <f t="shared" ca="1" si="18"/>
        <v>McDonald</v>
      </c>
      <c r="K214" s="20">
        <v>27</v>
      </c>
      <c r="L214" s="20" t="str">
        <f t="shared" ca="1" si="19"/>
        <v>McDonald</v>
      </c>
    </row>
    <row r="215" spans="1:12">
      <c r="A215" s="20">
        <v>28</v>
      </c>
      <c r="B215" s="20" t="str">
        <f t="shared" ca="1" si="17"/>
        <v>McDonald</v>
      </c>
      <c r="F215" s="20">
        <v>28</v>
      </c>
      <c r="G215" s="20" t="str">
        <f t="shared" ca="1" si="18"/>
        <v xml:space="preserve">Jollibee </v>
      </c>
      <c r="K215" s="20">
        <v>28</v>
      </c>
      <c r="L215" s="20" t="str">
        <f t="shared" ca="1" si="19"/>
        <v xml:space="preserve">Jollibee </v>
      </c>
    </row>
    <row r="216" spans="1:12">
      <c r="A216" s="20">
        <v>29</v>
      </c>
      <c r="B216" s="20" t="str">
        <f t="shared" ca="1" si="17"/>
        <v>McDonald</v>
      </c>
      <c r="F216" s="20">
        <v>29</v>
      </c>
      <c r="G216" s="20" t="str">
        <f t="shared" ca="1" si="18"/>
        <v>McDonald</v>
      </c>
      <c r="K216" s="20">
        <v>29</v>
      </c>
      <c r="L216" s="20" t="str">
        <f t="shared" ca="1" si="19"/>
        <v>McDonald</v>
      </c>
    </row>
    <row r="217" spans="1:12">
      <c r="A217" s="20">
        <v>30</v>
      </c>
      <c r="B217" s="20" t="str">
        <f t="shared" ca="1" si="17"/>
        <v>McDonald</v>
      </c>
      <c r="F217" s="20">
        <v>30</v>
      </c>
      <c r="G217" s="20" t="str">
        <f t="shared" ca="1" si="18"/>
        <v xml:space="preserve">Jollibee </v>
      </c>
      <c r="K217" s="20">
        <v>30</v>
      </c>
      <c r="L217" s="20" t="str">
        <f t="shared" ca="1" si="19"/>
        <v>McDonald</v>
      </c>
    </row>
    <row r="218" spans="1:12">
      <c r="A218" s="20">
        <v>31</v>
      </c>
      <c r="B218" s="20" t="str">
        <f t="shared" ca="1" si="17"/>
        <v>McDonald</v>
      </c>
      <c r="F218" s="20">
        <v>31</v>
      </c>
      <c r="G218" s="20" t="str">
        <f t="shared" ca="1" si="18"/>
        <v xml:space="preserve">Jollibee </v>
      </c>
      <c r="K218" s="20">
        <v>31</v>
      </c>
      <c r="L218" s="20" t="str">
        <f t="shared" ca="1" si="19"/>
        <v xml:space="preserve">Jollibee </v>
      </c>
    </row>
    <row r="219" spans="1:12">
      <c r="A219" s="20">
        <v>32</v>
      </c>
      <c r="B219" s="20" t="str">
        <f t="shared" ca="1" si="17"/>
        <v>McDonald</v>
      </c>
      <c r="F219" s="20">
        <v>32</v>
      </c>
      <c r="G219" s="20" t="str">
        <f t="shared" ca="1" si="18"/>
        <v>McDonald</v>
      </c>
      <c r="K219" s="20">
        <v>32</v>
      </c>
      <c r="L219" s="20" t="str">
        <f t="shared" ca="1" si="19"/>
        <v>Popeyes</v>
      </c>
    </row>
    <row r="220" spans="1:12">
      <c r="A220" s="20">
        <v>33</v>
      </c>
      <c r="B220" s="20" t="str">
        <f t="shared" ref="B220:B237" ca="1" si="20">LOOKUP(RAND(),$B$176:$B$178,$A$177:$A$179)</f>
        <v>McDonald</v>
      </c>
      <c r="F220" s="20">
        <v>33</v>
      </c>
      <c r="G220" s="20" t="str">
        <f t="shared" ref="G220:G237" ca="1" si="21">LOOKUP(RAND(),$G$176:$G$178,$F$177:$F$179)</f>
        <v>McDonald</v>
      </c>
      <c r="K220" s="20">
        <v>33</v>
      </c>
      <c r="L220" s="20" t="str">
        <f t="shared" ref="L220:L237" ca="1" si="22">LOOKUP(RAND(),$L$176:$L$178,$K$177:$K$179)</f>
        <v>McDonald</v>
      </c>
    </row>
    <row r="221" spans="1:12">
      <c r="A221" s="20">
        <v>34</v>
      </c>
      <c r="B221" s="20" t="str">
        <f t="shared" ca="1" si="20"/>
        <v>McDonald</v>
      </c>
      <c r="F221" s="20">
        <v>34</v>
      </c>
      <c r="G221" s="20" t="str">
        <f t="shared" ca="1" si="21"/>
        <v>McDonald</v>
      </c>
      <c r="K221" s="20">
        <v>34</v>
      </c>
      <c r="L221" s="20" t="str">
        <f t="shared" ca="1" si="22"/>
        <v>McDonald</v>
      </c>
    </row>
    <row r="222" spans="1:12">
      <c r="A222" s="20">
        <v>35</v>
      </c>
      <c r="B222" s="20" t="str">
        <f t="shared" ca="1" si="20"/>
        <v>McDonald</v>
      </c>
      <c r="F222" s="20">
        <v>35</v>
      </c>
      <c r="G222" s="20" t="str">
        <f t="shared" ca="1" si="21"/>
        <v>McDonald</v>
      </c>
      <c r="K222" s="20">
        <v>35</v>
      </c>
      <c r="L222" s="20" t="str">
        <f t="shared" ca="1" si="22"/>
        <v>McDonald</v>
      </c>
    </row>
    <row r="223" spans="1:12">
      <c r="A223" s="20">
        <v>36</v>
      </c>
      <c r="B223" s="20" t="str">
        <f t="shared" ca="1" si="20"/>
        <v>Popeyes</v>
      </c>
      <c r="F223" s="20">
        <v>36</v>
      </c>
      <c r="G223" s="20" t="str">
        <f t="shared" ca="1" si="21"/>
        <v>McDonald</v>
      </c>
      <c r="K223" s="20">
        <v>36</v>
      </c>
      <c r="L223" s="20" t="str">
        <f t="shared" ca="1" si="22"/>
        <v>Popeyes</v>
      </c>
    </row>
    <row r="224" spans="1:12">
      <c r="A224" s="20">
        <v>37</v>
      </c>
      <c r="B224" s="20" t="str">
        <f t="shared" ca="1" si="20"/>
        <v>Popeyes</v>
      </c>
      <c r="F224" s="20">
        <v>37</v>
      </c>
      <c r="G224" s="20" t="str">
        <f t="shared" ca="1" si="21"/>
        <v xml:space="preserve">Jollibee </v>
      </c>
      <c r="K224" s="20">
        <v>37</v>
      </c>
      <c r="L224" s="20" t="str">
        <f t="shared" ca="1" si="22"/>
        <v>McDonald</v>
      </c>
    </row>
    <row r="225" spans="1:12">
      <c r="A225" s="20">
        <v>38</v>
      </c>
      <c r="B225" s="20" t="str">
        <f t="shared" ca="1" si="20"/>
        <v>McDonald</v>
      </c>
      <c r="F225" s="20">
        <v>38</v>
      </c>
      <c r="G225" s="20" t="str">
        <f t="shared" ca="1" si="21"/>
        <v>Popeyes</v>
      </c>
      <c r="K225" s="20">
        <v>38</v>
      </c>
      <c r="L225" s="20" t="str">
        <f t="shared" ca="1" si="22"/>
        <v>McDonald</v>
      </c>
    </row>
    <row r="226" spans="1:12">
      <c r="A226" s="20">
        <v>39</v>
      </c>
      <c r="B226" s="20" t="str">
        <f t="shared" ca="1" si="20"/>
        <v>McDonald</v>
      </c>
      <c r="F226" s="20">
        <v>39</v>
      </c>
      <c r="G226" s="20" t="str">
        <f t="shared" ca="1" si="21"/>
        <v>McDonald</v>
      </c>
      <c r="K226" s="20">
        <v>39</v>
      </c>
      <c r="L226" s="20" t="str">
        <f t="shared" ca="1" si="22"/>
        <v xml:space="preserve">Jollibee </v>
      </c>
    </row>
    <row r="227" spans="1:12">
      <c r="A227" s="20">
        <v>40</v>
      </c>
      <c r="B227" s="20" t="str">
        <f t="shared" ca="1" si="20"/>
        <v>McDonald</v>
      </c>
      <c r="F227" s="20">
        <v>40</v>
      </c>
      <c r="G227" s="20" t="str">
        <f t="shared" ca="1" si="21"/>
        <v>McDonald</v>
      </c>
      <c r="K227" s="20">
        <v>40</v>
      </c>
      <c r="L227" s="20" t="str">
        <f t="shared" ca="1" si="22"/>
        <v>Popeyes</v>
      </c>
    </row>
    <row r="228" spans="1:12">
      <c r="A228" s="20">
        <v>41</v>
      </c>
      <c r="B228" s="20" t="str">
        <f t="shared" ca="1" si="20"/>
        <v>McDonald</v>
      </c>
      <c r="F228" s="20">
        <v>41</v>
      </c>
      <c r="G228" s="20" t="str">
        <f t="shared" ca="1" si="21"/>
        <v>McDonald</v>
      </c>
      <c r="K228" s="20">
        <v>41</v>
      </c>
      <c r="L228" s="20" t="str">
        <f t="shared" ca="1" si="22"/>
        <v>McDonald</v>
      </c>
    </row>
    <row r="229" spans="1:12">
      <c r="A229" s="20">
        <v>42</v>
      </c>
      <c r="B229" s="20" t="str">
        <f t="shared" ca="1" si="20"/>
        <v xml:space="preserve">Jollibee </v>
      </c>
      <c r="F229" s="20">
        <v>42</v>
      </c>
      <c r="G229" s="20" t="str">
        <f t="shared" ca="1" si="21"/>
        <v>Popeyes</v>
      </c>
      <c r="K229" s="20">
        <v>42</v>
      </c>
      <c r="L229" s="20" t="str">
        <f t="shared" ca="1" si="22"/>
        <v>McDonald</v>
      </c>
    </row>
    <row r="230" spans="1:12">
      <c r="A230" s="20">
        <v>43</v>
      </c>
      <c r="B230" s="20" t="str">
        <f t="shared" ca="1" si="20"/>
        <v xml:space="preserve">Jollibee </v>
      </c>
      <c r="F230" s="20">
        <v>43</v>
      </c>
      <c r="G230" s="20" t="str">
        <f t="shared" ca="1" si="21"/>
        <v>McDonald</v>
      </c>
      <c r="K230" s="20">
        <v>43</v>
      </c>
      <c r="L230" s="20" t="str">
        <f t="shared" ca="1" si="22"/>
        <v>Popeyes</v>
      </c>
    </row>
    <row r="231" spans="1:12">
      <c r="A231" s="20">
        <v>44</v>
      </c>
      <c r="B231" s="20" t="str">
        <f t="shared" ca="1" si="20"/>
        <v>Popeyes</v>
      </c>
      <c r="F231" s="20">
        <v>44</v>
      </c>
      <c r="G231" s="20" t="str">
        <f t="shared" ca="1" si="21"/>
        <v>McDonald</v>
      </c>
      <c r="K231" s="20">
        <v>44</v>
      </c>
      <c r="L231" s="20" t="str">
        <f t="shared" ca="1" si="22"/>
        <v>Popeyes</v>
      </c>
    </row>
    <row r="232" spans="1:12">
      <c r="A232" s="20">
        <v>45</v>
      </c>
      <c r="B232" s="20" t="str">
        <f t="shared" ca="1" si="20"/>
        <v>McDonald</v>
      </c>
      <c r="F232" s="20">
        <v>45</v>
      </c>
      <c r="G232" s="20" t="str">
        <f t="shared" ca="1" si="21"/>
        <v>McDonald</v>
      </c>
      <c r="K232" s="20">
        <v>45</v>
      </c>
      <c r="L232" s="20" t="str">
        <f t="shared" ca="1" si="22"/>
        <v>McDonald</v>
      </c>
    </row>
    <row r="233" spans="1:12">
      <c r="A233" s="20">
        <v>46</v>
      </c>
      <c r="B233" s="20" t="str">
        <f t="shared" ca="1" si="20"/>
        <v xml:space="preserve">Jollibee </v>
      </c>
      <c r="F233" s="20">
        <v>46</v>
      </c>
      <c r="G233" s="20" t="str">
        <f t="shared" ca="1" si="21"/>
        <v>McDonald</v>
      </c>
      <c r="K233" s="20">
        <v>46</v>
      </c>
      <c r="L233" s="20" t="str">
        <f t="shared" ca="1" si="22"/>
        <v xml:space="preserve">Jollibee </v>
      </c>
    </row>
    <row r="234" spans="1:12">
      <c r="A234" s="20">
        <v>47</v>
      </c>
      <c r="B234" s="20" t="str">
        <f t="shared" ca="1" si="20"/>
        <v>McDonald</v>
      </c>
      <c r="F234" s="20">
        <v>47</v>
      </c>
      <c r="G234" s="20" t="str">
        <f t="shared" ca="1" si="21"/>
        <v xml:space="preserve">Jollibee </v>
      </c>
      <c r="K234" s="20">
        <v>47</v>
      </c>
      <c r="L234" s="20" t="str">
        <f t="shared" ca="1" si="22"/>
        <v>McDonald</v>
      </c>
    </row>
    <row r="235" spans="1:12">
      <c r="A235" s="20">
        <v>48</v>
      </c>
      <c r="B235" s="20" t="str">
        <f t="shared" ca="1" si="20"/>
        <v xml:space="preserve">Jollibee </v>
      </c>
      <c r="F235" s="20">
        <v>48</v>
      </c>
      <c r="G235" s="20" t="str">
        <f t="shared" ca="1" si="21"/>
        <v>McDonald</v>
      </c>
      <c r="K235" s="20">
        <v>48</v>
      </c>
      <c r="L235" s="20" t="str">
        <f t="shared" ca="1" si="22"/>
        <v>McDonald</v>
      </c>
    </row>
    <row r="236" spans="1:12">
      <c r="A236" s="20">
        <v>49</v>
      </c>
      <c r="B236" s="20" t="str">
        <f t="shared" ca="1" si="20"/>
        <v>McDonald</v>
      </c>
      <c r="F236" s="20">
        <v>49</v>
      </c>
      <c r="G236" s="20" t="str">
        <f t="shared" ca="1" si="21"/>
        <v>McDonald</v>
      </c>
      <c r="K236" s="20">
        <v>49</v>
      </c>
      <c r="L236" s="20" t="str">
        <f t="shared" ca="1" si="22"/>
        <v>McDonald</v>
      </c>
    </row>
    <row r="237" spans="1:12">
      <c r="A237" s="20">
        <v>50</v>
      </c>
      <c r="B237" s="20" t="str">
        <f t="shared" ca="1" si="20"/>
        <v>Popeyes</v>
      </c>
      <c r="F237" s="20">
        <v>50</v>
      </c>
      <c r="G237" s="20" t="str">
        <f t="shared" ca="1" si="21"/>
        <v>McDonald</v>
      </c>
      <c r="K237" s="20">
        <v>50</v>
      </c>
      <c r="L237" s="20" t="str">
        <f t="shared" ca="1" si="22"/>
        <v>McDonald</v>
      </c>
    </row>
  </sheetData>
  <mergeCells count="8">
    <mergeCell ref="A1:XFD1"/>
    <mergeCell ref="A161:XFD161"/>
    <mergeCell ref="A104:D104"/>
    <mergeCell ref="A29:XFD29"/>
    <mergeCell ref="A58:D58"/>
    <mergeCell ref="A68:D68"/>
    <mergeCell ref="A78:D78"/>
    <mergeCell ref="A89:D89"/>
  </mergeCells>
  <phoneticPr fontId="40" type="noConversion"/>
  <conditionalFormatting sqref="B44:C53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B91:D91">
    <cfRule type="top10" dxfId="13" priority="14" rank="1"/>
  </conditionalFormatting>
  <conditionalFormatting sqref="B92:D92">
    <cfRule type="top10" dxfId="12" priority="13" rank="1"/>
  </conditionalFormatting>
  <conditionalFormatting sqref="B93:D93">
    <cfRule type="top10" dxfId="11" priority="12" rank="1"/>
  </conditionalFormatting>
  <conditionalFormatting sqref="B94:D94">
    <cfRule type="top10" dxfId="10" priority="11" rank="1"/>
  </conditionalFormatting>
  <conditionalFormatting sqref="B95:D95">
    <cfRule type="top10" dxfId="9" priority="10" rank="1"/>
  </conditionalFormatting>
  <conditionalFormatting sqref="B96:D96">
    <cfRule type="top10" dxfId="8" priority="9" rank="1"/>
  </conditionalFormatting>
  <conditionalFormatting sqref="B97:D97">
    <cfRule type="top10" dxfId="7" priority="8" rank="1"/>
  </conditionalFormatting>
  <conditionalFormatting sqref="B106:D106">
    <cfRule type="top10" dxfId="6" priority="7" rank="1"/>
  </conditionalFormatting>
  <conditionalFormatting sqref="B107:D107">
    <cfRule type="top10" dxfId="5" priority="6" rank="1"/>
  </conditionalFormatting>
  <conditionalFormatting sqref="B108:D108">
    <cfRule type="top10" dxfId="4" priority="5" rank="1"/>
  </conditionalFormatting>
  <conditionalFormatting sqref="B109:D109">
    <cfRule type="top10" dxfId="3" priority="4" rank="1"/>
  </conditionalFormatting>
  <conditionalFormatting sqref="B110:D110">
    <cfRule type="top10" dxfId="2" priority="3" rank="1"/>
  </conditionalFormatting>
  <conditionalFormatting sqref="B111:D111">
    <cfRule type="top10" dxfId="1" priority="2" rank="1"/>
  </conditionalFormatting>
  <conditionalFormatting sqref="B112:D112">
    <cfRule type="top10" dxfId="0" priority="1" rank="1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A593-B590-44ED-A73E-3F7E88FDE8BF}">
  <sheetPr codeName="Sheet3">
    <tabColor theme="4" tint="0.39997558519241921"/>
  </sheetPr>
  <dimension ref="A1:L168"/>
  <sheetViews>
    <sheetView zoomScaleNormal="100" workbookViewId="0">
      <selection activeCell="H7" sqref="H7"/>
    </sheetView>
  </sheetViews>
  <sheetFormatPr defaultColWidth="9" defaultRowHeight="14.5"/>
  <cols>
    <col min="1" max="1" width="12.81640625" bestFit="1" customWidth="1"/>
    <col min="2" max="2" width="23" bestFit="1" customWidth="1"/>
    <col min="3" max="3" width="23.453125" customWidth="1"/>
    <col min="4" max="4" width="21.36328125" customWidth="1"/>
    <col min="5" max="5" width="27" customWidth="1"/>
    <col min="6" max="6" width="37.08984375" customWidth="1"/>
    <col min="7" max="7" width="24.81640625" customWidth="1"/>
    <col min="8" max="8" width="23.81640625" customWidth="1"/>
    <col min="9" max="9" width="25.36328125" customWidth="1"/>
    <col min="10" max="10" width="27.36328125" customWidth="1"/>
    <col min="11" max="11" width="25.81640625" customWidth="1"/>
    <col min="12" max="12" width="27.6328125" customWidth="1"/>
    <col min="13" max="13" width="28" customWidth="1"/>
    <col min="14" max="14" width="23.453125" customWidth="1"/>
  </cols>
  <sheetData>
    <row r="1" spans="1:9" s="219" customFormat="1" ht="30" customHeight="1">
      <c r="A1" s="218" t="s">
        <v>175</v>
      </c>
    </row>
    <row r="2" spans="1:9" ht="231.75" customHeight="1"/>
    <row r="3" spans="1:9" s="8" customFormat="1" ht="32.5" customHeight="1">
      <c r="A3" s="49" t="s">
        <v>53</v>
      </c>
    </row>
    <row r="4" spans="1:9">
      <c r="A4" s="29" t="s">
        <v>54</v>
      </c>
      <c r="B4" s="29" t="s">
        <v>55</v>
      </c>
      <c r="C4" s="29" t="s">
        <v>56</v>
      </c>
      <c r="D4" s="29" t="s">
        <v>57</v>
      </c>
      <c r="E4" s="29" t="s">
        <v>58</v>
      </c>
      <c r="F4" s="29" t="s">
        <v>59</v>
      </c>
      <c r="G4" s="29" t="s">
        <v>60</v>
      </c>
      <c r="I4" s="30"/>
    </row>
    <row r="5" spans="1:9">
      <c r="A5" s="31">
        <v>44592</v>
      </c>
      <c r="B5" s="32" t="s">
        <v>61</v>
      </c>
      <c r="C5" s="9">
        <v>577</v>
      </c>
      <c r="D5" s="33">
        <v>9.0709936600509106E-2</v>
      </c>
      <c r="E5" s="9">
        <v>246</v>
      </c>
      <c r="F5" s="9">
        <v>409</v>
      </c>
      <c r="G5" s="34">
        <v>10324.369695462199</v>
      </c>
      <c r="I5" s="35"/>
    </row>
    <row r="6" spans="1:9">
      <c r="A6" s="31">
        <v>44620</v>
      </c>
      <c r="B6" s="32" t="s">
        <v>61</v>
      </c>
      <c r="C6" s="9">
        <v>547</v>
      </c>
      <c r="D6" s="33">
        <v>9.3048322664213645E-2</v>
      </c>
      <c r="E6" s="9">
        <v>177</v>
      </c>
      <c r="F6" s="9">
        <v>471</v>
      </c>
      <c r="G6" s="34">
        <v>9741.3207223486006</v>
      </c>
      <c r="I6" s="35"/>
    </row>
    <row r="7" spans="1:9">
      <c r="A7" s="31">
        <v>44651</v>
      </c>
      <c r="B7" s="32" t="s">
        <v>61</v>
      </c>
      <c r="C7" s="9">
        <v>459</v>
      </c>
      <c r="D7" s="33">
        <v>6.1450779250807941E-2</v>
      </c>
      <c r="E7" s="9">
        <v>197</v>
      </c>
      <c r="F7" s="9">
        <v>405</v>
      </c>
      <c r="G7" s="34">
        <v>7635.1448582185003</v>
      </c>
      <c r="I7" s="35"/>
    </row>
    <row r="8" spans="1:9">
      <c r="A8" s="31">
        <v>44681</v>
      </c>
      <c r="B8" s="32" t="s">
        <v>61</v>
      </c>
      <c r="C8" s="9">
        <v>536</v>
      </c>
      <c r="D8" s="33">
        <v>7.7678123778293001E-2</v>
      </c>
      <c r="E8" s="9">
        <v>183</v>
      </c>
      <c r="F8" s="9">
        <v>492</v>
      </c>
      <c r="G8" s="34">
        <v>9566.0741967621198</v>
      </c>
      <c r="I8" s="35"/>
    </row>
    <row r="9" spans="1:9">
      <c r="A9" s="31">
        <v>44712</v>
      </c>
      <c r="B9" s="32" t="s">
        <v>61</v>
      </c>
      <c r="C9" s="9">
        <v>487</v>
      </c>
      <c r="D9" s="33">
        <v>9.2984808046454301E-2</v>
      </c>
      <c r="E9" s="9">
        <v>181</v>
      </c>
      <c r="F9" s="9">
        <v>494</v>
      </c>
      <c r="G9" s="34">
        <v>7687.2279463507803</v>
      </c>
      <c r="I9" s="35"/>
    </row>
    <row r="10" spans="1:9">
      <c r="A10" s="31">
        <v>44742</v>
      </c>
      <c r="B10" s="32" t="s">
        <v>61</v>
      </c>
      <c r="C10" s="9">
        <v>552</v>
      </c>
      <c r="D10" s="33">
        <v>9.2862554077624657E-2</v>
      </c>
      <c r="E10" s="9">
        <v>232</v>
      </c>
      <c r="F10" s="9">
        <v>446</v>
      </c>
      <c r="G10" s="34">
        <v>10867.480316814401</v>
      </c>
      <c r="I10" s="35"/>
    </row>
    <row r="11" spans="1:9">
      <c r="A11" s="31">
        <v>44773</v>
      </c>
      <c r="B11" s="32" t="s">
        <v>61</v>
      </c>
      <c r="C11" s="9">
        <v>641</v>
      </c>
      <c r="D11" s="33">
        <v>0.12425457775069891</v>
      </c>
      <c r="E11" s="9">
        <v>288</v>
      </c>
      <c r="F11" s="9">
        <v>496</v>
      </c>
      <c r="G11" s="34">
        <v>10129.9309571301</v>
      </c>
      <c r="I11" s="35"/>
    </row>
    <row r="12" spans="1:9">
      <c r="A12" s="31">
        <v>44804</v>
      </c>
      <c r="B12" s="32" t="s">
        <v>61</v>
      </c>
      <c r="C12" s="9">
        <v>630</v>
      </c>
      <c r="D12" s="33">
        <v>9.3067183096443004E-2</v>
      </c>
      <c r="E12" s="9">
        <v>236</v>
      </c>
      <c r="F12" s="9">
        <v>458</v>
      </c>
      <c r="G12" s="34">
        <v>11085.364716293599</v>
      </c>
      <c r="I12" s="35"/>
    </row>
    <row r="13" spans="1:9">
      <c r="A13" s="31">
        <v>44834</v>
      </c>
      <c r="B13" s="32" t="s">
        <v>61</v>
      </c>
      <c r="C13" s="9">
        <v>648</v>
      </c>
      <c r="D13" s="33">
        <v>0.10901144576510401</v>
      </c>
      <c r="E13" s="9">
        <v>216</v>
      </c>
      <c r="F13" s="9">
        <v>445</v>
      </c>
      <c r="G13" s="34">
        <v>11547.489706231399</v>
      </c>
      <c r="I13" s="35"/>
    </row>
    <row r="14" spans="1:9">
      <c r="A14" s="31">
        <v>44865</v>
      </c>
      <c r="B14" s="32" t="s">
        <v>61</v>
      </c>
      <c r="C14" s="9">
        <v>613</v>
      </c>
      <c r="D14" s="33">
        <v>0.10161008896749521</v>
      </c>
      <c r="E14" s="9">
        <v>201</v>
      </c>
      <c r="F14" s="9">
        <v>451</v>
      </c>
      <c r="G14" s="34">
        <v>11892.959317798401</v>
      </c>
      <c r="I14" s="35"/>
    </row>
    <row r="15" spans="1:9">
      <c r="A15" s="31">
        <v>44895</v>
      </c>
      <c r="B15" s="32" t="s">
        <v>61</v>
      </c>
      <c r="C15" s="9">
        <v>510</v>
      </c>
      <c r="D15" s="33">
        <v>8.1118837059498156E-2</v>
      </c>
      <c r="E15" s="9">
        <v>247</v>
      </c>
      <c r="F15" s="9">
        <v>453</v>
      </c>
      <c r="G15" s="34">
        <v>9449.3812431959705</v>
      </c>
      <c r="I15" s="35"/>
    </row>
    <row r="16" spans="1:9">
      <c r="A16" s="31">
        <v>44926</v>
      </c>
      <c r="B16" s="32" t="s">
        <v>61</v>
      </c>
      <c r="C16" s="9">
        <v>616</v>
      </c>
      <c r="D16" s="33">
        <v>0.108643742261855</v>
      </c>
      <c r="E16" s="9">
        <v>250</v>
      </c>
      <c r="F16" s="9">
        <v>418</v>
      </c>
      <c r="G16" s="34">
        <v>12395.7457357862</v>
      </c>
      <c r="I16" s="35"/>
    </row>
    <row r="17" spans="1:9">
      <c r="A17" s="31">
        <v>44957</v>
      </c>
      <c r="B17" s="32" t="s">
        <v>61</v>
      </c>
      <c r="C17" s="9">
        <v>613</v>
      </c>
      <c r="D17" s="33">
        <v>0.101698251224905</v>
      </c>
      <c r="E17" s="9">
        <v>154</v>
      </c>
      <c r="F17" s="9">
        <v>418</v>
      </c>
      <c r="G17" s="34">
        <v>11797.1354959376</v>
      </c>
      <c r="I17" s="35"/>
    </row>
    <row r="18" spans="1:9">
      <c r="A18" s="31">
        <v>44985</v>
      </c>
      <c r="B18" s="32" t="s">
        <v>61</v>
      </c>
      <c r="C18" s="9">
        <v>582</v>
      </c>
      <c r="D18" s="33">
        <v>0.10964748792006591</v>
      </c>
      <c r="E18" s="9">
        <v>181</v>
      </c>
      <c r="F18" s="9">
        <v>474</v>
      </c>
      <c r="G18" s="34">
        <v>11612.090554923399</v>
      </c>
      <c r="I18" s="35"/>
    </row>
    <row r="19" spans="1:9">
      <c r="A19" s="31">
        <v>45016</v>
      </c>
      <c r="B19" s="32" t="s">
        <v>61</v>
      </c>
      <c r="C19" s="9">
        <v>583</v>
      </c>
      <c r="D19" s="33">
        <v>0.11509046067428776</v>
      </c>
      <c r="E19" s="9">
        <v>220</v>
      </c>
      <c r="F19" s="9">
        <v>465</v>
      </c>
      <c r="G19" s="34">
        <v>9170.3052851322791</v>
      </c>
      <c r="I19" s="35"/>
    </row>
    <row r="20" spans="1:9">
      <c r="A20" s="31">
        <v>45046</v>
      </c>
      <c r="B20" s="32" t="s">
        <v>61</v>
      </c>
      <c r="C20" s="9">
        <v>639</v>
      </c>
      <c r="D20" s="33">
        <v>0.10839981849787031</v>
      </c>
      <c r="E20" s="9">
        <v>159</v>
      </c>
      <c r="F20" s="9">
        <v>465</v>
      </c>
      <c r="G20" s="34">
        <v>10793.619879224299</v>
      </c>
      <c r="I20" s="35"/>
    </row>
    <row r="21" spans="1:9">
      <c r="A21" s="31">
        <v>45077</v>
      </c>
      <c r="B21" s="32" t="s">
        <v>61</v>
      </c>
      <c r="C21" s="9">
        <v>595</v>
      </c>
      <c r="D21" s="33">
        <v>0.13680596533961911</v>
      </c>
      <c r="E21" s="9">
        <v>268</v>
      </c>
      <c r="F21" s="9">
        <v>486</v>
      </c>
      <c r="G21" s="34">
        <v>9986.90587316243</v>
      </c>
      <c r="I21" s="35"/>
    </row>
    <row r="22" spans="1:9">
      <c r="A22" s="31">
        <v>45107</v>
      </c>
      <c r="B22" s="32" t="s">
        <v>61</v>
      </c>
      <c r="C22" s="9">
        <v>535</v>
      </c>
      <c r="D22" s="33">
        <v>0.15176666136686109</v>
      </c>
      <c r="E22" s="9">
        <v>184</v>
      </c>
      <c r="F22" s="9">
        <v>499</v>
      </c>
      <c r="G22" s="34">
        <v>8637.4686312269805</v>
      </c>
      <c r="I22" s="35"/>
    </row>
    <row r="23" spans="1:9">
      <c r="A23" s="31">
        <v>45138</v>
      </c>
      <c r="B23" s="32" t="s">
        <v>61</v>
      </c>
      <c r="C23" s="9">
        <v>543</v>
      </c>
      <c r="D23" s="33">
        <v>0.12747037788625806</v>
      </c>
      <c r="E23" s="9">
        <v>235</v>
      </c>
      <c r="F23" s="9">
        <v>461</v>
      </c>
      <c r="G23" s="34">
        <v>10074.8779690909</v>
      </c>
      <c r="I23" s="35"/>
    </row>
    <row r="24" spans="1:9">
      <c r="A24" s="31">
        <v>45169</v>
      </c>
      <c r="B24" s="32" t="s">
        <v>61</v>
      </c>
      <c r="C24" s="9">
        <v>585</v>
      </c>
      <c r="D24" s="33">
        <v>0.14706453531677643</v>
      </c>
      <c r="E24" s="9">
        <v>281</v>
      </c>
      <c r="F24" s="9">
        <v>419</v>
      </c>
      <c r="G24" s="34">
        <v>11004.7049039948</v>
      </c>
      <c r="I24" s="35"/>
    </row>
    <row r="25" spans="1:9">
      <c r="A25" s="31">
        <v>45199</v>
      </c>
      <c r="B25" s="32" t="s">
        <v>61</v>
      </c>
      <c r="C25" s="9">
        <v>620</v>
      </c>
      <c r="D25" s="33">
        <v>0.118614265572901</v>
      </c>
      <c r="E25" s="9">
        <v>257</v>
      </c>
      <c r="F25" s="9">
        <v>431</v>
      </c>
      <c r="G25" s="34">
        <v>10758.872945749499</v>
      </c>
      <c r="I25" s="35"/>
    </row>
    <row r="26" spans="1:9">
      <c r="A26" s="31">
        <v>45230</v>
      </c>
      <c r="B26" s="32" t="s">
        <v>61</v>
      </c>
      <c r="C26" s="9">
        <v>648</v>
      </c>
      <c r="D26" s="33">
        <v>0.13645981189711401</v>
      </c>
      <c r="E26" s="9">
        <v>243</v>
      </c>
      <c r="F26" s="9">
        <v>422</v>
      </c>
      <c r="G26" s="34">
        <v>12966.1895558613</v>
      </c>
      <c r="I26" s="35"/>
    </row>
    <row r="27" spans="1:9">
      <c r="A27" s="31">
        <v>45260</v>
      </c>
      <c r="B27" s="32" t="s">
        <v>61</v>
      </c>
      <c r="C27" s="9">
        <v>529</v>
      </c>
      <c r="D27" s="33">
        <v>0.11963605541332983</v>
      </c>
      <c r="E27" s="9">
        <v>213</v>
      </c>
      <c r="F27" s="9">
        <v>452</v>
      </c>
      <c r="G27" s="34">
        <v>8517.6218071007606</v>
      </c>
      <c r="I27" s="35"/>
    </row>
    <row r="28" spans="1:9">
      <c r="A28" s="31">
        <v>45291</v>
      </c>
      <c r="B28" s="32" t="s">
        <v>61</v>
      </c>
      <c r="C28" s="9">
        <v>505</v>
      </c>
      <c r="D28" s="33">
        <v>0.10828815437372494</v>
      </c>
      <c r="E28" s="9">
        <v>276</v>
      </c>
      <c r="F28" s="9">
        <v>464</v>
      </c>
      <c r="G28" s="34">
        <v>10032.6709476833</v>
      </c>
      <c r="I28" s="35"/>
    </row>
    <row r="29" spans="1:9">
      <c r="A29" s="31">
        <v>44592</v>
      </c>
      <c r="B29" s="36" t="s">
        <v>62</v>
      </c>
      <c r="C29" s="9">
        <v>1405</v>
      </c>
      <c r="D29" s="33">
        <v>2.5472694166183852E-2</v>
      </c>
      <c r="E29" s="9">
        <v>938</v>
      </c>
      <c r="F29" s="9">
        <v>1247</v>
      </c>
      <c r="G29" s="34">
        <v>10805.197039788</v>
      </c>
      <c r="I29" s="35"/>
    </row>
    <row r="30" spans="1:9">
      <c r="A30" s="31">
        <v>44620</v>
      </c>
      <c r="B30" s="36" t="s">
        <v>62</v>
      </c>
      <c r="C30" s="9">
        <v>1454</v>
      </c>
      <c r="D30" s="33">
        <v>2.3750686737221006E-2</v>
      </c>
      <c r="E30" s="9">
        <v>1073</v>
      </c>
      <c r="F30" s="9">
        <v>1350</v>
      </c>
      <c r="G30" s="34">
        <v>10844.0296254327</v>
      </c>
      <c r="I30" s="35"/>
    </row>
    <row r="31" spans="1:9">
      <c r="A31" s="31">
        <v>44651</v>
      </c>
      <c r="B31" s="36" t="s">
        <v>62</v>
      </c>
      <c r="C31" s="9">
        <v>1686</v>
      </c>
      <c r="D31" s="33">
        <v>2.0669394756063358E-2</v>
      </c>
      <c r="E31" s="9">
        <v>957</v>
      </c>
      <c r="F31" s="9">
        <v>1449</v>
      </c>
      <c r="G31" s="34">
        <v>10882.8622110775</v>
      </c>
      <c r="I31" s="35"/>
    </row>
    <row r="32" spans="1:9">
      <c r="A32" s="31">
        <v>44681</v>
      </c>
      <c r="B32" s="36" t="s">
        <v>62</v>
      </c>
      <c r="C32" s="9">
        <v>1678</v>
      </c>
      <c r="D32" s="33">
        <v>2.3486592617975928E-2</v>
      </c>
      <c r="E32" s="9">
        <v>876</v>
      </c>
      <c r="F32" s="9">
        <v>1542</v>
      </c>
      <c r="G32" s="34">
        <v>10921.6947967223</v>
      </c>
      <c r="I32" s="35"/>
    </row>
    <row r="33" spans="1:9">
      <c r="A33" s="31">
        <v>44712</v>
      </c>
      <c r="B33" s="36" t="s">
        <v>62</v>
      </c>
      <c r="C33" s="9">
        <v>1375</v>
      </c>
      <c r="D33" s="33">
        <v>4.0593380190521305E-2</v>
      </c>
      <c r="E33" s="9">
        <v>864</v>
      </c>
      <c r="F33" s="9">
        <v>1431</v>
      </c>
      <c r="G33" s="34">
        <v>10960.527382367</v>
      </c>
      <c r="I33" s="35"/>
    </row>
    <row r="34" spans="1:9">
      <c r="A34" s="31">
        <v>44742</v>
      </c>
      <c r="B34" s="36" t="s">
        <v>62</v>
      </c>
      <c r="C34" s="9">
        <v>1482</v>
      </c>
      <c r="D34" s="33">
        <v>3.3929493036375401E-2</v>
      </c>
      <c r="E34" s="9">
        <v>877</v>
      </c>
      <c r="F34" s="9">
        <v>1474</v>
      </c>
      <c r="G34" s="34">
        <v>10999.3599680118</v>
      </c>
      <c r="I34" s="35"/>
    </row>
    <row r="35" spans="1:9">
      <c r="A35" s="31">
        <v>44773</v>
      </c>
      <c r="B35" s="36" t="s">
        <v>62</v>
      </c>
      <c r="C35" s="9">
        <v>1565</v>
      </c>
      <c r="D35" s="33">
        <v>2.1390512705666928E-2</v>
      </c>
      <c r="E35" s="9">
        <v>1026</v>
      </c>
      <c r="F35" s="9">
        <v>1539</v>
      </c>
      <c r="G35" s="34">
        <v>11038.1925536566</v>
      </c>
      <c r="I35" s="35"/>
    </row>
    <row r="36" spans="1:9">
      <c r="A36" s="31">
        <v>44804</v>
      </c>
      <c r="B36" s="36" t="s">
        <v>62</v>
      </c>
      <c r="C36" s="9">
        <v>1474</v>
      </c>
      <c r="D36" s="33">
        <v>2.2289651092526112E-2</v>
      </c>
      <c r="E36" s="9">
        <v>923</v>
      </c>
      <c r="F36" s="9">
        <v>1242</v>
      </c>
      <c r="G36" s="34">
        <v>11077.0251393014</v>
      </c>
      <c r="I36" s="35"/>
    </row>
    <row r="37" spans="1:9">
      <c r="A37" s="31">
        <v>44834</v>
      </c>
      <c r="B37" s="36" t="s">
        <v>62</v>
      </c>
      <c r="C37" s="9">
        <v>1531</v>
      </c>
      <c r="D37" s="33">
        <v>1.6874786937420169E-2</v>
      </c>
      <c r="E37" s="9">
        <v>853</v>
      </c>
      <c r="F37" s="9">
        <v>1450</v>
      </c>
      <c r="G37" s="34">
        <v>11115.8577249461</v>
      </c>
      <c r="I37" s="35"/>
    </row>
    <row r="38" spans="1:9">
      <c r="A38" s="31">
        <v>44865</v>
      </c>
      <c r="B38" s="36" t="s">
        <v>62</v>
      </c>
      <c r="C38" s="9">
        <v>1455</v>
      </c>
      <c r="D38" s="33">
        <v>3.7254042097401428E-2</v>
      </c>
      <c r="E38" s="9">
        <v>968</v>
      </c>
      <c r="F38" s="9">
        <v>1525</v>
      </c>
      <c r="G38" s="34">
        <v>11154.6903105909</v>
      </c>
      <c r="I38" s="35"/>
    </row>
    <row r="39" spans="1:9">
      <c r="A39" s="31">
        <v>44895</v>
      </c>
      <c r="B39" s="36" t="s">
        <v>62</v>
      </c>
      <c r="C39" s="9">
        <v>1437</v>
      </c>
      <c r="D39" s="33">
        <v>1.7131112025474911E-2</v>
      </c>
      <c r="E39" s="9">
        <v>1001</v>
      </c>
      <c r="F39" s="9">
        <v>1223</v>
      </c>
      <c r="G39" s="34">
        <v>11193.5228962357</v>
      </c>
      <c r="I39" s="35"/>
    </row>
    <row r="40" spans="1:9">
      <c r="A40" s="31">
        <v>44926</v>
      </c>
      <c r="B40" s="36" t="s">
        <v>62</v>
      </c>
      <c r="C40" s="9">
        <v>1473</v>
      </c>
      <c r="D40" s="33">
        <v>2.8307697467290428E-2</v>
      </c>
      <c r="E40" s="9">
        <v>1046</v>
      </c>
      <c r="F40" s="9">
        <v>1575</v>
      </c>
      <c r="G40" s="34">
        <v>11232.3554818804</v>
      </c>
      <c r="I40" s="35"/>
    </row>
    <row r="41" spans="1:9">
      <c r="A41" s="31">
        <v>44957</v>
      </c>
      <c r="B41" s="36" t="s">
        <v>62</v>
      </c>
      <c r="C41" s="9">
        <v>1587</v>
      </c>
      <c r="D41" s="33">
        <v>3.5158836010363882E-2</v>
      </c>
      <c r="E41" s="9">
        <v>1172</v>
      </c>
      <c r="F41" s="9">
        <v>1450</v>
      </c>
      <c r="G41" s="34">
        <v>11271.1880675252</v>
      </c>
      <c r="I41" s="35"/>
    </row>
    <row r="42" spans="1:9">
      <c r="A42" s="31">
        <v>44985</v>
      </c>
      <c r="B42" s="36" t="s">
        <v>62</v>
      </c>
      <c r="C42" s="9">
        <v>1745</v>
      </c>
      <c r="D42" s="33">
        <v>4.6370982691607054E-2</v>
      </c>
      <c r="E42" s="9">
        <v>988</v>
      </c>
      <c r="F42" s="9">
        <v>1324</v>
      </c>
      <c r="G42" s="34">
        <v>11310.020653170001</v>
      </c>
      <c r="I42" s="35"/>
    </row>
    <row r="43" spans="1:9">
      <c r="A43" s="31">
        <v>45016</v>
      </c>
      <c r="B43" s="36" t="s">
        <v>62</v>
      </c>
      <c r="C43" s="9">
        <v>1584</v>
      </c>
      <c r="D43" s="33">
        <v>2.8315888046180893E-2</v>
      </c>
      <c r="E43" s="9">
        <v>1139</v>
      </c>
      <c r="F43" s="9">
        <v>1519</v>
      </c>
      <c r="G43" s="34">
        <v>11348.8532388148</v>
      </c>
      <c r="I43" s="35"/>
    </row>
    <row r="44" spans="1:9">
      <c r="A44" s="31">
        <v>45046</v>
      </c>
      <c r="B44" s="36" t="s">
        <v>62</v>
      </c>
      <c r="C44" s="9">
        <v>1253</v>
      </c>
      <c r="D44" s="33">
        <v>2.7316344678844837E-2</v>
      </c>
      <c r="E44" s="9">
        <v>1044</v>
      </c>
      <c r="F44" s="9">
        <v>1374</v>
      </c>
      <c r="G44" s="34">
        <v>11387.685824459501</v>
      </c>
      <c r="I44" s="35"/>
    </row>
    <row r="45" spans="1:9">
      <c r="A45" s="31">
        <v>45077</v>
      </c>
      <c r="B45" s="36" t="s">
        <v>62</v>
      </c>
      <c r="C45" s="9">
        <v>1481</v>
      </c>
      <c r="D45" s="33">
        <v>1.9808651595928345E-2</v>
      </c>
      <c r="E45" s="9">
        <v>943</v>
      </c>
      <c r="F45" s="9">
        <v>1405</v>
      </c>
      <c r="G45" s="34">
        <v>11426.5184101043</v>
      </c>
      <c r="I45" s="35"/>
    </row>
    <row r="46" spans="1:9">
      <c r="A46" s="31">
        <v>45107</v>
      </c>
      <c r="B46" s="36" t="s">
        <v>62</v>
      </c>
      <c r="C46" s="9">
        <v>1497</v>
      </c>
      <c r="D46" s="33">
        <v>7.4359408834394382E-3</v>
      </c>
      <c r="E46" s="9">
        <v>856</v>
      </c>
      <c r="F46" s="9">
        <v>1531</v>
      </c>
      <c r="G46" s="34">
        <v>11465.350995749101</v>
      </c>
      <c r="I46" s="35"/>
    </row>
    <row r="47" spans="1:9">
      <c r="A47" s="31">
        <v>45138</v>
      </c>
      <c r="B47" s="36" t="s">
        <v>62</v>
      </c>
      <c r="C47" s="9">
        <v>1724</v>
      </c>
      <c r="D47" s="33">
        <v>4.2585515952560528E-2</v>
      </c>
      <c r="E47" s="9">
        <v>1175</v>
      </c>
      <c r="F47" s="9">
        <v>1493</v>
      </c>
      <c r="G47" s="34">
        <v>11504.1835813938</v>
      </c>
      <c r="I47" s="35"/>
    </row>
    <row r="48" spans="1:9">
      <c r="A48" s="31">
        <v>45169</v>
      </c>
      <c r="B48" s="36" t="s">
        <v>62</v>
      </c>
      <c r="C48" s="9">
        <v>1596</v>
      </c>
      <c r="D48" s="33">
        <v>2.9761035358278533E-2</v>
      </c>
      <c r="E48" s="9">
        <v>999</v>
      </c>
      <c r="F48" s="9">
        <v>1520</v>
      </c>
      <c r="G48" s="34">
        <v>11543.016167038601</v>
      </c>
      <c r="I48" s="35"/>
    </row>
    <row r="49" spans="1:12">
      <c r="A49" s="31">
        <v>45199</v>
      </c>
      <c r="B49" s="36" t="s">
        <v>62</v>
      </c>
      <c r="C49" s="9">
        <v>1356</v>
      </c>
      <c r="D49" s="33">
        <v>4.2645082750411401E-2</v>
      </c>
      <c r="E49" s="9">
        <v>820</v>
      </c>
      <c r="F49" s="9">
        <v>1229</v>
      </c>
      <c r="G49" s="34">
        <v>11581.8487526834</v>
      </c>
      <c r="I49" s="35"/>
    </row>
    <row r="50" spans="1:12">
      <c r="A50" s="31">
        <v>45230</v>
      </c>
      <c r="B50" s="36" t="s">
        <v>62</v>
      </c>
      <c r="C50" s="9">
        <v>1668</v>
      </c>
      <c r="D50" s="33">
        <v>2.529126130342331E-2</v>
      </c>
      <c r="E50" s="9">
        <v>1103</v>
      </c>
      <c r="F50" s="9">
        <v>1353</v>
      </c>
      <c r="G50" s="34">
        <v>11620.681338328101</v>
      </c>
      <c r="I50" s="35"/>
    </row>
    <row r="51" spans="1:12">
      <c r="A51" s="31">
        <v>45260</v>
      </c>
      <c r="B51" s="36" t="s">
        <v>62</v>
      </c>
      <c r="C51" s="9">
        <v>1307</v>
      </c>
      <c r="D51" s="33">
        <v>2.3351852561199898E-2</v>
      </c>
      <c r="E51" s="9">
        <v>907</v>
      </c>
      <c r="F51" s="9">
        <v>1599</v>
      </c>
      <c r="G51" s="34">
        <v>11659.5139239729</v>
      </c>
      <c r="I51" s="35"/>
    </row>
    <row r="52" spans="1:12">
      <c r="A52" s="31">
        <v>45291</v>
      </c>
      <c r="B52" s="36" t="s">
        <v>62</v>
      </c>
      <c r="C52" s="9">
        <v>1391</v>
      </c>
      <c r="D52" s="33">
        <v>4.39309749564585E-2</v>
      </c>
      <c r="E52" s="9">
        <v>900</v>
      </c>
      <c r="F52" s="9">
        <v>1449</v>
      </c>
      <c r="G52" s="34">
        <v>11698.346509617701</v>
      </c>
      <c r="I52" s="35"/>
    </row>
    <row r="53" spans="1:12">
      <c r="A53" s="30"/>
      <c r="B53" s="30"/>
      <c r="C53" s="30"/>
      <c r="D53" s="30"/>
      <c r="E53" s="30"/>
      <c r="F53" s="30"/>
      <c r="G53" s="30"/>
    </row>
    <row r="54" spans="1:12" s="8" customFormat="1" ht="35.15" customHeight="1">
      <c r="A54" s="49" t="s">
        <v>63</v>
      </c>
      <c r="B54" s="48"/>
      <c r="C54" s="48"/>
      <c r="D54" s="48"/>
      <c r="E54" s="48"/>
      <c r="F54" s="48"/>
      <c r="G54" s="48"/>
    </row>
    <row r="55" spans="1:12">
      <c r="A55" s="30"/>
      <c r="B55" s="30"/>
      <c r="C55" s="30"/>
      <c r="D55" s="30"/>
      <c r="E55" s="30"/>
      <c r="F55" s="30"/>
      <c r="G55" s="30"/>
    </row>
    <row r="56" spans="1:12">
      <c r="A56" s="30"/>
      <c r="B56" s="30"/>
      <c r="C56" s="37" t="s">
        <v>64</v>
      </c>
      <c r="D56" s="37" t="s">
        <v>65</v>
      </c>
      <c r="E56" s="38" t="s">
        <v>66</v>
      </c>
      <c r="F56" s="37" t="s">
        <v>67</v>
      </c>
      <c r="G56" s="30"/>
    </row>
    <row r="57" spans="1:12">
      <c r="A57" s="39" t="s">
        <v>54</v>
      </c>
      <c r="B57" s="39" t="s">
        <v>55</v>
      </c>
      <c r="C57" s="40" t="s">
        <v>68</v>
      </c>
      <c r="D57" s="39" t="s">
        <v>69</v>
      </c>
      <c r="E57" s="39" t="s">
        <v>70</v>
      </c>
      <c r="F57" s="29" t="s">
        <v>71</v>
      </c>
      <c r="G57" s="29" t="s">
        <v>72</v>
      </c>
      <c r="H57" s="29" t="s">
        <v>73</v>
      </c>
      <c r="J57" s="85" t="s">
        <v>54</v>
      </c>
      <c r="K57" s="86" t="s">
        <v>74</v>
      </c>
      <c r="L57" s="87" t="s">
        <v>75</v>
      </c>
    </row>
    <row r="58" spans="1:12">
      <c r="A58" s="31">
        <v>44592</v>
      </c>
      <c r="B58" s="32" t="s">
        <v>61</v>
      </c>
      <c r="C58" s="41">
        <f t="shared" ref="C58:C105" si="0">($E5/$F5)</f>
        <v>0.60146699266503667</v>
      </c>
      <c r="D58" s="42">
        <f t="shared" ref="D58:D105" si="1">$G5/$C5</f>
        <v>17.893188380350431</v>
      </c>
      <c r="E58" s="42">
        <f t="shared" ref="E58:E105" si="2">C5*(1+D5)</f>
        <v>629.33963341849369</v>
      </c>
      <c r="F58" s="43">
        <f>D58*E58*(1+C58)</f>
        <v>18033.947832433871</v>
      </c>
      <c r="G58" s="42">
        <f t="shared" ref="G58:G105" si="3">C5*(1+2*D5)</f>
        <v>681.67926683698749</v>
      </c>
      <c r="H58" s="44">
        <f>D58*G58*(1+C58)</f>
        <v>19533.758377513856</v>
      </c>
      <c r="J58" s="88">
        <v>44592</v>
      </c>
      <c r="K58" s="92">
        <v>629.33963341849369</v>
      </c>
      <c r="L58" s="92">
        <v>1440.7891353034881</v>
      </c>
    </row>
    <row r="59" spans="1:12">
      <c r="A59" s="31">
        <v>44620</v>
      </c>
      <c r="B59" s="32" t="s">
        <v>61</v>
      </c>
      <c r="C59" s="41">
        <f t="shared" si="0"/>
        <v>0.37579617834394907</v>
      </c>
      <c r="D59" s="42">
        <f t="shared" si="1"/>
        <v>17.808630205390493</v>
      </c>
      <c r="E59" s="42">
        <f t="shared" si="2"/>
        <v>597.89743249732487</v>
      </c>
      <c r="F59" s="43">
        <f t="shared" ref="F59:F105" si="4">D59*E59*(1+C59)</f>
        <v>14649.112125076517</v>
      </c>
      <c r="G59" s="42">
        <f t="shared" si="3"/>
        <v>648.79486499464963</v>
      </c>
      <c r="H59" s="44">
        <f t="shared" ref="H59:H105" si="5">D59*G59*(1+C59)</f>
        <v>15896.152428323112</v>
      </c>
      <c r="J59" s="88">
        <v>44620</v>
      </c>
      <c r="K59" s="92">
        <v>597.89743249732487</v>
      </c>
      <c r="L59" s="92">
        <v>1488.5334985159193</v>
      </c>
    </row>
    <row r="60" spans="1:12">
      <c r="A60" s="31">
        <v>44651</v>
      </c>
      <c r="B60" s="32" t="s">
        <v>61</v>
      </c>
      <c r="C60" s="41">
        <f t="shared" si="0"/>
        <v>0.48641975308641977</v>
      </c>
      <c r="D60" s="42">
        <f t="shared" si="1"/>
        <v>16.634302523351852</v>
      </c>
      <c r="E60" s="42">
        <f t="shared" si="2"/>
        <v>487.20590767612083</v>
      </c>
      <c r="F60" s="43">
        <f t="shared" si="4"/>
        <v>12046.436880464677</v>
      </c>
      <c r="G60" s="42">
        <f t="shared" si="3"/>
        <v>515.41181535224166</v>
      </c>
      <c r="H60" s="44">
        <f t="shared" si="5"/>
        <v>12743.84362599716</v>
      </c>
      <c r="J60" s="88">
        <v>44651</v>
      </c>
      <c r="K60" s="92">
        <v>487.20590767612083</v>
      </c>
      <c r="L60" s="92">
        <v>1720.848599558723</v>
      </c>
    </row>
    <row r="61" spans="1:12">
      <c r="A61" s="31">
        <v>44681</v>
      </c>
      <c r="B61" s="32" t="s">
        <v>61</v>
      </c>
      <c r="C61" s="41">
        <f t="shared" si="0"/>
        <v>0.37195121951219512</v>
      </c>
      <c r="D61" s="42">
        <f t="shared" si="1"/>
        <v>17.847153352168135</v>
      </c>
      <c r="E61" s="42">
        <f t="shared" si="2"/>
        <v>577.63547434516511</v>
      </c>
      <c r="F61" s="43">
        <f t="shared" si="4"/>
        <v>14143.64939491081</v>
      </c>
      <c r="G61" s="42">
        <f t="shared" si="3"/>
        <v>619.2709486903301</v>
      </c>
      <c r="H61" s="44">
        <f t="shared" si="5"/>
        <v>15163.11162962968</v>
      </c>
      <c r="J61" s="88">
        <v>44681</v>
      </c>
      <c r="K61" s="92">
        <v>577.63547434516511</v>
      </c>
      <c r="L61" s="92">
        <v>1717.4105024129635</v>
      </c>
    </row>
    <row r="62" spans="1:12">
      <c r="A62" s="31">
        <v>44712</v>
      </c>
      <c r="B62" s="32" t="s">
        <v>61</v>
      </c>
      <c r="C62" s="41">
        <f t="shared" si="0"/>
        <v>0.36639676113360325</v>
      </c>
      <c r="D62" s="42">
        <f t="shared" si="1"/>
        <v>15.784862312835278</v>
      </c>
      <c r="E62" s="42">
        <f t="shared" si="2"/>
        <v>532.2836015186233</v>
      </c>
      <c r="F62" s="43">
        <f t="shared" si="4"/>
        <v>11480.497507919625</v>
      </c>
      <c r="G62" s="42">
        <f t="shared" si="3"/>
        <v>577.56720303724649</v>
      </c>
      <c r="H62" s="44">
        <f t="shared" si="5"/>
        <v>12457.191647849821</v>
      </c>
      <c r="J62" s="88">
        <v>44712</v>
      </c>
      <c r="K62" s="92">
        <v>532.2836015186233</v>
      </c>
      <c r="L62" s="92">
        <v>1430.8158977619669</v>
      </c>
    </row>
    <row r="63" spans="1:12">
      <c r="A63" s="31">
        <v>44742</v>
      </c>
      <c r="B63" s="32" t="s">
        <v>61</v>
      </c>
      <c r="C63" s="41">
        <f t="shared" si="0"/>
        <v>0.52017937219730936</v>
      </c>
      <c r="D63" s="42">
        <f t="shared" si="1"/>
        <v>19.687464342055073</v>
      </c>
      <c r="E63" s="42">
        <f t="shared" si="2"/>
        <v>603.26012985084878</v>
      </c>
      <c r="F63" s="43">
        <f t="shared" si="4"/>
        <v>18054.65703205422</v>
      </c>
      <c r="G63" s="42">
        <f t="shared" si="3"/>
        <v>654.52025970169768</v>
      </c>
      <c r="H63" s="44">
        <f t="shared" si="5"/>
        <v>19588.794658726914</v>
      </c>
      <c r="J63" s="88">
        <v>44742</v>
      </c>
      <c r="K63" s="92">
        <v>603.26012985084878</v>
      </c>
      <c r="L63" s="92">
        <v>1532.2835086799082</v>
      </c>
    </row>
    <row r="64" spans="1:12">
      <c r="A64" s="31">
        <v>44773</v>
      </c>
      <c r="B64" s="32" t="s">
        <v>61</v>
      </c>
      <c r="C64" s="41">
        <f t="shared" si="0"/>
        <v>0.58064516129032262</v>
      </c>
      <c r="D64" s="42">
        <f t="shared" si="1"/>
        <v>15.8033244261</v>
      </c>
      <c r="E64" s="42">
        <f t="shared" si="2"/>
        <v>720.64718433819803</v>
      </c>
      <c r="F64" s="43">
        <f t="shared" si="4"/>
        <v>18001.36907392741</v>
      </c>
      <c r="G64" s="42">
        <f t="shared" si="3"/>
        <v>800.29436867639606</v>
      </c>
      <c r="H64" s="44">
        <f t="shared" si="5"/>
        <v>19990.911796262077</v>
      </c>
      <c r="J64" s="88">
        <v>44773</v>
      </c>
      <c r="K64" s="92">
        <v>720.64718433819803</v>
      </c>
      <c r="L64" s="92">
        <v>1598.4761523843686</v>
      </c>
    </row>
    <row r="65" spans="1:12">
      <c r="A65" s="31">
        <v>44804</v>
      </c>
      <c r="B65" s="32" t="s">
        <v>61</v>
      </c>
      <c r="C65" s="41">
        <f t="shared" si="0"/>
        <v>0.51528384279475981</v>
      </c>
      <c r="D65" s="42">
        <f t="shared" si="1"/>
        <v>17.59581700998984</v>
      </c>
      <c r="E65" s="42">
        <f t="shared" si="2"/>
        <v>688.63232535075906</v>
      </c>
      <c r="F65" s="43">
        <f t="shared" si="4"/>
        <v>18360.767638691719</v>
      </c>
      <c r="G65" s="42">
        <f t="shared" si="3"/>
        <v>747.26465070151824</v>
      </c>
      <c r="H65" s="44">
        <f t="shared" si="5"/>
        <v>19924.061231296633</v>
      </c>
      <c r="J65" s="88">
        <v>44804</v>
      </c>
      <c r="K65" s="92">
        <v>688.63232535075906</v>
      </c>
      <c r="L65" s="92">
        <v>1506.8549457103834</v>
      </c>
    </row>
    <row r="66" spans="1:12">
      <c r="A66" s="31">
        <v>44834</v>
      </c>
      <c r="B66" s="32" t="s">
        <v>61</v>
      </c>
      <c r="C66" s="41">
        <f t="shared" si="0"/>
        <v>0.48539325842696629</v>
      </c>
      <c r="D66" s="42">
        <f t="shared" si="1"/>
        <v>17.820200163937344</v>
      </c>
      <c r="E66" s="42">
        <f t="shared" si="2"/>
        <v>718.63941685578732</v>
      </c>
      <c r="F66" s="43">
        <f t="shared" si="4"/>
        <v>19022.389091993682</v>
      </c>
      <c r="G66" s="42">
        <f t="shared" si="3"/>
        <v>789.27883371157486</v>
      </c>
      <c r="H66" s="44">
        <f t="shared" si="5"/>
        <v>20892.214822596459</v>
      </c>
      <c r="J66" s="88">
        <v>44834</v>
      </c>
      <c r="K66" s="92">
        <v>718.63941685578732</v>
      </c>
      <c r="L66" s="92">
        <v>1556.8352988011902</v>
      </c>
    </row>
    <row r="67" spans="1:12">
      <c r="A67" s="31">
        <v>44865</v>
      </c>
      <c r="B67" s="32" t="s">
        <v>61</v>
      </c>
      <c r="C67" s="41">
        <f t="shared" si="0"/>
        <v>0.44567627494456763</v>
      </c>
      <c r="D67" s="42">
        <f t="shared" si="1"/>
        <v>19.401238691351388</v>
      </c>
      <c r="E67" s="42">
        <f t="shared" si="2"/>
        <v>675.28698453707455</v>
      </c>
      <c r="F67" s="43">
        <f t="shared" si="4"/>
        <v>18940.388891025916</v>
      </c>
      <c r="G67" s="42">
        <f t="shared" si="3"/>
        <v>737.5739690741492</v>
      </c>
      <c r="H67" s="44">
        <f t="shared" si="5"/>
        <v>20687.408657429751</v>
      </c>
      <c r="J67" s="88">
        <v>44865</v>
      </c>
      <c r="K67" s="92">
        <v>675.28698453707455</v>
      </c>
      <c r="L67" s="92">
        <v>1509.2046312517191</v>
      </c>
    </row>
    <row r="68" spans="1:12">
      <c r="A68" s="31">
        <v>44895</v>
      </c>
      <c r="B68" s="32" t="s">
        <v>61</v>
      </c>
      <c r="C68" s="41">
        <f t="shared" si="0"/>
        <v>0.54525386313465785</v>
      </c>
      <c r="D68" s="42">
        <f t="shared" si="1"/>
        <v>18.528198516070532</v>
      </c>
      <c r="E68" s="42">
        <f t="shared" si="2"/>
        <v>551.37060690034411</v>
      </c>
      <c r="F68" s="43">
        <f t="shared" si="4"/>
        <v>15786.165215017891</v>
      </c>
      <c r="G68" s="42">
        <f t="shared" si="3"/>
        <v>592.74121380068812</v>
      </c>
      <c r="H68" s="44">
        <f t="shared" si="5"/>
        <v>16970.637559755029</v>
      </c>
      <c r="J68" s="88">
        <v>44895</v>
      </c>
      <c r="K68" s="92">
        <v>551.37060690034411</v>
      </c>
      <c r="L68" s="92">
        <v>1461.6174079806074</v>
      </c>
    </row>
    <row r="69" spans="1:12">
      <c r="A69" s="31">
        <v>44926</v>
      </c>
      <c r="B69" s="32" t="s">
        <v>61</v>
      </c>
      <c r="C69" s="41">
        <f t="shared" si="0"/>
        <v>0.59808612440191389</v>
      </c>
      <c r="D69" s="42">
        <f t="shared" si="1"/>
        <v>20.122963856795781</v>
      </c>
      <c r="E69" s="42">
        <f t="shared" si="2"/>
        <v>682.92454523330264</v>
      </c>
      <c r="F69" s="43">
        <f t="shared" si="4"/>
        <v>21961.644134816175</v>
      </c>
      <c r="G69" s="42">
        <f t="shared" si="3"/>
        <v>749.84909046660539</v>
      </c>
      <c r="H69" s="44">
        <f t="shared" si="5"/>
        <v>24113.819007658232</v>
      </c>
      <c r="J69" s="88">
        <v>44926</v>
      </c>
      <c r="K69" s="92">
        <v>682.92454523330264</v>
      </c>
      <c r="L69" s="92">
        <v>1514.6972383693189</v>
      </c>
    </row>
    <row r="70" spans="1:12">
      <c r="A70" s="31">
        <v>44957</v>
      </c>
      <c r="B70" s="32" t="s">
        <v>61</v>
      </c>
      <c r="C70" s="41">
        <f t="shared" si="0"/>
        <v>0.36842105263157893</v>
      </c>
      <c r="D70" s="42">
        <f t="shared" si="1"/>
        <v>19.244919242965089</v>
      </c>
      <c r="E70" s="42">
        <f t="shared" si="2"/>
        <v>675.34102800086669</v>
      </c>
      <c r="F70" s="43">
        <f t="shared" si="4"/>
        <v>17785.209062041071</v>
      </c>
      <c r="G70" s="42">
        <f t="shared" si="3"/>
        <v>737.68205600173349</v>
      </c>
      <c r="H70" s="44">
        <f t="shared" si="5"/>
        <v>19426.969550693848</v>
      </c>
      <c r="J70" s="88">
        <v>44957</v>
      </c>
      <c r="K70" s="92">
        <v>675.34102800086669</v>
      </c>
      <c r="L70" s="92">
        <v>1642.7970727484474</v>
      </c>
    </row>
    <row r="71" spans="1:12">
      <c r="A71" s="31">
        <v>44985</v>
      </c>
      <c r="B71" s="32" t="s">
        <v>61</v>
      </c>
      <c r="C71" s="41">
        <f t="shared" si="0"/>
        <v>0.38185654008438819</v>
      </c>
      <c r="D71" s="42">
        <f t="shared" si="1"/>
        <v>19.952045627016151</v>
      </c>
      <c r="E71" s="42">
        <f t="shared" si="2"/>
        <v>645.81483796947839</v>
      </c>
      <c r="F71" s="43">
        <f t="shared" si="4"/>
        <v>17805.673543291257</v>
      </c>
      <c r="G71" s="42">
        <f t="shared" si="3"/>
        <v>709.62967593895678</v>
      </c>
      <c r="H71" s="44">
        <f t="shared" si="5"/>
        <v>19565.103809209457</v>
      </c>
      <c r="J71" s="88">
        <v>44985</v>
      </c>
      <c r="K71" s="92">
        <v>645.81483796947839</v>
      </c>
      <c r="L71" s="92">
        <v>1825.9173647968541</v>
      </c>
    </row>
    <row r="72" spans="1:12">
      <c r="A72" s="31">
        <v>45016</v>
      </c>
      <c r="B72" s="32" t="s">
        <v>61</v>
      </c>
      <c r="C72" s="41">
        <f t="shared" si="0"/>
        <v>0.4731182795698925</v>
      </c>
      <c r="D72" s="42">
        <f t="shared" si="1"/>
        <v>15.729511638305796</v>
      </c>
      <c r="E72" s="42">
        <f t="shared" si="2"/>
        <v>650.09773857310972</v>
      </c>
      <c r="F72" s="43">
        <f t="shared" si="4"/>
        <v>15063.694972627045</v>
      </c>
      <c r="G72" s="42">
        <f t="shared" si="3"/>
        <v>717.19547714621956</v>
      </c>
      <c r="H72" s="44">
        <f t="shared" si="5"/>
        <v>16618.445600489336</v>
      </c>
      <c r="J72" s="88">
        <v>45016</v>
      </c>
      <c r="K72" s="92">
        <v>650.09773857310972</v>
      </c>
      <c r="L72" s="92">
        <v>1628.8523666651506</v>
      </c>
    </row>
    <row r="73" spans="1:12">
      <c r="A73" s="31">
        <v>45046</v>
      </c>
      <c r="B73" s="32" t="s">
        <v>61</v>
      </c>
      <c r="C73" s="41">
        <f t="shared" si="0"/>
        <v>0.34193548387096773</v>
      </c>
      <c r="D73" s="42">
        <f t="shared" si="1"/>
        <v>16.89142391114914</v>
      </c>
      <c r="E73" s="42">
        <f t="shared" si="2"/>
        <v>708.26748402013914</v>
      </c>
      <c r="F73" s="43">
        <f t="shared" si="4"/>
        <v>16054.441506670848</v>
      </c>
      <c r="G73" s="42">
        <f t="shared" si="3"/>
        <v>777.53496804027827</v>
      </c>
      <c r="H73" s="44">
        <f t="shared" si="5"/>
        <v>17624.541497995539</v>
      </c>
      <c r="J73" s="88">
        <v>45046</v>
      </c>
      <c r="K73" s="92">
        <v>708.26748402013914</v>
      </c>
      <c r="L73" s="92">
        <v>1287.2273798825927</v>
      </c>
    </row>
    <row r="74" spans="1:12">
      <c r="A74" s="31">
        <v>45077</v>
      </c>
      <c r="B74" s="32" t="s">
        <v>61</v>
      </c>
      <c r="C74" s="41">
        <f t="shared" si="0"/>
        <v>0.55144032921810704</v>
      </c>
      <c r="D74" s="42">
        <f t="shared" si="1"/>
        <v>16.784715753214169</v>
      </c>
      <c r="E74" s="42">
        <f t="shared" si="2"/>
        <v>676.39954937707341</v>
      </c>
      <c r="F74" s="43">
        <f t="shared" si="4"/>
        <v>17613.772274917348</v>
      </c>
      <c r="G74" s="42">
        <f t="shared" si="3"/>
        <v>757.79909875414671</v>
      </c>
      <c r="H74" s="44">
        <f t="shared" si="5"/>
        <v>19733.456014105326</v>
      </c>
      <c r="J74" s="88">
        <v>45077</v>
      </c>
      <c r="K74" s="92">
        <v>676.39954937707341</v>
      </c>
      <c r="L74" s="92">
        <v>1510.3366130135698</v>
      </c>
    </row>
    <row r="75" spans="1:12">
      <c r="A75" s="31">
        <v>45107</v>
      </c>
      <c r="B75" s="32" t="s">
        <v>61</v>
      </c>
      <c r="C75" s="41">
        <f t="shared" si="0"/>
        <v>0.36873747494989978</v>
      </c>
      <c r="D75" s="42">
        <f t="shared" si="1"/>
        <v>16.144801179863514</v>
      </c>
      <c r="E75" s="42">
        <f t="shared" si="2"/>
        <v>616.19516383127075</v>
      </c>
      <c r="F75" s="43">
        <f t="shared" si="4"/>
        <v>13616.677279955242</v>
      </c>
      <c r="G75" s="42">
        <f t="shared" si="3"/>
        <v>697.39032766254138</v>
      </c>
      <c r="H75" s="44">
        <f t="shared" si="5"/>
        <v>15410.927555645898</v>
      </c>
      <c r="J75" s="88">
        <v>45107</v>
      </c>
      <c r="K75" s="92">
        <v>616.19516383127075</v>
      </c>
      <c r="L75" s="92">
        <v>1508.1316035025088</v>
      </c>
    </row>
    <row r="76" spans="1:12">
      <c r="A76" s="31">
        <v>45138</v>
      </c>
      <c r="B76" s="32" t="s">
        <v>61</v>
      </c>
      <c r="C76" s="41">
        <f t="shared" si="0"/>
        <v>0.50976138828633411</v>
      </c>
      <c r="D76" s="42">
        <f t="shared" si="1"/>
        <v>18.554103073832227</v>
      </c>
      <c r="E76" s="42">
        <f t="shared" si="2"/>
        <v>612.21641519223806</v>
      </c>
      <c r="F76" s="43">
        <f t="shared" si="4"/>
        <v>17149.570550529981</v>
      </c>
      <c r="G76" s="42">
        <f t="shared" si="3"/>
        <v>681.43283038447623</v>
      </c>
      <c r="H76" s="44">
        <f t="shared" si="5"/>
        <v>19088.479351629885</v>
      </c>
      <c r="J76" s="88">
        <v>45138</v>
      </c>
      <c r="K76" s="92">
        <v>612.21641519223806</v>
      </c>
      <c r="L76" s="92">
        <v>1797.4174295022144</v>
      </c>
    </row>
    <row r="77" spans="1:12">
      <c r="A77" s="31">
        <v>45169</v>
      </c>
      <c r="B77" s="32" t="s">
        <v>61</v>
      </c>
      <c r="C77" s="41">
        <f t="shared" si="0"/>
        <v>0.6706443914081146</v>
      </c>
      <c r="D77" s="42">
        <f t="shared" si="1"/>
        <v>18.811461374350085</v>
      </c>
      <c r="E77" s="42">
        <f t="shared" si="2"/>
        <v>671.03275316031431</v>
      </c>
      <c r="F77" s="43">
        <f t="shared" si="4"/>
        <v>21088.722438900557</v>
      </c>
      <c r="G77" s="42">
        <f t="shared" si="3"/>
        <v>757.0655063206284</v>
      </c>
      <c r="H77" s="44">
        <f t="shared" si="5"/>
        <v>23792.496350840822</v>
      </c>
      <c r="J77" s="88">
        <v>45169</v>
      </c>
      <c r="K77" s="92">
        <v>671.03275316031431</v>
      </c>
      <c r="L77" s="92">
        <v>1643.4986124318125</v>
      </c>
    </row>
    <row r="78" spans="1:12">
      <c r="A78" s="31">
        <v>45199</v>
      </c>
      <c r="B78" s="32" t="s">
        <v>61</v>
      </c>
      <c r="C78" s="41">
        <f t="shared" si="0"/>
        <v>0.59628770301624134</v>
      </c>
      <c r="D78" s="42">
        <f t="shared" si="1"/>
        <v>17.353020880241129</v>
      </c>
      <c r="E78" s="42">
        <f t="shared" si="2"/>
        <v>693.54084465519861</v>
      </c>
      <c r="F78" s="43">
        <f t="shared" si="4"/>
        <v>19211.368412802767</v>
      </c>
      <c r="G78" s="42">
        <f t="shared" si="3"/>
        <v>767.08168931039722</v>
      </c>
      <c r="H78" s="44">
        <f t="shared" si="5"/>
        <v>21248.480243991475</v>
      </c>
      <c r="J78" s="88">
        <v>45199</v>
      </c>
      <c r="K78" s="92">
        <v>693.54084465519861</v>
      </c>
      <c r="L78" s="92">
        <v>1413.826732209558</v>
      </c>
    </row>
    <row r="79" spans="1:12">
      <c r="A79" s="31">
        <v>45230</v>
      </c>
      <c r="B79" s="32" t="s">
        <v>61</v>
      </c>
      <c r="C79" s="41">
        <f t="shared" si="0"/>
        <v>0.57582938388625593</v>
      </c>
      <c r="D79" s="42">
        <f t="shared" si="1"/>
        <v>20.009551783736573</v>
      </c>
      <c r="E79" s="42">
        <f t="shared" si="2"/>
        <v>736.42595810932994</v>
      </c>
      <c r="F79" s="43">
        <f t="shared" si="4"/>
        <v>23220.717946788729</v>
      </c>
      <c r="G79" s="42">
        <f t="shared" si="3"/>
        <v>824.85191621865977</v>
      </c>
      <c r="H79" s="44">
        <f t="shared" si="5"/>
        <v>26008.933394412135</v>
      </c>
      <c r="J79" s="88">
        <v>45230</v>
      </c>
      <c r="K79" s="92">
        <v>736.42595810932994</v>
      </c>
      <c r="L79" s="92">
        <v>1710.1858238541101</v>
      </c>
    </row>
    <row r="80" spans="1:12">
      <c r="A80" s="31">
        <v>45260</v>
      </c>
      <c r="B80" s="32" t="s">
        <v>61</v>
      </c>
      <c r="C80" s="41">
        <f t="shared" si="0"/>
        <v>0.47123893805309736</v>
      </c>
      <c r="D80" s="42">
        <f t="shared" si="1"/>
        <v>16.101364474670625</v>
      </c>
      <c r="E80" s="42">
        <f t="shared" si="2"/>
        <v>592.2874733136515</v>
      </c>
      <c r="F80" s="43">
        <f t="shared" si="4"/>
        <v>14030.670929794753</v>
      </c>
      <c r="G80" s="42">
        <f t="shared" si="3"/>
        <v>655.57494662730289</v>
      </c>
      <c r="H80" s="44">
        <f t="shared" si="5"/>
        <v>15529.884997372677</v>
      </c>
      <c r="J80" s="88">
        <v>45260</v>
      </c>
      <c r="K80" s="92">
        <v>592.2874733136515</v>
      </c>
      <c r="L80" s="92">
        <v>1337.5208712974884</v>
      </c>
    </row>
    <row r="81" spans="1:12">
      <c r="A81" s="31">
        <v>45291</v>
      </c>
      <c r="B81" s="32" t="s">
        <v>61</v>
      </c>
      <c r="C81" s="41">
        <f t="shared" si="0"/>
        <v>0.59482758620689657</v>
      </c>
      <c r="D81" s="42">
        <f t="shared" si="1"/>
        <v>19.866675143927328</v>
      </c>
      <c r="E81" s="42">
        <f t="shared" si="2"/>
        <v>559.685517958731</v>
      </c>
      <c r="F81" s="43">
        <f t="shared" si="4"/>
        <v>17733.032052488452</v>
      </c>
      <c r="G81" s="42">
        <f t="shared" si="3"/>
        <v>614.37103591746222</v>
      </c>
      <c r="H81" s="44">
        <f t="shared" si="5"/>
        <v>19465.683714275096</v>
      </c>
      <c r="J81" s="88">
        <v>45291</v>
      </c>
      <c r="K81" s="92">
        <v>559.685517958731</v>
      </c>
      <c r="L81" s="92">
        <v>1452.1079861644337</v>
      </c>
    </row>
    <row r="82" spans="1:12">
      <c r="A82" s="31">
        <v>44592</v>
      </c>
      <c r="B82" s="36" t="s">
        <v>62</v>
      </c>
      <c r="C82" s="41">
        <f t="shared" si="0"/>
        <v>0.75220529270248593</v>
      </c>
      <c r="D82" s="42">
        <f t="shared" si="1"/>
        <v>7.6905317009167256</v>
      </c>
      <c r="E82" s="42">
        <f t="shared" si="2"/>
        <v>1440.7891353034881</v>
      </c>
      <c r="F82" s="43">
        <f t="shared" si="4"/>
        <v>19415.196010314754</v>
      </c>
      <c r="G82" s="42">
        <f t="shared" si="3"/>
        <v>1476.5782706069765</v>
      </c>
      <c r="H82" s="44">
        <f t="shared" si="5"/>
        <v>19897.468578819749</v>
      </c>
      <c r="I82" s="30"/>
      <c r="K82" s="35"/>
      <c r="L82" s="35"/>
    </row>
    <row r="83" spans="1:12">
      <c r="A83" s="31">
        <v>44620</v>
      </c>
      <c r="B83" s="36" t="s">
        <v>62</v>
      </c>
      <c r="C83" s="41">
        <f t="shared" si="0"/>
        <v>0.79481481481481486</v>
      </c>
      <c r="D83" s="42">
        <f t="shared" si="1"/>
        <v>7.4580671426634799</v>
      </c>
      <c r="E83" s="42">
        <f t="shared" si="2"/>
        <v>1488.5334985159193</v>
      </c>
      <c r="F83" s="43">
        <f t="shared" si="4"/>
        <v>19925.285234321484</v>
      </c>
      <c r="G83" s="42">
        <f t="shared" si="3"/>
        <v>1523.0669970318388</v>
      </c>
      <c r="H83" s="44">
        <f t="shared" si="5"/>
        <v>20387.545444625619</v>
      </c>
      <c r="I83" s="30"/>
      <c r="K83" s="35"/>
      <c r="L83" s="35"/>
    </row>
    <row r="84" spans="1:12">
      <c r="A84" s="31">
        <v>44651</v>
      </c>
      <c r="B84" s="36" t="s">
        <v>62</v>
      </c>
      <c r="C84" s="41">
        <f t="shared" si="0"/>
        <v>0.66045548654244302</v>
      </c>
      <c r="D84" s="42">
        <f t="shared" si="1"/>
        <v>6.4548411690851122</v>
      </c>
      <c r="E84" s="42">
        <f t="shared" si="2"/>
        <v>1720.848599558723</v>
      </c>
      <c r="F84" s="43">
        <f t="shared" si="4"/>
        <v>18444.014736496218</v>
      </c>
      <c r="G84" s="42">
        <f t="shared" si="3"/>
        <v>1755.6971991174455</v>
      </c>
      <c r="H84" s="44">
        <f t="shared" si="5"/>
        <v>18817.52120532337</v>
      </c>
      <c r="I84" s="30"/>
      <c r="J84" s="85" t="s">
        <v>54</v>
      </c>
      <c r="K84" s="93" t="s">
        <v>76</v>
      </c>
      <c r="L84" s="94" t="s">
        <v>77</v>
      </c>
    </row>
    <row r="85" spans="1:12">
      <c r="A85" s="31">
        <v>44681</v>
      </c>
      <c r="B85" s="36" t="s">
        <v>62</v>
      </c>
      <c r="C85" s="41">
        <f t="shared" si="0"/>
        <v>0.56809338521400776</v>
      </c>
      <c r="D85" s="42">
        <f t="shared" si="1"/>
        <v>6.5087573282016091</v>
      </c>
      <c r="E85" s="42">
        <f t="shared" si="2"/>
        <v>1717.4105024129635</v>
      </c>
      <c r="F85" s="43">
        <f t="shared" si="4"/>
        <v>17528.474326162046</v>
      </c>
      <c r="G85" s="42">
        <f t="shared" si="3"/>
        <v>1756.8210048259273</v>
      </c>
      <c r="H85" s="44">
        <f t="shared" si="5"/>
        <v>17930.711286257607</v>
      </c>
      <c r="I85" s="30"/>
      <c r="J85" s="88">
        <v>44592</v>
      </c>
      <c r="K85" s="92">
        <v>18033.947832433871</v>
      </c>
      <c r="L85" s="92">
        <v>19415.196010314754</v>
      </c>
    </row>
    <row r="86" spans="1:12">
      <c r="A86" s="31">
        <v>44712</v>
      </c>
      <c r="B86" s="36" t="s">
        <v>62</v>
      </c>
      <c r="C86" s="41">
        <f t="shared" si="0"/>
        <v>0.60377358490566035</v>
      </c>
      <c r="D86" s="42">
        <f t="shared" si="1"/>
        <v>7.9712926417214538</v>
      </c>
      <c r="E86" s="42">
        <f t="shared" si="2"/>
        <v>1430.8158977619669</v>
      </c>
      <c r="F86" s="43">
        <f t="shared" si="4"/>
        <v>18291.76302238648</v>
      </c>
      <c r="G86" s="42">
        <f t="shared" si="3"/>
        <v>1486.6317955239335</v>
      </c>
      <c r="H86" s="44">
        <f t="shared" si="5"/>
        <v>19005.321752297586</v>
      </c>
      <c r="I86" s="30"/>
      <c r="J86" s="88">
        <v>44620</v>
      </c>
      <c r="K86" s="92">
        <v>14649.112125076517</v>
      </c>
      <c r="L86" s="92">
        <v>19925.285234321484</v>
      </c>
    </row>
    <row r="87" spans="1:12">
      <c r="A87" s="31">
        <v>44742</v>
      </c>
      <c r="B87" s="36" t="s">
        <v>62</v>
      </c>
      <c r="C87" s="41">
        <f t="shared" si="0"/>
        <v>0.5949796472184532</v>
      </c>
      <c r="D87" s="42">
        <f t="shared" si="1"/>
        <v>7.4219702888068833</v>
      </c>
      <c r="E87" s="42">
        <f t="shared" si="2"/>
        <v>1532.2835086799082</v>
      </c>
      <c r="F87" s="43">
        <f t="shared" si="4"/>
        <v>18139.006004060651</v>
      </c>
      <c r="G87" s="42">
        <f t="shared" si="3"/>
        <v>1582.5670173598166</v>
      </c>
      <c r="H87" s="44">
        <f t="shared" si="5"/>
        <v>18734.256726713069</v>
      </c>
      <c r="I87" s="30"/>
      <c r="J87" s="88">
        <v>44651</v>
      </c>
      <c r="K87" s="92">
        <v>12046.436880464677</v>
      </c>
      <c r="L87" s="92">
        <v>18444.014736496218</v>
      </c>
    </row>
    <row r="88" spans="1:12">
      <c r="A88" s="31">
        <v>44773</v>
      </c>
      <c r="B88" s="36" t="s">
        <v>62</v>
      </c>
      <c r="C88" s="41">
        <f t="shared" si="0"/>
        <v>0.66666666666666663</v>
      </c>
      <c r="D88" s="42">
        <f t="shared" si="1"/>
        <v>7.0531581812502235</v>
      </c>
      <c r="E88" s="42">
        <f t="shared" si="2"/>
        <v>1598.4761523843686</v>
      </c>
      <c r="F88" s="43">
        <f t="shared" si="4"/>
        <v>18790.508586205313</v>
      </c>
      <c r="G88" s="42">
        <f t="shared" si="3"/>
        <v>1631.9523047687376</v>
      </c>
      <c r="H88" s="44">
        <f t="shared" si="5"/>
        <v>19184.029582982967</v>
      </c>
      <c r="I88" s="30"/>
      <c r="J88" s="88">
        <v>44681</v>
      </c>
      <c r="K88" s="92">
        <v>14143.64939491081</v>
      </c>
      <c r="L88" s="92">
        <v>17528.474326162046</v>
      </c>
    </row>
    <row r="89" spans="1:12">
      <c r="A89" s="31">
        <v>44804</v>
      </c>
      <c r="B89" s="36" t="s">
        <v>62</v>
      </c>
      <c r="C89" s="41">
        <f t="shared" si="0"/>
        <v>0.74315619967793878</v>
      </c>
      <c r="D89" s="42">
        <f t="shared" si="1"/>
        <v>7.5149424282913166</v>
      </c>
      <c r="E89" s="42">
        <f t="shared" si="2"/>
        <v>1506.8549457103834</v>
      </c>
      <c r="F89" s="43">
        <f t="shared" si="4"/>
        <v>19739.375585177993</v>
      </c>
      <c r="G89" s="42">
        <f t="shared" si="3"/>
        <v>1539.709891420767</v>
      </c>
      <c r="H89" s="44">
        <f t="shared" si="5"/>
        <v>20169.766124794365</v>
      </c>
      <c r="I89" s="30"/>
      <c r="J89" s="88">
        <v>44712</v>
      </c>
      <c r="K89" s="92">
        <v>11480.497507919625</v>
      </c>
      <c r="L89" s="92">
        <v>18291.76302238648</v>
      </c>
    </row>
    <row r="90" spans="1:12">
      <c r="A90" s="31">
        <v>44834</v>
      </c>
      <c r="B90" s="36" t="s">
        <v>62</v>
      </c>
      <c r="C90" s="41">
        <f t="shared" si="0"/>
        <v>0.58827586206896554</v>
      </c>
      <c r="D90" s="42">
        <f t="shared" si="1"/>
        <v>7.260521048299216</v>
      </c>
      <c r="E90" s="42">
        <f t="shared" si="2"/>
        <v>1556.8352988011902</v>
      </c>
      <c r="F90" s="43">
        <f t="shared" si="4"/>
        <v>17952.973692713033</v>
      </c>
      <c r="G90" s="42">
        <f t="shared" si="3"/>
        <v>1582.6705976023807</v>
      </c>
      <c r="H90" s="44">
        <f t="shared" si="5"/>
        <v>18250.898874701332</v>
      </c>
      <c r="I90" s="30"/>
      <c r="J90" s="88">
        <v>44742</v>
      </c>
      <c r="K90" s="92">
        <v>18054.65703205422</v>
      </c>
      <c r="L90" s="92">
        <v>18139.006004060651</v>
      </c>
    </row>
    <row r="91" spans="1:12">
      <c r="A91" s="31">
        <v>44865</v>
      </c>
      <c r="B91" s="36" t="s">
        <v>62</v>
      </c>
      <c r="C91" s="41">
        <f t="shared" si="0"/>
        <v>0.63475409836065577</v>
      </c>
      <c r="D91" s="42">
        <f t="shared" si="1"/>
        <v>7.6664538217119587</v>
      </c>
      <c r="E91" s="42">
        <f t="shared" si="2"/>
        <v>1509.2046312517191</v>
      </c>
      <c r="F91" s="43">
        <f t="shared" si="4"/>
        <v>18914.509704407727</v>
      </c>
      <c r="G91" s="42">
        <f t="shared" si="3"/>
        <v>1563.4092625034382</v>
      </c>
      <c r="H91" s="44">
        <f t="shared" si="5"/>
        <v>19593.843707633088</v>
      </c>
      <c r="I91" s="30"/>
      <c r="J91" s="88">
        <v>44773</v>
      </c>
      <c r="K91" s="92">
        <v>18001.36907392741</v>
      </c>
      <c r="L91" s="92">
        <v>18790.508586205313</v>
      </c>
    </row>
    <row r="92" spans="1:12">
      <c r="A92" s="31">
        <v>44895</v>
      </c>
      <c r="B92" s="36" t="s">
        <v>62</v>
      </c>
      <c r="C92" s="41">
        <f t="shared" si="0"/>
        <v>0.81847914963205237</v>
      </c>
      <c r="D92" s="42">
        <f t="shared" si="1"/>
        <v>7.7895079305746</v>
      </c>
      <c r="E92" s="42">
        <f t="shared" si="2"/>
        <v>1461.6174079806074</v>
      </c>
      <c r="F92" s="43">
        <f t="shared" si="4"/>
        <v>20703.89500362238</v>
      </c>
      <c r="G92" s="42">
        <f t="shared" si="3"/>
        <v>1486.234815961215</v>
      </c>
      <c r="H92" s="44">
        <f t="shared" si="5"/>
        <v>21052.60200951116</v>
      </c>
      <c r="I92" s="30"/>
      <c r="J92" s="88">
        <v>44804</v>
      </c>
      <c r="K92" s="92">
        <v>18360.767638691719</v>
      </c>
      <c r="L92" s="92">
        <v>19739.375585177993</v>
      </c>
    </row>
    <row r="93" spans="1:12">
      <c r="A93" s="31">
        <v>44926</v>
      </c>
      <c r="B93" s="36" t="s">
        <v>62</v>
      </c>
      <c r="C93" s="41">
        <f t="shared" si="0"/>
        <v>0.66412698412698412</v>
      </c>
      <c r="D93" s="42">
        <f t="shared" si="1"/>
        <v>7.6254959143790906</v>
      </c>
      <c r="E93" s="42">
        <f t="shared" si="2"/>
        <v>1514.6972383693189</v>
      </c>
      <c r="F93" s="43">
        <f t="shared" si="4"/>
        <v>19221.195197900841</v>
      </c>
      <c r="G93" s="42">
        <f t="shared" si="3"/>
        <v>1556.3944767386376</v>
      </c>
      <c r="H93" s="44">
        <f t="shared" si="5"/>
        <v>19750.32454309785</v>
      </c>
      <c r="I93" s="30"/>
      <c r="J93" s="88">
        <v>44834</v>
      </c>
      <c r="K93" s="92">
        <v>19022.389091993682</v>
      </c>
      <c r="L93" s="92">
        <v>17952.973692713033</v>
      </c>
    </row>
    <row r="94" spans="1:12">
      <c r="A94" s="31">
        <v>44957</v>
      </c>
      <c r="B94" s="36" t="s">
        <v>62</v>
      </c>
      <c r="C94" s="41">
        <f t="shared" si="0"/>
        <v>0.80827586206896551</v>
      </c>
      <c r="D94" s="42">
        <f t="shared" si="1"/>
        <v>7.1021979001419027</v>
      </c>
      <c r="E94" s="42">
        <f t="shared" si="2"/>
        <v>1642.7970727484474</v>
      </c>
      <c r="F94" s="43">
        <f t="shared" si="4"/>
        <v>21098.004228535228</v>
      </c>
      <c r="G94" s="42">
        <f t="shared" si="3"/>
        <v>1698.594145496895</v>
      </c>
      <c r="H94" s="44">
        <f t="shared" si="5"/>
        <v>21814.591137724892</v>
      </c>
      <c r="I94" s="30"/>
      <c r="J94" s="88">
        <v>44865</v>
      </c>
      <c r="K94" s="92">
        <v>18940.388891025916</v>
      </c>
      <c r="L94" s="92">
        <v>18914.509704407727</v>
      </c>
    </row>
    <row r="95" spans="1:12">
      <c r="A95" s="31">
        <v>44985</v>
      </c>
      <c r="B95" s="36" t="s">
        <v>62</v>
      </c>
      <c r="C95" s="41">
        <f t="shared" si="0"/>
        <v>0.74622356495468278</v>
      </c>
      <c r="D95" s="42">
        <f t="shared" si="1"/>
        <v>6.4813871937936964</v>
      </c>
      <c r="E95" s="42">
        <f t="shared" si="2"/>
        <v>1825.9173647968541</v>
      </c>
      <c r="F95" s="43">
        <f t="shared" si="4"/>
        <v>20665.64335866852</v>
      </c>
      <c r="G95" s="42">
        <f t="shared" si="3"/>
        <v>1906.8347295937085</v>
      </c>
      <c r="H95" s="44">
        <f t="shared" si="5"/>
        <v>21581.462132647437</v>
      </c>
      <c r="I95" s="30"/>
      <c r="J95" s="88">
        <v>44895</v>
      </c>
      <c r="K95" s="92">
        <v>15786.165215017891</v>
      </c>
      <c r="L95" s="92">
        <v>20703.89500362238</v>
      </c>
    </row>
    <row r="96" spans="1:12">
      <c r="A96" s="31">
        <v>45016</v>
      </c>
      <c r="B96" s="36" t="s">
        <v>62</v>
      </c>
      <c r="C96" s="41">
        <f t="shared" si="0"/>
        <v>0.74983541803818299</v>
      </c>
      <c r="D96" s="42">
        <f t="shared" si="1"/>
        <v>7.1646800750093433</v>
      </c>
      <c r="E96" s="42">
        <f t="shared" si="2"/>
        <v>1628.8523666651506</v>
      </c>
      <c r="F96" s="43">
        <f t="shared" si="4"/>
        <v>20420.939963596647</v>
      </c>
      <c r="G96" s="42">
        <f t="shared" si="3"/>
        <v>1673.704733330301</v>
      </c>
      <c r="H96" s="44">
        <f t="shared" si="5"/>
        <v>20983.254575797808</v>
      </c>
      <c r="I96" s="30"/>
      <c r="J96" s="88">
        <v>44926</v>
      </c>
      <c r="K96" s="92">
        <v>21961.644134816175</v>
      </c>
      <c r="L96" s="92">
        <v>19221.195197900841</v>
      </c>
    </row>
    <row r="97" spans="1:12">
      <c r="A97" s="31">
        <v>45046</v>
      </c>
      <c r="B97" s="36" t="s">
        <v>62</v>
      </c>
      <c r="C97" s="41">
        <f t="shared" si="0"/>
        <v>0.75982532751091703</v>
      </c>
      <c r="D97" s="42">
        <f t="shared" si="1"/>
        <v>9.0883366516037523</v>
      </c>
      <c r="E97" s="42">
        <f t="shared" si="2"/>
        <v>1287.2273798825927</v>
      </c>
      <c r="F97" s="43">
        <f t="shared" si="4"/>
        <v>20587.766714150821</v>
      </c>
      <c r="G97" s="42">
        <f t="shared" si="3"/>
        <v>1321.4547597651851</v>
      </c>
      <c r="H97" s="44">
        <f t="shared" si="5"/>
        <v>21135.195492680767</v>
      </c>
      <c r="I97" s="30"/>
      <c r="J97" s="88">
        <v>44957</v>
      </c>
      <c r="K97" s="92">
        <v>17785.209062041071</v>
      </c>
      <c r="L97" s="92">
        <v>21098.004228535228</v>
      </c>
    </row>
    <row r="98" spans="1:12">
      <c r="A98" s="31">
        <v>45077</v>
      </c>
      <c r="B98" s="36" t="s">
        <v>62</v>
      </c>
      <c r="C98" s="41">
        <f t="shared" si="0"/>
        <v>0.67117437722419926</v>
      </c>
      <c r="D98" s="42">
        <f t="shared" si="1"/>
        <v>7.7154074342365293</v>
      </c>
      <c r="E98" s="42">
        <f t="shared" si="2"/>
        <v>1510.3366130135698</v>
      </c>
      <c r="F98" s="43">
        <f t="shared" si="4"/>
        <v>19473.96495096806</v>
      </c>
      <c r="G98" s="42">
        <f t="shared" si="3"/>
        <v>1539.6732260271399</v>
      </c>
      <c r="H98" s="44">
        <f t="shared" si="5"/>
        <v>19852.225114089222</v>
      </c>
      <c r="I98" s="30"/>
      <c r="J98" s="88">
        <v>44985</v>
      </c>
      <c r="K98" s="92">
        <v>17805.673543291257</v>
      </c>
      <c r="L98" s="92">
        <v>20665.64335866852</v>
      </c>
    </row>
    <row r="99" spans="1:12">
      <c r="A99" s="31">
        <v>45107</v>
      </c>
      <c r="B99" s="36" t="s">
        <v>62</v>
      </c>
      <c r="C99" s="41">
        <f t="shared" si="0"/>
        <v>0.55911169170476815</v>
      </c>
      <c r="D99" s="42">
        <f t="shared" si="1"/>
        <v>7.6588851007008021</v>
      </c>
      <c r="E99" s="42">
        <f t="shared" si="2"/>
        <v>1508.1316035025088</v>
      </c>
      <c r="F99" s="43">
        <f t="shared" si="4"/>
        <v>18008.685902301633</v>
      </c>
      <c r="G99" s="42">
        <f t="shared" si="3"/>
        <v>1519.2632070050176</v>
      </c>
      <c r="H99" s="44">
        <f t="shared" si="5"/>
        <v>18141.609017631941</v>
      </c>
      <c r="I99" s="30"/>
      <c r="J99" s="88">
        <v>45016</v>
      </c>
      <c r="K99" s="92">
        <v>15063.694972627045</v>
      </c>
      <c r="L99" s="92">
        <v>20420.939963596647</v>
      </c>
    </row>
    <row r="100" spans="1:12">
      <c r="A100" s="31">
        <v>45138</v>
      </c>
      <c r="B100" s="36" t="s">
        <v>62</v>
      </c>
      <c r="C100" s="41">
        <f t="shared" si="0"/>
        <v>0.78700602813127929</v>
      </c>
      <c r="D100" s="42">
        <f t="shared" si="1"/>
        <v>6.6729603140335261</v>
      </c>
      <c r="E100" s="42">
        <f t="shared" si="2"/>
        <v>1797.4174295022144</v>
      </c>
      <c r="F100" s="43">
        <f t="shared" si="4"/>
        <v>21433.520379384401</v>
      </c>
      <c r="G100" s="42">
        <f t="shared" si="3"/>
        <v>1870.8348590044288</v>
      </c>
      <c r="H100" s="44">
        <f t="shared" si="5"/>
        <v>22308.99535008919</v>
      </c>
      <c r="I100" s="30"/>
      <c r="J100" s="88">
        <v>45046</v>
      </c>
      <c r="K100" s="92">
        <v>16054.441506670848</v>
      </c>
      <c r="L100" s="92">
        <v>20587.766714150821</v>
      </c>
    </row>
    <row r="101" spans="1:12">
      <c r="A101" s="31">
        <v>45169</v>
      </c>
      <c r="B101" s="36" t="s">
        <v>62</v>
      </c>
      <c r="C101" s="41">
        <f t="shared" si="0"/>
        <v>0.65723684210526312</v>
      </c>
      <c r="D101" s="42">
        <f t="shared" si="1"/>
        <v>7.232466270074311</v>
      </c>
      <c r="E101" s="42">
        <f t="shared" si="2"/>
        <v>1643.4986124318125</v>
      </c>
      <c r="F101" s="43">
        <f t="shared" si="4"/>
        <v>19698.825733963651</v>
      </c>
      <c r="G101" s="42">
        <f t="shared" si="3"/>
        <v>1690.9972248636252</v>
      </c>
      <c r="H101" s="44">
        <f t="shared" si="5"/>
        <v>20268.139806894262</v>
      </c>
      <c r="I101" s="30"/>
      <c r="J101" s="88">
        <v>45077</v>
      </c>
      <c r="K101" s="92">
        <v>17613.772274917348</v>
      </c>
      <c r="L101" s="92">
        <v>19473.96495096806</v>
      </c>
    </row>
    <row r="102" spans="1:12">
      <c r="A102" s="31">
        <v>45199</v>
      </c>
      <c r="B102" s="36" t="s">
        <v>62</v>
      </c>
      <c r="C102" s="41">
        <f t="shared" si="0"/>
        <v>0.66720911310008135</v>
      </c>
      <c r="D102" s="42">
        <f t="shared" si="1"/>
        <v>8.5411863957842176</v>
      </c>
      <c r="E102" s="42">
        <f t="shared" si="2"/>
        <v>1413.826732209558</v>
      </c>
      <c r="F102" s="43">
        <f t="shared" si="4"/>
        <v>20132.813203575868</v>
      </c>
      <c r="G102" s="42">
        <f t="shared" si="3"/>
        <v>1471.6534644191158</v>
      </c>
      <c r="H102" s="44">
        <f t="shared" si="5"/>
        <v>20956.262620131154</v>
      </c>
      <c r="I102" s="30"/>
      <c r="J102" s="88">
        <v>45107</v>
      </c>
      <c r="K102" s="92">
        <v>13616.677279955242</v>
      </c>
      <c r="L102" s="92">
        <v>18008.685902301633</v>
      </c>
    </row>
    <row r="103" spans="1:12">
      <c r="A103" s="31">
        <v>45230</v>
      </c>
      <c r="B103" s="36" t="s">
        <v>62</v>
      </c>
      <c r="C103" s="41">
        <f t="shared" si="0"/>
        <v>0.81522542498152251</v>
      </c>
      <c r="D103" s="42">
        <f t="shared" si="1"/>
        <v>6.966835334729077</v>
      </c>
      <c r="E103" s="42">
        <f t="shared" si="2"/>
        <v>1710.1858238541101</v>
      </c>
      <c r="F103" s="43">
        <f t="shared" si="4"/>
        <v>21627.654037900538</v>
      </c>
      <c r="G103" s="42">
        <f t="shared" si="3"/>
        <v>1752.3716477082201</v>
      </c>
      <c r="H103" s="44">
        <f t="shared" si="5"/>
        <v>22161.1518548596</v>
      </c>
      <c r="I103" s="30"/>
      <c r="J103" s="88">
        <v>45138</v>
      </c>
      <c r="K103" s="92">
        <v>17149.570550529981</v>
      </c>
      <c r="L103" s="92">
        <v>21433.520379384401</v>
      </c>
    </row>
    <row r="104" spans="1:12">
      <c r="A104" s="31">
        <v>45260</v>
      </c>
      <c r="B104" s="36" t="s">
        <v>62</v>
      </c>
      <c r="C104" s="41">
        <f t="shared" si="0"/>
        <v>0.56722951844903069</v>
      </c>
      <c r="D104" s="42">
        <f t="shared" si="1"/>
        <v>8.9208216709815602</v>
      </c>
      <c r="E104" s="42">
        <f t="shared" si="2"/>
        <v>1337.5208712974884</v>
      </c>
      <c r="F104" s="43">
        <f t="shared" si="4"/>
        <v>18699.845932580549</v>
      </c>
      <c r="G104" s="42">
        <f t="shared" si="3"/>
        <v>1368.0417425949765</v>
      </c>
      <c r="H104" s="44">
        <f t="shared" si="5"/>
        <v>19126.55747274328</v>
      </c>
      <c r="I104" s="30"/>
      <c r="J104" s="88">
        <v>45169</v>
      </c>
      <c r="K104" s="92">
        <v>21088.722438900557</v>
      </c>
      <c r="L104" s="92">
        <v>19698.825733963651</v>
      </c>
    </row>
    <row r="105" spans="1:12">
      <c r="A105" s="31">
        <v>45291</v>
      </c>
      <c r="B105" s="36" t="s">
        <v>62</v>
      </c>
      <c r="C105" s="41">
        <f t="shared" si="0"/>
        <v>0.6211180124223602</v>
      </c>
      <c r="D105" s="42">
        <f t="shared" si="1"/>
        <v>8.4100262470292595</v>
      </c>
      <c r="E105" s="42">
        <f t="shared" si="2"/>
        <v>1452.1079861644337</v>
      </c>
      <c r="F105" s="43">
        <f t="shared" si="4"/>
        <v>19797.524834408214</v>
      </c>
      <c r="G105" s="42">
        <f t="shared" si="3"/>
        <v>1513.2159723288676</v>
      </c>
      <c r="H105" s="44">
        <f t="shared" si="5"/>
        <v>20630.649426516931</v>
      </c>
      <c r="I105" s="30"/>
      <c r="J105" s="88">
        <v>45199</v>
      </c>
      <c r="K105" s="92">
        <v>19211.368412802767</v>
      </c>
      <c r="L105" s="92">
        <v>20132.813203575868</v>
      </c>
    </row>
    <row r="106" spans="1:12">
      <c r="J106" s="88">
        <v>45230</v>
      </c>
      <c r="K106" s="92">
        <v>23220.717946788729</v>
      </c>
      <c r="L106" s="92">
        <v>21627.654037900538</v>
      </c>
    </row>
    <row r="107" spans="1:12">
      <c r="J107" s="88">
        <v>45260</v>
      </c>
      <c r="K107" s="92">
        <v>14030.670929794753</v>
      </c>
      <c r="L107" s="92">
        <v>18699.845932580549</v>
      </c>
    </row>
    <row r="108" spans="1:12">
      <c r="J108" s="88">
        <v>45291</v>
      </c>
      <c r="K108" s="92">
        <v>17733.032052488452</v>
      </c>
      <c r="L108" s="92">
        <v>19797.524834408214</v>
      </c>
    </row>
    <row r="110" spans="1:12">
      <c r="A110" s="45" t="s">
        <v>78</v>
      </c>
      <c r="D110" s="45" t="s">
        <v>79</v>
      </c>
    </row>
    <row r="111" spans="1:12">
      <c r="A111" s="46" t="s">
        <v>80</v>
      </c>
      <c r="B111" s="46" t="s">
        <v>81</v>
      </c>
      <c r="C111" s="46" t="s">
        <v>82</v>
      </c>
      <c r="D111" s="46" t="s">
        <v>83</v>
      </c>
      <c r="E111" s="46" t="s">
        <v>84</v>
      </c>
    </row>
    <row r="112" spans="1:12">
      <c r="A112" s="31">
        <v>44592</v>
      </c>
      <c r="B112" s="34">
        <f t="shared" ref="B112:B135" si="6">F58+G29</f>
        <v>28839.14487222187</v>
      </c>
      <c r="C112" s="34">
        <f t="shared" ref="C112:C135" si="7">F82+G5</f>
        <v>29739.565705776953</v>
      </c>
      <c r="D112" s="47">
        <f t="shared" ref="D112:D135" si="8">H58+G29</f>
        <v>30338.955417301855</v>
      </c>
      <c r="E112" s="47">
        <f t="shared" ref="E112:E135" si="9">H82+G5</f>
        <v>30221.838274281949</v>
      </c>
    </row>
    <row r="113" spans="1:5">
      <c r="A113" s="31">
        <v>44620</v>
      </c>
      <c r="B113" s="34">
        <f t="shared" si="6"/>
        <v>25493.141750509218</v>
      </c>
      <c r="C113" s="34">
        <f t="shared" si="7"/>
        <v>29666.605956670086</v>
      </c>
      <c r="D113" s="47">
        <f t="shared" si="8"/>
        <v>26740.182053755812</v>
      </c>
      <c r="E113" s="47">
        <f t="shared" si="9"/>
        <v>30128.866166974221</v>
      </c>
    </row>
    <row r="114" spans="1:5">
      <c r="A114" s="31">
        <v>44651</v>
      </c>
      <c r="B114" s="34">
        <f t="shared" si="6"/>
        <v>22929.299091542176</v>
      </c>
      <c r="C114" s="34">
        <f t="shared" si="7"/>
        <v>26079.159594714718</v>
      </c>
      <c r="D114" s="47">
        <f t="shared" si="8"/>
        <v>23626.70583707466</v>
      </c>
      <c r="E114" s="47">
        <f t="shared" si="9"/>
        <v>26452.66606354187</v>
      </c>
    </row>
    <row r="115" spans="1:5">
      <c r="A115" s="31">
        <v>44681</v>
      </c>
      <c r="B115" s="34">
        <f t="shared" si="6"/>
        <v>25065.34419163311</v>
      </c>
      <c r="C115" s="34">
        <f t="shared" si="7"/>
        <v>27094.548522924168</v>
      </c>
      <c r="D115" s="47">
        <f t="shared" si="8"/>
        <v>26084.806426351981</v>
      </c>
      <c r="E115" s="47">
        <f t="shared" si="9"/>
        <v>27496.785483019725</v>
      </c>
    </row>
    <row r="116" spans="1:5">
      <c r="A116" s="31">
        <v>44712</v>
      </c>
      <c r="B116" s="34">
        <f t="shared" si="6"/>
        <v>22441.024890286622</v>
      </c>
      <c r="C116" s="34">
        <f t="shared" si="7"/>
        <v>25978.99096873726</v>
      </c>
      <c r="D116" s="47">
        <f t="shared" si="8"/>
        <v>23417.71903021682</v>
      </c>
      <c r="E116" s="47">
        <f t="shared" si="9"/>
        <v>26692.549698648367</v>
      </c>
    </row>
    <row r="117" spans="1:5">
      <c r="A117" s="31">
        <v>44742</v>
      </c>
      <c r="B117" s="34">
        <f t="shared" si="6"/>
        <v>29054.017000066022</v>
      </c>
      <c r="C117" s="34">
        <f t="shared" si="7"/>
        <v>29006.486320875054</v>
      </c>
      <c r="D117" s="47">
        <f t="shared" si="8"/>
        <v>30588.154626738717</v>
      </c>
      <c r="E117" s="47">
        <f t="shared" si="9"/>
        <v>29601.737043527472</v>
      </c>
    </row>
    <row r="118" spans="1:5">
      <c r="A118" s="31">
        <v>44773</v>
      </c>
      <c r="B118" s="34">
        <f t="shared" si="6"/>
        <v>29039.561627584008</v>
      </c>
      <c r="C118" s="34">
        <f t="shared" si="7"/>
        <v>28920.439543335415</v>
      </c>
      <c r="D118" s="47">
        <f t="shared" si="8"/>
        <v>31029.104349918678</v>
      </c>
      <c r="E118" s="47">
        <f t="shared" si="9"/>
        <v>29313.960540113068</v>
      </c>
    </row>
    <row r="119" spans="1:5">
      <c r="A119" s="31">
        <v>44804</v>
      </c>
      <c r="B119" s="34">
        <f t="shared" si="6"/>
        <v>29437.79277799312</v>
      </c>
      <c r="C119" s="34">
        <f t="shared" si="7"/>
        <v>30824.740301471593</v>
      </c>
      <c r="D119" s="47">
        <f t="shared" si="8"/>
        <v>31001.086370598034</v>
      </c>
      <c r="E119" s="47">
        <f t="shared" si="9"/>
        <v>31255.130841087965</v>
      </c>
    </row>
    <row r="120" spans="1:5">
      <c r="A120" s="31">
        <v>44834</v>
      </c>
      <c r="B120" s="34">
        <f t="shared" si="6"/>
        <v>30138.246816939783</v>
      </c>
      <c r="C120" s="34">
        <f t="shared" si="7"/>
        <v>29500.463398944434</v>
      </c>
      <c r="D120" s="47">
        <f t="shared" si="8"/>
        <v>32008.072547542557</v>
      </c>
      <c r="E120" s="47">
        <f t="shared" si="9"/>
        <v>29798.388580932733</v>
      </c>
    </row>
    <row r="121" spans="1:5">
      <c r="A121" s="31">
        <v>44865</v>
      </c>
      <c r="B121" s="34">
        <f t="shared" si="6"/>
        <v>30095.079201616816</v>
      </c>
      <c r="C121" s="34">
        <f t="shared" si="7"/>
        <v>30807.469022206125</v>
      </c>
      <c r="D121" s="47">
        <f t="shared" si="8"/>
        <v>31842.098968020651</v>
      </c>
      <c r="E121" s="47">
        <f t="shared" si="9"/>
        <v>31486.803025431487</v>
      </c>
    </row>
    <row r="122" spans="1:5">
      <c r="A122" s="31">
        <v>44895</v>
      </c>
      <c r="B122" s="34">
        <f t="shared" si="6"/>
        <v>26979.688111253592</v>
      </c>
      <c r="C122" s="34">
        <f t="shared" si="7"/>
        <v>30153.27624681835</v>
      </c>
      <c r="D122" s="47">
        <f t="shared" si="8"/>
        <v>28164.160455990728</v>
      </c>
      <c r="E122" s="47">
        <f t="shared" si="9"/>
        <v>30501.98325270713</v>
      </c>
    </row>
    <row r="123" spans="1:5">
      <c r="A123" s="31">
        <v>44926</v>
      </c>
      <c r="B123" s="34">
        <f t="shared" si="6"/>
        <v>33193.999616696572</v>
      </c>
      <c r="C123" s="34">
        <f t="shared" si="7"/>
        <v>31616.940933687041</v>
      </c>
      <c r="D123" s="47">
        <f t="shared" si="8"/>
        <v>35346.174489538636</v>
      </c>
      <c r="E123" s="47">
        <f t="shared" si="9"/>
        <v>32146.07027888405</v>
      </c>
    </row>
    <row r="124" spans="1:5">
      <c r="A124" s="31">
        <v>44957</v>
      </c>
      <c r="B124" s="34">
        <f t="shared" si="6"/>
        <v>29056.39712956627</v>
      </c>
      <c r="C124" s="34">
        <f t="shared" si="7"/>
        <v>32895.139724472829</v>
      </c>
      <c r="D124" s="47">
        <f t="shared" si="8"/>
        <v>30698.157618219047</v>
      </c>
      <c r="E124" s="47">
        <f t="shared" si="9"/>
        <v>33611.726633662489</v>
      </c>
    </row>
    <row r="125" spans="1:5">
      <c r="A125" s="31">
        <v>44985</v>
      </c>
      <c r="B125" s="34">
        <f t="shared" si="6"/>
        <v>29115.694196461256</v>
      </c>
      <c r="C125" s="34">
        <f t="shared" si="7"/>
        <v>32277.733913591917</v>
      </c>
      <c r="D125" s="47">
        <f t="shared" si="8"/>
        <v>30875.124462379456</v>
      </c>
      <c r="E125" s="47">
        <f t="shared" si="9"/>
        <v>33193.552687570838</v>
      </c>
    </row>
    <row r="126" spans="1:5">
      <c r="A126" s="31">
        <v>45016</v>
      </c>
      <c r="B126" s="34">
        <f t="shared" si="6"/>
        <v>26412.548211441845</v>
      </c>
      <c r="C126" s="34">
        <f t="shared" si="7"/>
        <v>29591.245248728927</v>
      </c>
      <c r="D126" s="47">
        <f t="shared" si="8"/>
        <v>27967.298839304138</v>
      </c>
      <c r="E126" s="47">
        <f t="shared" si="9"/>
        <v>30153.559860930087</v>
      </c>
    </row>
    <row r="127" spans="1:5">
      <c r="A127" s="31">
        <v>45046</v>
      </c>
      <c r="B127" s="34">
        <f t="shared" si="6"/>
        <v>27442.127331130348</v>
      </c>
      <c r="C127" s="34">
        <f t="shared" si="7"/>
        <v>31381.386593375122</v>
      </c>
      <c r="D127" s="47">
        <f t="shared" si="8"/>
        <v>29012.227322455037</v>
      </c>
      <c r="E127" s="47">
        <f t="shared" si="9"/>
        <v>31928.815371905068</v>
      </c>
    </row>
    <row r="128" spans="1:5">
      <c r="A128" s="31">
        <v>45077</v>
      </c>
      <c r="B128" s="34">
        <f t="shared" si="6"/>
        <v>29040.290685021646</v>
      </c>
      <c r="C128" s="34">
        <f t="shared" si="7"/>
        <v>29460.870824130492</v>
      </c>
      <c r="D128" s="47">
        <f t="shared" si="8"/>
        <v>31159.974424209628</v>
      </c>
      <c r="E128" s="47">
        <f t="shared" si="9"/>
        <v>29839.13098725165</v>
      </c>
    </row>
    <row r="129" spans="1:5">
      <c r="A129" s="31">
        <v>45107</v>
      </c>
      <c r="B129" s="34">
        <f t="shared" si="6"/>
        <v>25082.028275704342</v>
      </c>
      <c r="C129" s="34">
        <f t="shared" si="7"/>
        <v>26646.154533528614</v>
      </c>
      <c r="D129" s="47">
        <f t="shared" si="8"/>
        <v>26876.278551395</v>
      </c>
      <c r="E129" s="47">
        <f t="shared" si="9"/>
        <v>26779.077648858922</v>
      </c>
    </row>
    <row r="130" spans="1:5">
      <c r="A130" s="31">
        <v>45138</v>
      </c>
      <c r="B130" s="34">
        <f t="shared" si="6"/>
        <v>28653.754131923779</v>
      </c>
      <c r="C130" s="34">
        <f t="shared" si="7"/>
        <v>31508.398348475301</v>
      </c>
      <c r="D130" s="47">
        <f t="shared" si="8"/>
        <v>30592.662933023683</v>
      </c>
      <c r="E130" s="47">
        <f t="shared" si="9"/>
        <v>32383.873319180089</v>
      </c>
    </row>
    <row r="131" spans="1:5">
      <c r="A131" s="31">
        <v>45169</v>
      </c>
      <c r="B131" s="34">
        <f t="shared" si="6"/>
        <v>32631.738605939157</v>
      </c>
      <c r="C131" s="34">
        <f t="shared" si="7"/>
        <v>30703.530637958451</v>
      </c>
      <c r="D131" s="47">
        <f t="shared" si="8"/>
        <v>35335.512517879426</v>
      </c>
      <c r="E131" s="47">
        <f t="shared" si="9"/>
        <v>31272.844710889061</v>
      </c>
    </row>
    <row r="132" spans="1:5">
      <c r="A132" s="31">
        <v>45199</v>
      </c>
      <c r="B132" s="34">
        <f t="shared" si="6"/>
        <v>30793.217165486167</v>
      </c>
      <c r="C132" s="34">
        <f t="shared" si="7"/>
        <v>30891.686149325367</v>
      </c>
      <c r="D132" s="47">
        <f t="shared" si="8"/>
        <v>32830.328996674871</v>
      </c>
      <c r="E132" s="47">
        <f t="shared" si="9"/>
        <v>31715.135565880653</v>
      </c>
    </row>
    <row r="133" spans="1:5">
      <c r="A133" s="31">
        <v>45230</v>
      </c>
      <c r="B133" s="34">
        <f t="shared" si="6"/>
        <v>34841.39928511683</v>
      </c>
      <c r="C133" s="34">
        <f t="shared" si="7"/>
        <v>34593.843593761834</v>
      </c>
      <c r="D133" s="47">
        <f t="shared" si="8"/>
        <v>37629.614732740236</v>
      </c>
      <c r="E133" s="47">
        <f t="shared" si="9"/>
        <v>35127.341410720896</v>
      </c>
    </row>
    <row r="134" spans="1:5">
      <c r="A134" s="31">
        <v>45260</v>
      </c>
      <c r="B134" s="34">
        <f t="shared" si="6"/>
        <v>25690.184853767652</v>
      </c>
      <c r="C134" s="34">
        <f t="shared" si="7"/>
        <v>27217.467739681309</v>
      </c>
      <c r="D134" s="47">
        <f t="shared" si="8"/>
        <v>27189.398921345579</v>
      </c>
      <c r="E134" s="47">
        <f t="shared" si="9"/>
        <v>27644.17927984404</v>
      </c>
    </row>
    <row r="135" spans="1:5">
      <c r="A135" s="31">
        <v>45291</v>
      </c>
      <c r="B135" s="34">
        <f t="shared" si="6"/>
        <v>29431.378562106154</v>
      </c>
      <c r="C135" s="34">
        <f t="shared" si="7"/>
        <v>29830.195782091512</v>
      </c>
      <c r="D135" s="47">
        <f t="shared" si="8"/>
        <v>31164.030223892798</v>
      </c>
      <c r="E135" s="47">
        <f t="shared" si="9"/>
        <v>30663.32037420023</v>
      </c>
    </row>
    <row r="141" spans="1:5" s="8" customFormat="1" ht="21.65" customHeight="1">
      <c r="A141" s="49" t="s">
        <v>85</v>
      </c>
    </row>
    <row r="144" spans="1:5">
      <c r="A144" s="50" t="s">
        <v>54</v>
      </c>
      <c r="B144" s="51" t="s">
        <v>62</v>
      </c>
      <c r="C144" s="52" t="s">
        <v>61</v>
      </c>
    </row>
    <row r="145" spans="1:3">
      <c r="A145" s="53">
        <v>44592</v>
      </c>
      <c r="B145" s="54">
        <f>C82</f>
        <v>0.75220529270248593</v>
      </c>
      <c r="C145" s="55">
        <f>C58</f>
        <v>0.60146699266503667</v>
      </c>
    </row>
    <row r="146" spans="1:3">
      <c r="A146" s="53">
        <v>44620</v>
      </c>
      <c r="B146" s="54">
        <f t="shared" ref="B146:B168" si="10">C83</f>
        <v>0.79481481481481486</v>
      </c>
      <c r="C146" s="55">
        <f t="shared" ref="C146:C168" si="11">C59</f>
        <v>0.37579617834394907</v>
      </c>
    </row>
    <row r="147" spans="1:3">
      <c r="A147" s="53">
        <v>44651</v>
      </c>
      <c r="B147" s="54">
        <f t="shared" si="10"/>
        <v>0.66045548654244302</v>
      </c>
      <c r="C147" s="55">
        <f t="shared" si="11"/>
        <v>0.48641975308641977</v>
      </c>
    </row>
    <row r="148" spans="1:3">
      <c r="A148" s="53">
        <v>44681</v>
      </c>
      <c r="B148" s="54">
        <f t="shared" si="10"/>
        <v>0.56809338521400776</v>
      </c>
      <c r="C148" s="55">
        <f t="shared" si="11"/>
        <v>0.37195121951219512</v>
      </c>
    </row>
    <row r="149" spans="1:3">
      <c r="A149" s="53">
        <v>44712</v>
      </c>
      <c r="B149" s="54">
        <f t="shared" si="10"/>
        <v>0.60377358490566035</v>
      </c>
      <c r="C149" s="55">
        <f t="shared" si="11"/>
        <v>0.36639676113360325</v>
      </c>
    </row>
    <row r="150" spans="1:3">
      <c r="A150" s="53">
        <v>44742</v>
      </c>
      <c r="B150" s="54">
        <f t="shared" si="10"/>
        <v>0.5949796472184532</v>
      </c>
      <c r="C150" s="55">
        <f t="shared" si="11"/>
        <v>0.52017937219730936</v>
      </c>
    </row>
    <row r="151" spans="1:3">
      <c r="A151" s="53">
        <v>44773</v>
      </c>
      <c r="B151" s="54">
        <f t="shared" si="10"/>
        <v>0.66666666666666663</v>
      </c>
      <c r="C151" s="55">
        <f t="shared" si="11"/>
        <v>0.58064516129032262</v>
      </c>
    </row>
    <row r="152" spans="1:3">
      <c r="A152" s="53">
        <v>44804</v>
      </c>
      <c r="B152" s="54">
        <f t="shared" si="10"/>
        <v>0.74315619967793878</v>
      </c>
      <c r="C152" s="55">
        <f t="shared" si="11"/>
        <v>0.51528384279475981</v>
      </c>
    </row>
    <row r="153" spans="1:3">
      <c r="A153" s="53">
        <v>44834</v>
      </c>
      <c r="B153" s="54">
        <f t="shared" si="10"/>
        <v>0.58827586206896554</v>
      </c>
      <c r="C153" s="55">
        <f t="shared" si="11"/>
        <v>0.48539325842696629</v>
      </c>
    </row>
    <row r="154" spans="1:3">
      <c r="A154" s="53">
        <v>44865</v>
      </c>
      <c r="B154" s="54">
        <f t="shared" si="10"/>
        <v>0.63475409836065577</v>
      </c>
      <c r="C154" s="55">
        <f t="shared" si="11"/>
        <v>0.44567627494456763</v>
      </c>
    </row>
    <row r="155" spans="1:3">
      <c r="A155" s="53">
        <v>44895</v>
      </c>
      <c r="B155" s="54">
        <f t="shared" si="10"/>
        <v>0.81847914963205237</v>
      </c>
      <c r="C155" s="55">
        <f t="shared" si="11"/>
        <v>0.54525386313465785</v>
      </c>
    </row>
    <row r="156" spans="1:3">
      <c r="A156" s="53">
        <v>44926</v>
      </c>
      <c r="B156" s="54">
        <f t="shared" si="10"/>
        <v>0.66412698412698412</v>
      </c>
      <c r="C156" s="55">
        <f t="shared" si="11"/>
        <v>0.59808612440191389</v>
      </c>
    </row>
    <row r="157" spans="1:3">
      <c r="A157" s="53">
        <v>44957</v>
      </c>
      <c r="B157" s="54">
        <f t="shared" si="10"/>
        <v>0.80827586206896551</v>
      </c>
      <c r="C157" s="55">
        <f t="shared" si="11"/>
        <v>0.36842105263157893</v>
      </c>
    </row>
    <row r="158" spans="1:3">
      <c r="A158" s="53">
        <v>44985</v>
      </c>
      <c r="B158" s="54">
        <f t="shared" si="10"/>
        <v>0.74622356495468278</v>
      </c>
      <c r="C158" s="55">
        <f t="shared" si="11"/>
        <v>0.38185654008438819</v>
      </c>
    </row>
    <row r="159" spans="1:3">
      <c r="A159" s="53">
        <v>45016</v>
      </c>
      <c r="B159" s="54">
        <f t="shared" si="10"/>
        <v>0.74983541803818299</v>
      </c>
      <c r="C159" s="55">
        <f t="shared" si="11"/>
        <v>0.4731182795698925</v>
      </c>
    </row>
    <row r="160" spans="1:3">
      <c r="A160" s="53">
        <v>45046</v>
      </c>
      <c r="B160" s="54">
        <f t="shared" si="10"/>
        <v>0.75982532751091703</v>
      </c>
      <c r="C160" s="55">
        <f t="shared" si="11"/>
        <v>0.34193548387096773</v>
      </c>
    </row>
    <row r="161" spans="1:3">
      <c r="A161" s="53">
        <v>45077</v>
      </c>
      <c r="B161" s="54">
        <f t="shared" si="10"/>
        <v>0.67117437722419926</v>
      </c>
      <c r="C161" s="55">
        <f t="shared" si="11"/>
        <v>0.55144032921810704</v>
      </c>
    </row>
    <row r="162" spans="1:3">
      <c r="A162" s="53">
        <v>45107</v>
      </c>
      <c r="B162" s="54">
        <f t="shared" si="10"/>
        <v>0.55911169170476815</v>
      </c>
      <c r="C162" s="55">
        <f t="shared" si="11"/>
        <v>0.36873747494989978</v>
      </c>
    </row>
    <row r="163" spans="1:3">
      <c r="A163" s="53">
        <v>45138</v>
      </c>
      <c r="B163" s="54">
        <f t="shared" si="10"/>
        <v>0.78700602813127929</v>
      </c>
      <c r="C163" s="55">
        <f t="shared" si="11"/>
        <v>0.50976138828633411</v>
      </c>
    </row>
    <row r="164" spans="1:3">
      <c r="A164" s="53">
        <v>45169</v>
      </c>
      <c r="B164" s="54">
        <f t="shared" si="10"/>
        <v>0.65723684210526312</v>
      </c>
      <c r="C164" s="55">
        <f t="shared" si="11"/>
        <v>0.6706443914081146</v>
      </c>
    </row>
    <row r="165" spans="1:3">
      <c r="A165" s="53">
        <v>45199</v>
      </c>
      <c r="B165" s="54">
        <f t="shared" si="10"/>
        <v>0.66720911310008135</v>
      </c>
      <c r="C165" s="55">
        <f t="shared" si="11"/>
        <v>0.59628770301624134</v>
      </c>
    </row>
    <row r="166" spans="1:3">
      <c r="A166" s="53">
        <v>45230</v>
      </c>
      <c r="B166" s="54">
        <f t="shared" si="10"/>
        <v>0.81522542498152251</v>
      </c>
      <c r="C166" s="55">
        <f t="shared" si="11"/>
        <v>0.57582938388625593</v>
      </c>
    </row>
    <row r="167" spans="1:3">
      <c r="A167" s="53">
        <v>45260</v>
      </c>
      <c r="B167" s="54">
        <f t="shared" si="10"/>
        <v>0.56722951844903069</v>
      </c>
      <c r="C167" s="55">
        <f t="shared" si="11"/>
        <v>0.47123893805309736</v>
      </c>
    </row>
    <row r="168" spans="1:3">
      <c r="A168" s="53">
        <v>45291</v>
      </c>
      <c r="B168" s="54">
        <f t="shared" si="10"/>
        <v>0.6211180124223602</v>
      </c>
      <c r="C168" s="55">
        <f t="shared" si="11"/>
        <v>0.59482758620689657</v>
      </c>
    </row>
  </sheetData>
  <mergeCells count="1">
    <mergeCell ref="A1:XFD1"/>
  </mergeCells>
  <phoneticPr fontId="4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6B5B-27B1-497A-9008-5B04264A2DA4}">
  <sheetPr codeName="Sheet4">
    <tabColor theme="4" tint="0.39997558519241921"/>
  </sheetPr>
  <dimension ref="A1:E49"/>
  <sheetViews>
    <sheetView workbookViewId="0">
      <selection activeCell="G26" sqref="G26"/>
    </sheetView>
  </sheetViews>
  <sheetFormatPr defaultRowHeight="14.5"/>
  <cols>
    <col min="1" max="1" width="11.1796875" bestFit="1" customWidth="1"/>
    <col min="2" max="2" width="15.453125" customWidth="1"/>
    <col min="3" max="3" width="24.453125" customWidth="1"/>
    <col min="4" max="4" width="40.08984375" customWidth="1"/>
    <col min="5" max="5" width="40.1796875" customWidth="1"/>
  </cols>
  <sheetData>
    <row r="1" spans="1:5">
      <c r="A1" t="s">
        <v>101</v>
      </c>
      <c r="B1" t="s">
        <v>233</v>
      </c>
      <c r="C1" t="s">
        <v>234</v>
      </c>
      <c r="D1" t="s">
        <v>235</v>
      </c>
      <c r="E1" t="s">
        <v>236</v>
      </c>
    </row>
    <row r="2" spans="1:5">
      <c r="A2" s="56">
        <v>44592</v>
      </c>
      <c r="B2" s="216">
        <v>28839.14487222187</v>
      </c>
    </row>
    <row r="3" spans="1:5">
      <c r="A3" s="56">
        <v>44620</v>
      </c>
      <c r="B3" s="216">
        <v>25493.141750509218</v>
      </c>
    </row>
    <row r="4" spans="1:5">
      <c r="A4" s="56">
        <v>44651</v>
      </c>
      <c r="B4" s="216">
        <v>22929.299091542176</v>
      </c>
    </row>
    <row r="5" spans="1:5">
      <c r="A5" s="56">
        <v>44681</v>
      </c>
      <c r="B5" s="216">
        <v>25065.34419163311</v>
      </c>
    </row>
    <row r="6" spans="1:5">
      <c r="A6" s="56">
        <v>44712</v>
      </c>
      <c r="B6" s="216">
        <v>22441.024890286622</v>
      </c>
    </row>
    <row r="7" spans="1:5">
      <c r="A7" s="56">
        <v>44742</v>
      </c>
      <c r="B7" s="216">
        <v>29054.017000066022</v>
      </c>
    </row>
    <row r="8" spans="1:5">
      <c r="A8" s="56">
        <v>44773</v>
      </c>
      <c r="B8" s="216">
        <v>29039.561627584008</v>
      </c>
    </row>
    <row r="9" spans="1:5">
      <c r="A9" s="56">
        <v>44804</v>
      </c>
      <c r="B9" s="216">
        <v>29437.79277799312</v>
      </c>
    </row>
    <row r="10" spans="1:5">
      <c r="A10" s="56">
        <v>44834</v>
      </c>
      <c r="B10" s="216">
        <v>30138.246816939783</v>
      </c>
    </row>
    <row r="11" spans="1:5">
      <c r="A11" s="56">
        <v>44865</v>
      </c>
      <c r="B11" s="216">
        <v>30095.079201616816</v>
      </c>
    </row>
    <row r="12" spans="1:5">
      <c r="A12" s="56">
        <v>44895</v>
      </c>
      <c r="B12" s="216">
        <v>26979.688111253592</v>
      </c>
    </row>
    <row r="13" spans="1:5">
      <c r="A13" s="56">
        <v>44926</v>
      </c>
      <c r="B13" s="216">
        <v>33193.999616696572</v>
      </c>
    </row>
    <row r="14" spans="1:5">
      <c r="A14" s="56">
        <v>44957</v>
      </c>
      <c r="B14" s="216">
        <v>29056.39712956627</v>
      </c>
    </row>
    <row r="15" spans="1:5">
      <c r="A15" s="56">
        <v>44985</v>
      </c>
      <c r="B15" s="216">
        <v>29115.694196461256</v>
      </c>
    </row>
    <row r="16" spans="1:5">
      <c r="A16" s="56">
        <v>45016</v>
      </c>
      <c r="B16" s="216">
        <v>26412.548211441845</v>
      </c>
    </row>
    <row r="17" spans="1:5">
      <c r="A17" s="56">
        <v>45046</v>
      </c>
      <c r="B17" s="216">
        <v>27442.127331130348</v>
      </c>
    </row>
    <row r="18" spans="1:5">
      <c r="A18" s="56">
        <v>45077</v>
      </c>
      <c r="B18" s="216">
        <v>29040.290685021646</v>
      </c>
    </row>
    <row r="19" spans="1:5">
      <c r="A19" s="56">
        <v>45107</v>
      </c>
      <c r="B19" s="216">
        <v>25082.028275704342</v>
      </c>
    </row>
    <row r="20" spans="1:5">
      <c r="A20" s="56">
        <v>45138</v>
      </c>
      <c r="B20" s="216">
        <v>28653.754131923779</v>
      </c>
    </row>
    <row r="21" spans="1:5">
      <c r="A21" s="56">
        <v>45169</v>
      </c>
      <c r="B21" s="216">
        <v>32631.738605939157</v>
      </c>
    </row>
    <row r="22" spans="1:5">
      <c r="A22" s="56">
        <v>45199</v>
      </c>
      <c r="B22" s="216">
        <v>30793.217165486167</v>
      </c>
    </row>
    <row r="23" spans="1:5">
      <c r="A23" s="56">
        <v>45230</v>
      </c>
      <c r="B23" s="216">
        <v>34841.39928511683</v>
      </c>
    </row>
    <row r="24" spans="1:5">
      <c r="A24" s="56">
        <v>45260</v>
      </c>
      <c r="B24" s="216">
        <v>25690.184853767652</v>
      </c>
    </row>
    <row r="25" spans="1:5">
      <c r="A25" s="56">
        <v>45291</v>
      </c>
      <c r="B25" s="216">
        <v>29431.378562106154</v>
      </c>
      <c r="C25" s="216">
        <v>29431.378562106154</v>
      </c>
      <c r="D25" s="216">
        <v>29431.378562106154</v>
      </c>
      <c r="E25" s="216">
        <v>29431.378562106154</v>
      </c>
    </row>
    <row r="26" spans="1:5">
      <c r="A26" s="56">
        <v>45322</v>
      </c>
      <c r="C26" s="216">
        <f t="shared" ref="C26:C49" si="0">_xlfn.FORECAST.ETS(A26,$B$2:$B$25,$A$2:$A$25,1,1)</f>
        <v>29646.073163067438</v>
      </c>
      <c r="D26" s="216">
        <f t="shared" ref="D26:D49" si="1">C26-_xlfn.FORECAST.ETS.CONFINT(A26,$B$2:$B$25,$A$2:$A$25,0.95,1,1)</f>
        <v>23568.810063691701</v>
      </c>
      <c r="E26" s="216">
        <f t="shared" ref="E26:E49" si="2">C26+_xlfn.FORECAST.ETS.CONFINT(A26,$B$2:$B$25,$A$2:$A$25,0.95,1,1)</f>
        <v>35723.336262443176</v>
      </c>
    </row>
    <row r="27" spans="1:5">
      <c r="A27" s="56">
        <v>45353</v>
      </c>
      <c r="C27" s="216">
        <f t="shared" si="0"/>
        <v>29816.36947297378</v>
      </c>
      <c r="D27" s="216">
        <f t="shared" si="1"/>
        <v>23019.062761216665</v>
      </c>
      <c r="E27" s="216">
        <f t="shared" si="2"/>
        <v>36613.676184730895</v>
      </c>
    </row>
    <row r="28" spans="1:5">
      <c r="A28" s="56">
        <v>45382</v>
      </c>
      <c r="C28" s="216">
        <f t="shared" si="0"/>
        <v>29986.665782880111</v>
      </c>
      <c r="D28" s="216">
        <f t="shared" si="1"/>
        <v>22536.117198076303</v>
      </c>
      <c r="E28" s="216">
        <f t="shared" si="2"/>
        <v>37437.214367683919</v>
      </c>
    </row>
    <row r="29" spans="1:5">
      <c r="A29" s="56">
        <v>45413</v>
      </c>
      <c r="C29" s="216">
        <f t="shared" si="0"/>
        <v>30156.962092786456</v>
      </c>
      <c r="D29" s="216">
        <f t="shared" si="1"/>
        <v>22103.696439167506</v>
      </c>
      <c r="E29" s="216">
        <f t="shared" si="2"/>
        <v>38210.227746405406</v>
      </c>
    </row>
    <row r="30" spans="1:5">
      <c r="A30" s="56">
        <v>45443</v>
      </c>
      <c r="C30" s="216">
        <f t="shared" si="0"/>
        <v>30327.258402692783</v>
      </c>
      <c r="D30" s="216">
        <f t="shared" si="1"/>
        <v>21711.18662840598</v>
      </c>
      <c r="E30" s="216">
        <f t="shared" si="2"/>
        <v>38943.330176979587</v>
      </c>
    </row>
    <row r="31" spans="1:5">
      <c r="A31" s="56">
        <v>45474</v>
      </c>
      <c r="C31" s="216">
        <f t="shared" si="0"/>
        <v>30497.554712599129</v>
      </c>
      <c r="D31" s="216">
        <f t="shared" si="1"/>
        <v>21351.213177510639</v>
      </c>
      <c r="E31" s="216">
        <f t="shared" si="2"/>
        <v>39643.896247687619</v>
      </c>
    </row>
    <row r="32" spans="1:5">
      <c r="A32" s="56">
        <v>45504</v>
      </c>
      <c r="C32" s="216">
        <f t="shared" si="0"/>
        <v>30667.85102250546</v>
      </c>
      <c r="D32" s="216">
        <f t="shared" si="1"/>
        <v>21018.406814444475</v>
      </c>
      <c r="E32" s="216">
        <f t="shared" si="2"/>
        <v>40317.295230566444</v>
      </c>
    </row>
    <row r="33" spans="1:5">
      <c r="A33" s="56">
        <v>45535</v>
      </c>
      <c r="C33" s="216">
        <f t="shared" si="0"/>
        <v>30838.147332411801</v>
      </c>
      <c r="D33" s="216">
        <f t="shared" si="1"/>
        <v>20708.715125722942</v>
      </c>
      <c r="E33" s="216">
        <f t="shared" si="2"/>
        <v>40967.579539100661</v>
      </c>
    </row>
    <row r="34" spans="1:5">
      <c r="A34" s="56">
        <v>45566</v>
      </c>
      <c r="C34" s="216">
        <f t="shared" si="0"/>
        <v>31008.443642318132</v>
      </c>
      <c r="D34" s="216">
        <f t="shared" si="1"/>
        <v>20418.99100023081</v>
      </c>
      <c r="E34" s="216">
        <f t="shared" si="2"/>
        <v>41597.896284405455</v>
      </c>
    </row>
    <row r="35" spans="1:5">
      <c r="A35" s="56">
        <v>45596</v>
      </c>
      <c r="C35" s="216">
        <f t="shared" si="0"/>
        <v>31178.739952224474</v>
      </c>
      <c r="D35" s="216">
        <f t="shared" si="1"/>
        <v>20146.732941800256</v>
      </c>
      <c r="E35" s="216">
        <f t="shared" si="2"/>
        <v>42210.746962648693</v>
      </c>
    </row>
    <row r="36" spans="1:5">
      <c r="A36" s="56">
        <v>45627</v>
      </c>
      <c r="C36" s="216">
        <f t="shared" si="0"/>
        <v>31349.036262130805</v>
      </c>
      <c r="D36" s="216">
        <f t="shared" si="1"/>
        <v>19889.913915577563</v>
      </c>
      <c r="E36" s="216">
        <f t="shared" si="2"/>
        <v>42808.158608684047</v>
      </c>
    </row>
    <row r="37" spans="1:5">
      <c r="A37" s="56">
        <v>45657</v>
      </c>
      <c r="C37" s="216">
        <f t="shared" si="0"/>
        <v>31519.33257203715</v>
      </c>
      <c r="D37" s="216">
        <f t="shared" si="1"/>
        <v>19646.864422956103</v>
      </c>
      <c r="E37" s="216">
        <f t="shared" si="2"/>
        <v>43391.800721118198</v>
      </c>
    </row>
    <row r="38" spans="1:5">
      <c r="A38" s="56">
        <v>45688</v>
      </c>
      <c r="C38" s="216">
        <f t="shared" si="0"/>
        <v>31689.628881943478</v>
      </c>
      <c r="D38" s="216">
        <f t="shared" si="1"/>
        <v>19416.190181346683</v>
      </c>
      <c r="E38" s="216">
        <f t="shared" si="2"/>
        <v>43963.067582540272</v>
      </c>
    </row>
    <row r="39" spans="1:5">
      <c r="A39" s="56">
        <v>45719</v>
      </c>
      <c r="C39" s="216">
        <f t="shared" si="0"/>
        <v>31859.925191849823</v>
      </c>
      <c r="D39" s="216">
        <f t="shared" si="1"/>
        <v>19196.712661902351</v>
      </c>
      <c r="E39" s="216">
        <f t="shared" si="2"/>
        <v>44523.137721797291</v>
      </c>
    </row>
    <row r="40" spans="1:5">
      <c r="A40" s="56">
        <v>45747</v>
      </c>
      <c r="C40" s="216">
        <f t="shared" si="0"/>
        <v>32030.221501756154</v>
      </c>
      <c r="D40" s="216">
        <f t="shared" si="1"/>
        <v>18987.425178071098</v>
      </c>
      <c r="E40" s="216">
        <f t="shared" si="2"/>
        <v>45073.017825441209</v>
      </c>
    </row>
    <row r="41" spans="1:5">
      <c r="A41" s="56">
        <v>45778</v>
      </c>
      <c r="C41" s="216">
        <f t="shared" si="0"/>
        <v>32200.517811662496</v>
      </c>
      <c r="D41" s="216">
        <f t="shared" si="1"/>
        <v>18787.459827328661</v>
      </c>
      <c r="E41" s="216">
        <f t="shared" si="2"/>
        <v>45613.57579599633</v>
      </c>
    </row>
    <row r="42" spans="1:5">
      <c r="A42" s="56">
        <v>45808</v>
      </c>
      <c r="C42" s="216">
        <f t="shared" si="0"/>
        <v>32370.814121568827</v>
      </c>
      <c r="D42" s="216">
        <f t="shared" si="1"/>
        <v>18596.062178438231</v>
      </c>
      <c r="E42" s="216">
        <f t="shared" si="2"/>
        <v>46145.566064699422</v>
      </c>
    </row>
    <row r="43" spans="1:5">
      <c r="A43" s="56">
        <v>45839</v>
      </c>
      <c r="C43" s="216">
        <f t="shared" si="0"/>
        <v>32541.110431475168</v>
      </c>
      <c r="D43" s="216">
        <f t="shared" si="1"/>
        <v>18412.571596251571</v>
      </c>
      <c r="E43" s="216">
        <f t="shared" si="2"/>
        <v>46669.649266698761</v>
      </c>
    </row>
    <row r="44" spans="1:5">
      <c r="A44" s="56">
        <v>45869</v>
      </c>
      <c r="C44" s="216">
        <f t="shared" si="0"/>
        <v>32711.406741381499</v>
      </c>
      <c r="D44" s="216">
        <f t="shared" si="1"/>
        <v>18236.405742131828</v>
      </c>
      <c r="E44" s="216">
        <f t="shared" si="2"/>
        <v>47186.40774063117</v>
      </c>
    </row>
    <row r="45" spans="1:5">
      <c r="A45" s="56">
        <v>45900</v>
      </c>
      <c r="C45" s="216">
        <f t="shared" si="0"/>
        <v>32881.703051287841</v>
      </c>
      <c r="D45" s="216">
        <f t="shared" si="1"/>
        <v>18067.048215936251</v>
      </c>
      <c r="E45" s="216">
        <f t="shared" si="2"/>
        <v>47696.357886639431</v>
      </c>
    </row>
    <row r="46" spans="1:5">
      <c r="A46" s="56">
        <v>45931</v>
      </c>
      <c r="C46" s="216">
        <f t="shared" si="0"/>
        <v>33051.999361194175</v>
      </c>
      <c r="D46" s="216">
        <f t="shared" si="1"/>
        <v>17904.038595082551</v>
      </c>
      <c r="E46" s="216">
        <f t="shared" si="2"/>
        <v>48199.9601273058</v>
      </c>
    </row>
    <row r="47" spans="1:5">
      <c r="A47" s="56">
        <v>45961</v>
      </c>
      <c r="C47" s="216">
        <f t="shared" si="0"/>
        <v>33222.295671100517</v>
      </c>
      <c r="D47" s="216">
        <f t="shared" si="1"/>
        <v>17746.964326095818</v>
      </c>
      <c r="E47" s="216">
        <f t="shared" si="2"/>
        <v>48697.627016105216</v>
      </c>
    </row>
    <row r="48" spans="1:5">
      <c r="A48" s="56">
        <v>45992</v>
      </c>
      <c r="C48" s="216">
        <f t="shared" si="0"/>
        <v>33392.591981006852</v>
      </c>
      <c r="D48" s="216">
        <f t="shared" si="1"/>
        <v>17595.454064442878</v>
      </c>
      <c r="E48" s="216">
        <f t="shared" si="2"/>
        <v>49189.729897570825</v>
      </c>
    </row>
    <row r="49" spans="1:5">
      <c r="A49" s="56">
        <v>46022</v>
      </c>
      <c r="C49" s="216">
        <f t="shared" si="0"/>
        <v>33562.888290913186</v>
      </c>
      <c r="D49" s="216">
        <f t="shared" si="1"/>
        <v>17449.172158695717</v>
      </c>
      <c r="E49" s="216">
        <f t="shared" si="2"/>
        <v>49676.604423130659</v>
      </c>
    </row>
  </sheetData>
  <phoneticPr fontId="40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2477-5694-4132-BA08-622FC58657EE}">
  <sheetPr codeName="Sheet5">
    <tabColor theme="4" tint="0.39997558519241921"/>
  </sheetPr>
  <dimension ref="A1:E49"/>
  <sheetViews>
    <sheetView topLeftCell="A15" workbookViewId="0">
      <selection activeCell="G24" sqref="G24"/>
    </sheetView>
  </sheetViews>
  <sheetFormatPr defaultRowHeight="14.5"/>
  <cols>
    <col min="1" max="1" width="11.1796875" bestFit="1" customWidth="1"/>
    <col min="2" max="2" width="18.54296875" customWidth="1"/>
    <col min="3" max="3" width="27.54296875" customWidth="1"/>
    <col min="4" max="4" width="43.1796875" customWidth="1"/>
    <col min="5" max="5" width="43.36328125" customWidth="1"/>
  </cols>
  <sheetData>
    <row r="1" spans="1:5">
      <c r="A1" t="s">
        <v>101</v>
      </c>
      <c r="B1" t="s">
        <v>237</v>
      </c>
      <c r="C1" t="s">
        <v>238</v>
      </c>
      <c r="D1" t="s">
        <v>239</v>
      </c>
      <c r="E1" t="s">
        <v>240</v>
      </c>
    </row>
    <row r="2" spans="1:5">
      <c r="A2" s="56">
        <v>44592</v>
      </c>
      <c r="B2" s="216">
        <v>29739.565705776953</v>
      </c>
    </row>
    <row r="3" spans="1:5">
      <c r="A3" s="56">
        <v>44620</v>
      </c>
      <c r="B3" s="216">
        <v>29666.605956670086</v>
      </c>
    </row>
    <row r="4" spans="1:5">
      <c r="A4" s="56">
        <v>44651</v>
      </c>
      <c r="B4" s="216">
        <v>26079.159594714718</v>
      </c>
    </row>
    <row r="5" spans="1:5">
      <c r="A5" s="56">
        <v>44681</v>
      </c>
      <c r="B5" s="216">
        <v>27094.548522924168</v>
      </c>
    </row>
    <row r="6" spans="1:5">
      <c r="A6" s="56">
        <v>44712</v>
      </c>
      <c r="B6" s="216">
        <v>25978.99096873726</v>
      </c>
    </row>
    <row r="7" spans="1:5">
      <c r="A7" s="56">
        <v>44742</v>
      </c>
      <c r="B7" s="216">
        <v>29006.486320875054</v>
      </c>
    </row>
    <row r="8" spans="1:5">
      <c r="A8" s="56">
        <v>44773</v>
      </c>
      <c r="B8" s="216">
        <v>28920.439543335415</v>
      </c>
    </row>
    <row r="9" spans="1:5">
      <c r="A9" s="56">
        <v>44804</v>
      </c>
      <c r="B9" s="216">
        <v>30824.740301471593</v>
      </c>
    </row>
    <row r="10" spans="1:5">
      <c r="A10" s="56">
        <v>44834</v>
      </c>
      <c r="B10" s="216">
        <v>29500.463398944434</v>
      </c>
    </row>
    <row r="11" spans="1:5">
      <c r="A11" s="56">
        <v>44865</v>
      </c>
      <c r="B11" s="216">
        <v>30807.469022206125</v>
      </c>
    </row>
    <row r="12" spans="1:5">
      <c r="A12" s="56">
        <v>44895</v>
      </c>
      <c r="B12" s="216">
        <v>30153.27624681835</v>
      </c>
    </row>
    <row r="13" spans="1:5">
      <c r="A13" s="56">
        <v>44926</v>
      </c>
      <c r="B13" s="216">
        <v>31616.940933687041</v>
      </c>
    </row>
    <row r="14" spans="1:5">
      <c r="A14" s="56">
        <v>44957</v>
      </c>
      <c r="B14" s="216">
        <v>32895.139724472829</v>
      </c>
    </row>
    <row r="15" spans="1:5">
      <c r="A15" s="56">
        <v>44985</v>
      </c>
      <c r="B15" s="216">
        <v>32277.733913591917</v>
      </c>
    </row>
    <row r="16" spans="1:5">
      <c r="A16" s="56">
        <v>45016</v>
      </c>
      <c r="B16" s="216">
        <v>29591.245248728927</v>
      </c>
    </row>
    <row r="17" spans="1:5">
      <c r="A17" s="56">
        <v>45046</v>
      </c>
      <c r="B17" s="216">
        <v>31381.386593375122</v>
      </c>
    </row>
    <row r="18" spans="1:5">
      <c r="A18" s="56">
        <v>45077</v>
      </c>
      <c r="B18" s="216">
        <v>29460.870824130492</v>
      </c>
    </row>
    <row r="19" spans="1:5">
      <c r="A19" s="56">
        <v>45107</v>
      </c>
      <c r="B19" s="216">
        <v>26646.154533528614</v>
      </c>
    </row>
    <row r="20" spans="1:5">
      <c r="A20" s="56">
        <v>45138</v>
      </c>
      <c r="B20" s="216">
        <v>31508.398348475301</v>
      </c>
    </row>
    <row r="21" spans="1:5">
      <c r="A21" s="56">
        <v>45169</v>
      </c>
      <c r="B21" s="216">
        <v>30703.530637958451</v>
      </c>
    </row>
    <row r="22" spans="1:5">
      <c r="A22" s="56">
        <v>45199</v>
      </c>
      <c r="B22" s="216">
        <v>30891.686149325367</v>
      </c>
    </row>
    <row r="23" spans="1:5">
      <c r="A23" s="56">
        <v>45230</v>
      </c>
      <c r="B23" s="216">
        <v>34593.843593761834</v>
      </c>
    </row>
    <row r="24" spans="1:5">
      <c r="A24" s="56">
        <v>45260</v>
      </c>
      <c r="B24" s="216">
        <v>27217.467739681309</v>
      </c>
    </row>
    <row r="25" spans="1:5">
      <c r="A25" s="56">
        <v>45291</v>
      </c>
      <c r="B25" s="216">
        <v>29830.195782091512</v>
      </c>
      <c r="C25" s="216">
        <v>29830.195782091512</v>
      </c>
      <c r="D25" s="216">
        <v>29830.195782091512</v>
      </c>
      <c r="E25" s="216">
        <v>29830.195782091512</v>
      </c>
    </row>
    <row r="26" spans="1:5">
      <c r="A26" s="56">
        <v>45322</v>
      </c>
      <c r="C26" s="216">
        <f t="shared" ref="C26:C49" si="0">_xlfn.FORECAST.ETS(A26,$B$2:$B$25,$A$2:$A$25,1,1)</f>
        <v>29760.138450796316</v>
      </c>
      <c r="D26" s="216">
        <f t="shared" ref="D26:D49" si="1">C26-_xlfn.FORECAST.ETS.CONFINT(A26,$B$2:$B$25,$A$2:$A$25,0.95,1,1)</f>
        <v>24961.908580949486</v>
      </c>
      <c r="E26" s="216">
        <f t="shared" ref="E26:E49" si="2">C26+_xlfn.FORECAST.ETS.CONFINT(A26,$B$2:$B$25,$A$2:$A$25,0.95,1,1)</f>
        <v>34558.368320643145</v>
      </c>
    </row>
    <row r="27" spans="1:5">
      <c r="A27" s="56">
        <v>45353</v>
      </c>
      <c r="C27" s="216">
        <f t="shared" si="0"/>
        <v>29869.302235672323</v>
      </c>
      <c r="D27" s="216">
        <f t="shared" si="1"/>
        <v>23410.733328349095</v>
      </c>
      <c r="E27" s="216">
        <f t="shared" si="2"/>
        <v>36327.871142995551</v>
      </c>
    </row>
    <row r="28" spans="1:5">
      <c r="A28" s="56">
        <v>45382</v>
      </c>
      <c r="C28" s="216">
        <f t="shared" si="0"/>
        <v>29978.466020548316</v>
      </c>
      <c r="D28" s="216">
        <f t="shared" si="1"/>
        <v>22203.84543403639</v>
      </c>
      <c r="E28" s="216">
        <f t="shared" si="2"/>
        <v>37753.086607060242</v>
      </c>
    </row>
    <row r="29" spans="1:5">
      <c r="A29" s="56">
        <v>45413</v>
      </c>
      <c r="C29" s="216">
        <f t="shared" si="0"/>
        <v>30087.629805424323</v>
      </c>
      <c r="D29" s="216">
        <f t="shared" si="1"/>
        <v>21187.186292282513</v>
      </c>
      <c r="E29" s="216">
        <f t="shared" si="2"/>
        <v>38988.073318566137</v>
      </c>
    </row>
    <row r="30" spans="1:5">
      <c r="A30" s="56">
        <v>45443</v>
      </c>
      <c r="C30" s="216">
        <f t="shared" si="0"/>
        <v>30196.793590300316</v>
      </c>
      <c r="D30" s="216">
        <f t="shared" si="1"/>
        <v>20295.648869819688</v>
      </c>
      <c r="E30" s="216">
        <f t="shared" si="2"/>
        <v>40097.938310780941</v>
      </c>
    </row>
    <row r="31" spans="1:5">
      <c r="A31" s="56">
        <v>45474</v>
      </c>
      <c r="C31" s="216">
        <f t="shared" si="0"/>
        <v>30305.95737517632</v>
      </c>
      <c r="D31" s="216">
        <f t="shared" si="1"/>
        <v>19494.431699026136</v>
      </c>
      <c r="E31" s="216">
        <f t="shared" si="2"/>
        <v>41117.483051326504</v>
      </c>
    </row>
    <row r="32" spans="1:5">
      <c r="A32" s="56">
        <v>45504</v>
      </c>
      <c r="C32" s="216">
        <f t="shared" si="0"/>
        <v>30415.121160052313</v>
      </c>
      <c r="D32" s="216">
        <f t="shared" si="1"/>
        <v>18762.344547282817</v>
      </c>
      <c r="E32" s="216">
        <f t="shared" si="2"/>
        <v>42067.897772821809</v>
      </c>
    </row>
    <row r="33" spans="1:5">
      <c r="A33" s="56">
        <v>45535</v>
      </c>
      <c r="C33" s="216">
        <f t="shared" si="0"/>
        <v>30524.28494492832</v>
      </c>
      <c r="D33" s="216">
        <f t="shared" si="1"/>
        <v>18085.351757348282</v>
      </c>
      <c r="E33" s="216">
        <f t="shared" si="2"/>
        <v>42963.218132508358</v>
      </c>
    </row>
    <row r="34" spans="1:5">
      <c r="A34" s="56">
        <v>45566</v>
      </c>
      <c r="C34" s="216">
        <f t="shared" si="0"/>
        <v>30633.448729804313</v>
      </c>
      <c r="D34" s="216">
        <f t="shared" si="1"/>
        <v>17453.589031537726</v>
      </c>
      <c r="E34" s="216">
        <f t="shared" si="2"/>
        <v>43813.308428070901</v>
      </c>
    </row>
    <row r="35" spans="1:5">
      <c r="A35" s="56">
        <v>45596</v>
      </c>
      <c r="C35" s="216">
        <f t="shared" si="0"/>
        <v>30742.612514680321</v>
      </c>
      <c r="D35" s="216">
        <f t="shared" si="1"/>
        <v>16859.811021614787</v>
      </c>
      <c r="E35" s="216">
        <f t="shared" si="2"/>
        <v>44625.414007745858</v>
      </c>
    </row>
    <row r="36" spans="1:5">
      <c r="A36" s="56">
        <v>45627</v>
      </c>
      <c r="C36" s="216">
        <f t="shared" si="0"/>
        <v>30851.776299556313</v>
      </c>
      <c r="D36" s="216">
        <f t="shared" si="1"/>
        <v>16298.510969029552</v>
      </c>
      <c r="E36" s="216">
        <f t="shared" si="2"/>
        <v>45405.041630083077</v>
      </c>
    </row>
    <row r="37" spans="1:5">
      <c r="A37" s="56">
        <v>45657</v>
      </c>
      <c r="C37" s="216">
        <f t="shared" si="0"/>
        <v>30960.940084432321</v>
      </c>
      <c r="D37" s="216">
        <f t="shared" si="1"/>
        <v>15765.387736243056</v>
      </c>
      <c r="E37" s="216">
        <f t="shared" si="2"/>
        <v>46156.492432621584</v>
      </c>
    </row>
    <row r="38" spans="1:5">
      <c r="A38" s="56">
        <v>45688</v>
      </c>
      <c r="C38" s="216">
        <f t="shared" si="0"/>
        <v>31070.103869308314</v>
      </c>
      <c r="D38" s="216">
        <f t="shared" si="1"/>
        <v>15257.006086159472</v>
      </c>
      <c r="E38" s="216">
        <f t="shared" si="2"/>
        <v>46883.201652457152</v>
      </c>
    </row>
    <row r="39" spans="1:5">
      <c r="A39" s="56">
        <v>45719</v>
      </c>
      <c r="C39" s="216">
        <f t="shared" si="0"/>
        <v>31179.267654184321</v>
      </c>
      <c r="D39" s="216">
        <f t="shared" si="1"/>
        <v>14770.57091052636</v>
      </c>
      <c r="E39" s="216">
        <f t="shared" si="2"/>
        <v>47587.964397842283</v>
      </c>
    </row>
    <row r="40" spans="1:5">
      <c r="A40" s="56">
        <v>45747</v>
      </c>
      <c r="C40" s="216">
        <f t="shared" si="0"/>
        <v>31288.431439060314</v>
      </c>
      <c r="D40" s="216">
        <f t="shared" si="1"/>
        <v>14303.771913762383</v>
      </c>
      <c r="E40" s="216">
        <f t="shared" si="2"/>
        <v>48273.090964358242</v>
      </c>
    </row>
    <row r="41" spans="1:5">
      <c r="A41" s="56">
        <v>45778</v>
      </c>
      <c r="C41" s="216">
        <f t="shared" si="0"/>
        <v>31397.595223936321</v>
      </c>
      <c r="D41" s="216">
        <f t="shared" si="1"/>
        <v>13854.673613203009</v>
      </c>
      <c r="E41" s="216">
        <f t="shared" si="2"/>
        <v>48940.51683466963</v>
      </c>
    </row>
    <row r="42" spans="1:5">
      <c r="A42" s="56">
        <v>45808</v>
      </c>
      <c r="C42" s="216">
        <f t="shared" si="0"/>
        <v>31506.759008812314</v>
      </c>
      <c r="D42" s="216">
        <f t="shared" si="1"/>
        <v>13421.635475325704</v>
      </c>
      <c r="E42" s="216">
        <f t="shared" si="2"/>
        <v>49591.882542298925</v>
      </c>
    </row>
    <row r="43" spans="1:5">
      <c r="A43" s="56">
        <v>45839</v>
      </c>
      <c r="C43" s="216">
        <f t="shared" si="0"/>
        <v>31615.922793688318</v>
      </c>
      <c r="D43" s="216">
        <f t="shared" si="1"/>
        <v>13003.252674123905</v>
      </c>
      <c r="E43" s="216">
        <f t="shared" si="2"/>
        <v>50228.592913252731</v>
      </c>
    </row>
    <row r="44" spans="1:5">
      <c r="A44" s="56">
        <v>45869</v>
      </c>
      <c r="C44" s="216">
        <f t="shared" si="0"/>
        <v>31725.086578564311</v>
      </c>
      <c r="D44" s="216">
        <f t="shared" si="1"/>
        <v>12598.31131556931</v>
      </c>
      <c r="E44" s="216">
        <f t="shared" si="2"/>
        <v>50851.861841559308</v>
      </c>
    </row>
    <row r="45" spans="1:5">
      <c r="A45" s="56">
        <v>45900</v>
      </c>
      <c r="C45" s="216">
        <f t="shared" si="0"/>
        <v>31834.250363440318</v>
      </c>
      <c r="D45" s="216">
        <f t="shared" si="1"/>
        <v>12205.754032552773</v>
      </c>
      <c r="E45" s="216">
        <f t="shared" si="2"/>
        <v>51462.746694327863</v>
      </c>
    </row>
    <row r="46" spans="1:5">
      <c r="A46" s="56">
        <v>45931</v>
      </c>
      <c r="C46" s="216">
        <f t="shared" si="0"/>
        <v>31943.414148316311</v>
      </c>
      <c r="D46" s="216">
        <f t="shared" si="1"/>
        <v>11824.653158200879</v>
      </c>
      <c r="E46" s="216">
        <f t="shared" si="2"/>
        <v>52062.175138431747</v>
      </c>
    </row>
    <row r="47" spans="1:5">
      <c r="A47" s="56">
        <v>45961</v>
      </c>
      <c r="C47" s="216">
        <f t="shared" si="0"/>
        <v>32052.577933192319</v>
      </c>
      <c r="D47" s="216">
        <f t="shared" si="1"/>
        <v>11454.189532535547</v>
      </c>
      <c r="E47" s="216">
        <f t="shared" si="2"/>
        <v>52650.966333849094</v>
      </c>
    </row>
    <row r="48" spans="1:5">
      <c r="A48" s="56">
        <v>45992</v>
      </c>
      <c r="C48" s="216">
        <f t="shared" si="0"/>
        <v>32161.741718068311</v>
      </c>
      <c r="D48" s="216">
        <f t="shared" si="1"/>
        <v>11093.635561167343</v>
      </c>
      <c r="E48" s="216">
        <f t="shared" si="2"/>
        <v>53229.84787496928</v>
      </c>
    </row>
    <row r="49" spans="1:5">
      <c r="A49" s="56">
        <v>46022</v>
      </c>
      <c r="C49" s="216">
        <f t="shared" si="0"/>
        <v>32270.905502944319</v>
      </c>
      <c r="D49" s="216">
        <f t="shared" si="1"/>
        <v>10742.341527940753</v>
      </c>
      <c r="E49" s="216">
        <f t="shared" si="2"/>
        <v>53799.469477947889</v>
      </c>
    </row>
  </sheetData>
  <phoneticPr fontId="40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A6A4-DBE7-43E9-B165-A584DCF7C32B}">
  <sheetPr codeName="Sheet6">
    <tabColor rgb="FFFFFF00"/>
  </sheetPr>
  <dimension ref="A1:Q171"/>
  <sheetViews>
    <sheetView showGridLines="0" zoomScale="40" zoomScaleNormal="40" workbookViewId="0">
      <selection activeCell="O162" sqref="O162"/>
    </sheetView>
  </sheetViews>
  <sheetFormatPr defaultColWidth="8.6328125" defaultRowHeight="14.5"/>
  <cols>
    <col min="2" max="2" width="35.1796875" customWidth="1"/>
    <col min="3" max="3" width="24.453125" customWidth="1"/>
    <col min="4" max="4" width="36.08984375" customWidth="1"/>
    <col min="5" max="5" width="39.54296875" customWidth="1"/>
    <col min="6" max="6" width="22.08984375" customWidth="1"/>
    <col min="7" max="7" width="38.1796875" customWidth="1"/>
    <col min="8" max="8" width="32.1796875" customWidth="1"/>
    <col min="9" max="9" width="24.453125" customWidth="1"/>
    <col min="10" max="10" width="27.1796875" customWidth="1"/>
    <col min="11" max="13" width="20.453125" customWidth="1"/>
    <col min="14" max="19" width="24.453125" customWidth="1"/>
  </cols>
  <sheetData>
    <row r="1" spans="1:1" s="219" customFormat="1" ht="30" customHeight="1">
      <c r="A1" s="218" t="s">
        <v>175</v>
      </c>
    </row>
    <row r="25" spans="1:14" ht="26">
      <c r="A25" s="119" t="s">
        <v>86</v>
      </c>
      <c r="B25" s="120"/>
      <c r="C25" s="120"/>
      <c r="D25" s="121" t="s">
        <v>87</v>
      </c>
      <c r="E25" s="121" t="s">
        <v>87</v>
      </c>
      <c r="F25" s="121" t="s">
        <v>87</v>
      </c>
      <c r="G25" s="121" t="s">
        <v>87</v>
      </c>
      <c r="H25" s="121" t="s">
        <v>87</v>
      </c>
      <c r="I25" s="121" t="s">
        <v>87</v>
      </c>
      <c r="J25" s="121" t="s">
        <v>87</v>
      </c>
      <c r="K25" s="121" t="s">
        <v>87</v>
      </c>
      <c r="L25" s="121" t="s">
        <v>87</v>
      </c>
      <c r="M25" s="121" t="s">
        <v>87</v>
      </c>
      <c r="N25" s="121" t="s">
        <v>87</v>
      </c>
    </row>
    <row r="26" spans="1:14" ht="26">
      <c r="A26" s="122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</row>
    <row r="27" spans="1:14" ht="24" customHeight="1">
      <c r="A27" s="124"/>
      <c r="B27" s="237" t="s">
        <v>88</v>
      </c>
      <c r="C27" s="238"/>
      <c r="D27" s="238"/>
      <c r="E27" s="238"/>
      <c r="F27" s="238"/>
      <c r="G27" s="238"/>
      <c r="H27" s="239"/>
      <c r="I27" s="124"/>
      <c r="J27" s="124"/>
      <c r="K27" s="124"/>
      <c r="L27" s="124"/>
      <c r="M27" s="124"/>
      <c r="N27" s="124"/>
    </row>
    <row r="28" spans="1:14" ht="32.9" customHeight="1">
      <c r="A28" s="124"/>
      <c r="B28" s="125" t="s">
        <v>89</v>
      </c>
      <c r="C28" s="126">
        <v>2018</v>
      </c>
      <c r="D28" s="126">
        <v>2019</v>
      </c>
      <c r="E28" s="126">
        <v>2020</v>
      </c>
      <c r="F28" s="126">
        <v>2021</v>
      </c>
      <c r="G28" s="126">
        <v>2022</v>
      </c>
      <c r="H28" s="126">
        <v>2023</v>
      </c>
      <c r="I28" s="124"/>
      <c r="J28" s="124"/>
      <c r="K28" s="124"/>
      <c r="L28" s="124"/>
      <c r="M28" s="124"/>
      <c r="N28" s="124"/>
    </row>
    <row r="29" spans="1:14" ht="29">
      <c r="A29" s="124"/>
      <c r="B29" s="127" t="s">
        <v>90</v>
      </c>
      <c r="C29" s="128">
        <f>60080330.4/1000000</f>
        <v>60.080330400000001</v>
      </c>
      <c r="D29" s="128">
        <f>66763745.6/1000000</f>
        <v>66.763745600000007</v>
      </c>
      <c r="E29" s="128">
        <f>48498017.2/1000000</f>
        <v>48.4980172</v>
      </c>
      <c r="F29" s="128">
        <f>57034574.4/1000000</f>
        <v>57.034574399999997</v>
      </c>
      <c r="G29" s="128">
        <f>78662914/1000000</f>
        <v>78.662914000000001</v>
      </c>
      <c r="H29" s="128">
        <f>90680624.4/1000000</f>
        <v>90.680624399999999</v>
      </c>
      <c r="I29" s="124"/>
      <c r="J29" s="129" t="s">
        <v>91</v>
      </c>
      <c r="K29" s="129"/>
      <c r="L29" s="124"/>
      <c r="M29" s="124"/>
      <c r="N29" s="124"/>
    </row>
    <row r="30" spans="1:14">
      <c r="A30" s="124"/>
      <c r="B30" s="127" t="s">
        <v>92</v>
      </c>
      <c r="C30" s="128">
        <f>15020082.6/1000000</f>
        <v>15.0200826</v>
      </c>
      <c r="D30" s="128">
        <f>16690936.4/1000000</f>
        <v>16.690936400000002</v>
      </c>
      <c r="E30" s="128">
        <f>12124504.3/1000000</f>
        <v>12.1245043</v>
      </c>
      <c r="F30" s="128">
        <f>14258643.6/1000000</f>
        <v>14.258643599999999</v>
      </c>
      <c r="G30" s="128">
        <f>19665728.5/1000000</f>
        <v>19.6657285</v>
      </c>
      <c r="H30" s="128">
        <f>22670156.1/1000000</f>
        <v>22.6701561</v>
      </c>
      <c r="I30" s="124"/>
      <c r="J30" s="130" t="s">
        <v>93</v>
      </c>
      <c r="K30" s="131">
        <v>0.35</v>
      </c>
      <c r="L30" s="124"/>
      <c r="M30" s="124"/>
      <c r="N30" s="124"/>
    </row>
    <row r="31" spans="1:14">
      <c r="A31" s="124"/>
      <c r="B31" s="127" t="s">
        <v>94</v>
      </c>
      <c r="C31" s="128">
        <f>75100413/1000000</f>
        <v>75.100413000000003</v>
      </c>
      <c r="D31" s="128">
        <f>83454682/1000000</f>
        <v>83.454682000000005</v>
      </c>
      <c r="E31" s="128">
        <f>60622521.5/1000000</f>
        <v>60.622521499999998</v>
      </c>
      <c r="F31" s="128">
        <f>71293218/1000000</f>
        <v>71.293217999999996</v>
      </c>
      <c r="G31" s="128">
        <f>98328642.5/1000000</f>
        <v>98.328642500000001</v>
      </c>
      <c r="H31" s="128">
        <f>113350780.5/1000000</f>
        <v>113.3507805</v>
      </c>
      <c r="I31" s="124"/>
      <c r="J31" s="130" t="s">
        <v>95</v>
      </c>
      <c r="K31" s="131">
        <v>0.15</v>
      </c>
      <c r="L31" s="124"/>
      <c r="M31" s="124"/>
      <c r="N31" s="124"/>
    </row>
    <row r="32" spans="1:14" ht="33" customHeight="1">
      <c r="A32" s="124"/>
      <c r="B32" s="132" t="s">
        <v>96</v>
      </c>
      <c r="C32" s="128">
        <f>C29+C30+C31</f>
        <v>150.20082600000001</v>
      </c>
      <c r="D32" s="128">
        <f t="shared" ref="D32:H32" si="0">D29+D30+D31</f>
        <v>166.90936400000001</v>
      </c>
      <c r="E32" s="128">
        <f t="shared" si="0"/>
        <v>121.245043</v>
      </c>
      <c r="F32" s="128">
        <f t="shared" si="0"/>
        <v>142.58643599999999</v>
      </c>
      <c r="G32" s="128">
        <f t="shared" si="0"/>
        <v>196.657285</v>
      </c>
      <c r="H32" s="128">
        <f t="shared" si="0"/>
        <v>226.701561</v>
      </c>
      <c r="I32" s="124"/>
      <c r="J32" s="130" t="s">
        <v>97</v>
      </c>
      <c r="K32" s="131">
        <v>0.5</v>
      </c>
      <c r="L32" s="124"/>
      <c r="M32" s="124"/>
      <c r="N32" s="124"/>
    </row>
    <row r="33" spans="1:14" ht="19.5" customHeight="1">
      <c r="A33" s="124"/>
      <c r="B33" s="132" t="s">
        <v>98</v>
      </c>
      <c r="C33" s="128">
        <f>132420485/1000000</f>
        <v>132.42048500000001</v>
      </c>
      <c r="D33" s="128">
        <f>150257881/1000000</f>
        <v>150.257881</v>
      </c>
      <c r="E33" s="128">
        <f>115726337/1000000</f>
        <v>115.726337</v>
      </c>
      <c r="F33" s="128">
        <f>127496679/1000000</f>
        <v>127.496679</v>
      </c>
      <c r="G33" s="128">
        <f>174945874/1000000</f>
        <v>174.945874</v>
      </c>
      <c r="H33" s="128">
        <f>198806694/1000000</f>
        <v>198.80669399999999</v>
      </c>
      <c r="I33" s="124"/>
      <c r="J33" s="124"/>
      <c r="K33" s="124"/>
      <c r="L33" s="124"/>
      <c r="M33" s="124"/>
      <c r="N33" s="124"/>
    </row>
    <row r="34" spans="1:14" ht="20.9" customHeight="1">
      <c r="A34" s="124"/>
      <c r="B34" s="132" t="s">
        <v>99</v>
      </c>
      <c r="C34" s="128">
        <f>C32-C33</f>
        <v>17.780340999999993</v>
      </c>
      <c r="D34" s="128">
        <f t="shared" ref="D34:H34" si="1">D32-D33</f>
        <v>16.651483000000013</v>
      </c>
      <c r="E34" s="128">
        <f t="shared" si="1"/>
        <v>5.5187059999999946</v>
      </c>
      <c r="F34" s="128">
        <f t="shared" si="1"/>
        <v>15.089756999999992</v>
      </c>
      <c r="G34" s="128">
        <f t="shared" si="1"/>
        <v>21.711410999999998</v>
      </c>
      <c r="H34" s="128">
        <f t="shared" si="1"/>
        <v>27.894867000000005</v>
      </c>
      <c r="I34" s="124"/>
      <c r="J34" s="124"/>
      <c r="K34" s="124"/>
      <c r="L34" s="124"/>
      <c r="M34" s="124"/>
      <c r="N34" s="124"/>
    </row>
    <row r="35" spans="1:14" ht="21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</row>
    <row r="36" spans="1:14" ht="1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</row>
    <row r="37" spans="1:14" ht="26">
      <c r="A37" s="119" t="s">
        <v>100</v>
      </c>
      <c r="B37" s="120"/>
      <c r="C37" s="121" t="s">
        <v>87</v>
      </c>
      <c r="D37" s="121" t="s">
        <v>87</v>
      </c>
      <c r="E37" s="121" t="s">
        <v>87</v>
      </c>
      <c r="F37" s="121" t="s">
        <v>87</v>
      </c>
      <c r="G37" s="121" t="s">
        <v>87</v>
      </c>
      <c r="H37" s="121" t="s">
        <v>87</v>
      </c>
      <c r="I37" s="123" t="s">
        <v>87</v>
      </c>
      <c r="J37" s="123" t="s">
        <v>87</v>
      </c>
      <c r="K37" s="123" t="s">
        <v>87</v>
      </c>
      <c r="L37" s="123" t="s">
        <v>87</v>
      </c>
      <c r="M37" s="123" t="s">
        <v>87</v>
      </c>
      <c r="N37" s="123" t="s">
        <v>87</v>
      </c>
    </row>
    <row r="38" spans="1:14" ht="26">
      <c r="A38" s="133"/>
      <c r="B38" s="122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</row>
    <row r="39" spans="1:14" ht="30" customHeight="1">
      <c r="A39" s="124"/>
      <c r="B39" s="156" t="s">
        <v>101</v>
      </c>
      <c r="C39" s="157" t="s">
        <v>102</v>
      </c>
      <c r="D39" s="135" t="s">
        <v>202</v>
      </c>
      <c r="E39" s="135" t="s">
        <v>201</v>
      </c>
      <c r="F39" s="135" t="s">
        <v>103</v>
      </c>
      <c r="G39" s="135" t="s">
        <v>214</v>
      </c>
      <c r="H39" s="135" t="s">
        <v>203</v>
      </c>
      <c r="I39" s="124"/>
      <c r="J39" s="124"/>
      <c r="K39" s="124"/>
      <c r="L39" s="124"/>
      <c r="M39" s="124"/>
      <c r="N39" s="124"/>
    </row>
    <row r="40" spans="1:14">
      <c r="A40" s="124"/>
      <c r="B40" s="137">
        <v>2018</v>
      </c>
      <c r="C40" s="162">
        <v>7</v>
      </c>
      <c r="D40" s="189">
        <f>E40/C40</f>
        <v>8.5829043428571428</v>
      </c>
      <c r="E40" s="162">
        <f>C29</f>
        <v>60.080330400000001</v>
      </c>
      <c r="F40" s="162">
        <v>6.17</v>
      </c>
      <c r="G40" s="162">
        <f>D40*F40</f>
        <v>52.956519795428569</v>
      </c>
      <c r="H40" s="162">
        <f>E40-G40</f>
        <v>7.1238106045714318</v>
      </c>
      <c r="I40" s="124"/>
      <c r="J40" s="124"/>
      <c r="K40" s="124"/>
      <c r="L40" s="124"/>
      <c r="M40" s="124"/>
      <c r="N40" s="124"/>
    </row>
    <row r="41" spans="1:14">
      <c r="A41" s="124"/>
      <c r="B41" s="137">
        <v>2019</v>
      </c>
      <c r="C41" s="162">
        <v>7.5</v>
      </c>
      <c r="D41" s="189">
        <f t="shared" ref="D41:D45" si="2">E41/C41</f>
        <v>8.9018327466666669</v>
      </c>
      <c r="E41" s="162">
        <f>D29</f>
        <v>66.763745600000007</v>
      </c>
      <c r="F41" s="162">
        <v>6.75</v>
      </c>
      <c r="G41" s="162">
        <f t="shared" ref="G41:G45" si="3">D41*F41</f>
        <v>60.087371040000001</v>
      </c>
      <c r="H41" s="162">
        <f t="shared" ref="H41:H45" si="4">E41-G41</f>
        <v>6.6763745600000064</v>
      </c>
      <c r="I41" s="124"/>
      <c r="J41" s="124"/>
      <c r="K41" s="124"/>
      <c r="L41" s="124"/>
      <c r="M41" s="124"/>
      <c r="N41" s="124"/>
    </row>
    <row r="42" spans="1:14">
      <c r="A42" s="124"/>
      <c r="B42" s="137">
        <v>2020</v>
      </c>
      <c r="C42" s="162">
        <v>8</v>
      </c>
      <c r="D42" s="189">
        <f t="shared" si="2"/>
        <v>6.06225215</v>
      </c>
      <c r="E42" s="162">
        <f>E29</f>
        <v>48.4980172</v>
      </c>
      <c r="F42" s="162">
        <v>7.64</v>
      </c>
      <c r="G42" s="162">
        <f t="shared" si="3"/>
        <v>46.315606425999995</v>
      </c>
      <c r="H42" s="162">
        <f t="shared" si="4"/>
        <v>2.1824107740000045</v>
      </c>
      <c r="I42" s="124"/>
      <c r="J42" s="124"/>
      <c r="K42" s="124"/>
      <c r="L42" s="124"/>
      <c r="M42" s="124"/>
      <c r="N42" s="124"/>
    </row>
    <row r="43" spans="1:14" ht="21" customHeight="1">
      <c r="A43" s="124"/>
      <c r="B43" s="137">
        <v>2021</v>
      </c>
      <c r="C43" s="162">
        <v>9</v>
      </c>
      <c r="D43" s="189">
        <f t="shared" si="2"/>
        <v>6.3371749333333334</v>
      </c>
      <c r="E43" s="162">
        <f>F29</f>
        <v>57.034574399999997</v>
      </c>
      <c r="F43" s="162">
        <v>8.0500000000000007</v>
      </c>
      <c r="G43" s="162">
        <f t="shared" si="3"/>
        <v>51.014258213333335</v>
      </c>
      <c r="H43" s="162">
        <f t="shared" si="4"/>
        <v>6.0203161866666619</v>
      </c>
      <c r="I43" s="124"/>
      <c r="J43" s="124"/>
      <c r="K43" s="124"/>
      <c r="L43" s="124"/>
      <c r="M43" s="124"/>
      <c r="N43" s="124"/>
    </row>
    <row r="44" spans="1:14">
      <c r="A44" s="124"/>
      <c r="B44" s="137">
        <v>2022</v>
      </c>
      <c r="C44" s="162">
        <v>9.5</v>
      </c>
      <c r="D44" s="189">
        <f t="shared" si="2"/>
        <v>8.2803067368421051</v>
      </c>
      <c r="E44" s="162">
        <f>G29</f>
        <v>78.662914000000001</v>
      </c>
      <c r="F44" s="162">
        <v>8.4499999999999993</v>
      </c>
      <c r="G44" s="162">
        <f t="shared" si="3"/>
        <v>69.968591926315781</v>
      </c>
      <c r="H44" s="162">
        <f t="shared" si="4"/>
        <v>8.6943220736842193</v>
      </c>
      <c r="I44" s="124"/>
      <c r="J44" s="124"/>
      <c r="K44" s="124"/>
      <c r="L44" s="124"/>
      <c r="M44" s="124"/>
      <c r="N44" s="124"/>
    </row>
    <row r="45" spans="1:14">
      <c r="A45" s="124"/>
      <c r="B45" s="137">
        <v>2023</v>
      </c>
      <c r="C45" s="162">
        <v>10</v>
      </c>
      <c r="D45" s="189">
        <f t="shared" si="2"/>
        <v>9.0680624400000003</v>
      </c>
      <c r="E45" s="162">
        <f>H29</f>
        <v>90.680624399999999</v>
      </c>
      <c r="F45" s="162">
        <v>8.77</v>
      </c>
      <c r="G45" s="162">
        <f t="shared" si="3"/>
        <v>79.526907598799994</v>
      </c>
      <c r="H45" s="162">
        <f t="shared" si="4"/>
        <v>11.153716801200005</v>
      </c>
      <c r="I45" s="124"/>
      <c r="J45" s="124"/>
      <c r="K45" s="124"/>
      <c r="L45" s="124"/>
      <c r="M45" s="124"/>
      <c r="N45" s="124"/>
    </row>
    <row r="46" spans="1:14" ht="15" thickBot="1">
      <c r="A46" s="124"/>
      <c r="B46" s="159" t="s">
        <v>179</v>
      </c>
      <c r="C46" s="193">
        <f>SUM(C40:C45)</f>
        <v>51</v>
      </c>
      <c r="D46" s="195">
        <f t="shared" ref="D46:H46" si="5">SUM(D40:D45)</f>
        <v>47.232533349699246</v>
      </c>
      <c r="E46" s="193">
        <f t="shared" si="5"/>
        <v>401.72020600000002</v>
      </c>
      <c r="F46" s="194">
        <f t="shared" si="5"/>
        <v>45.83</v>
      </c>
      <c r="G46" s="194">
        <f t="shared" si="5"/>
        <v>359.86925499987768</v>
      </c>
      <c r="H46" s="194">
        <f t="shared" si="5"/>
        <v>41.850951000122329</v>
      </c>
      <c r="I46" s="124"/>
      <c r="J46" s="124"/>
      <c r="K46" s="124"/>
      <c r="L46" s="124"/>
      <c r="M46" s="124"/>
      <c r="N46" s="124"/>
    </row>
    <row r="47" spans="1:14" ht="21.5" thickBot="1">
      <c r="A47" s="124"/>
      <c r="B47" s="124"/>
      <c r="C47" s="116" t="s">
        <v>199</v>
      </c>
      <c r="D47" s="117" t="s">
        <v>200</v>
      </c>
      <c r="E47" s="118" t="s">
        <v>176</v>
      </c>
      <c r="F47" s="124"/>
      <c r="G47" s="124"/>
      <c r="H47" s="124"/>
      <c r="I47" s="124"/>
      <c r="J47" s="124"/>
      <c r="K47" s="124"/>
      <c r="L47" s="124"/>
      <c r="M47" s="124"/>
      <c r="N47" s="124"/>
    </row>
    <row r="48" spans="1:14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</row>
    <row r="49" spans="1:14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</row>
    <row r="50" spans="1:14">
      <c r="A50" s="124"/>
      <c r="B50" s="12" t="s">
        <v>101</v>
      </c>
      <c r="C50" s="134" t="s">
        <v>104</v>
      </c>
      <c r="D50" s="134" t="s">
        <v>204</v>
      </c>
      <c r="E50" s="136" t="s">
        <v>205</v>
      </c>
      <c r="F50" s="136" t="s">
        <v>106</v>
      </c>
      <c r="G50" s="136" t="s">
        <v>215</v>
      </c>
      <c r="H50" s="136" t="s">
        <v>206</v>
      </c>
      <c r="I50" s="124"/>
      <c r="J50" s="124"/>
      <c r="K50" s="124"/>
      <c r="L50" s="124"/>
      <c r="M50" s="124"/>
      <c r="N50" s="124"/>
    </row>
    <row r="51" spans="1:14">
      <c r="A51" s="124"/>
      <c r="B51" s="132">
        <v>2018</v>
      </c>
      <c r="C51" s="143">
        <v>3</v>
      </c>
      <c r="D51" s="196">
        <f>E51/C51</f>
        <v>5.0066942000000001</v>
      </c>
      <c r="E51" s="143">
        <f>C30</f>
        <v>15.0200826</v>
      </c>
      <c r="F51" s="143">
        <v>1.8</v>
      </c>
      <c r="G51" s="143">
        <f>D51*F51</f>
        <v>9.0120495600000012</v>
      </c>
      <c r="H51" s="143">
        <f>E51-G51</f>
        <v>6.008033039999999</v>
      </c>
      <c r="I51" s="124"/>
      <c r="J51" s="124"/>
      <c r="K51" s="124"/>
      <c r="L51" s="124"/>
      <c r="M51" s="124"/>
      <c r="N51" s="124"/>
    </row>
    <row r="52" spans="1:14">
      <c r="A52" s="124"/>
      <c r="B52" s="132">
        <v>2019</v>
      </c>
      <c r="C52" s="143">
        <v>3.5</v>
      </c>
      <c r="D52" s="196">
        <f t="shared" ref="D52:D56" si="6">E52/C52</f>
        <v>4.7688389714285719</v>
      </c>
      <c r="E52" s="143">
        <f>D30</f>
        <v>16.690936400000002</v>
      </c>
      <c r="F52" s="143">
        <v>1.95</v>
      </c>
      <c r="G52" s="143">
        <f t="shared" ref="G52:G56" si="7">D52*F52</f>
        <v>9.2992359942857146</v>
      </c>
      <c r="H52" s="143">
        <f t="shared" ref="H52:H56" si="8">E52-G52</f>
        <v>7.3917004057142872</v>
      </c>
      <c r="I52" s="124"/>
      <c r="J52" s="124"/>
      <c r="K52" s="124"/>
      <c r="L52" s="124"/>
      <c r="M52" s="124"/>
      <c r="N52" s="124"/>
    </row>
    <row r="53" spans="1:14">
      <c r="A53" s="124"/>
      <c r="B53" s="132">
        <v>2020</v>
      </c>
      <c r="C53" s="143">
        <v>4</v>
      </c>
      <c r="D53" s="196">
        <f t="shared" si="6"/>
        <v>3.031126075</v>
      </c>
      <c r="E53" s="143">
        <f>E30</f>
        <v>12.1245043</v>
      </c>
      <c r="F53" s="143">
        <v>2.25</v>
      </c>
      <c r="G53" s="143">
        <f t="shared" si="7"/>
        <v>6.8200336687499998</v>
      </c>
      <c r="H53" s="143">
        <f t="shared" si="8"/>
        <v>5.3044706312500001</v>
      </c>
      <c r="I53" s="124"/>
      <c r="J53" s="124"/>
      <c r="K53" s="124"/>
      <c r="L53" s="124"/>
      <c r="M53" s="124"/>
      <c r="N53" s="124"/>
    </row>
    <row r="54" spans="1:14">
      <c r="A54" s="124"/>
      <c r="B54" s="132">
        <v>2021</v>
      </c>
      <c r="C54" s="143">
        <v>5</v>
      </c>
      <c r="D54" s="196">
        <f t="shared" si="6"/>
        <v>2.8517287199999997</v>
      </c>
      <c r="E54" s="143">
        <f>F30</f>
        <v>14.258643599999999</v>
      </c>
      <c r="F54" s="143">
        <v>3.5</v>
      </c>
      <c r="G54" s="143">
        <f t="shared" si="7"/>
        <v>9.9810505199999984</v>
      </c>
      <c r="H54" s="143">
        <f t="shared" si="8"/>
        <v>4.2775930800000008</v>
      </c>
      <c r="I54" s="124"/>
      <c r="J54" s="124"/>
      <c r="K54" s="124"/>
      <c r="L54" s="124"/>
      <c r="M54" s="124"/>
      <c r="N54" s="124"/>
    </row>
    <row r="55" spans="1:14">
      <c r="A55" s="124"/>
      <c r="B55" s="132">
        <v>2022</v>
      </c>
      <c r="C55" s="143">
        <v>5.5</v>
      </c>
      <c r="D55" s="196">
        <f t="shared" si="6"/>
        <v>3.5755870000000001</v>
      </c>
      <c r="E55" s="143">
        <f>G30</f>
        <v>19.6657285</v>
      </c>
      <c r="F55" s="143">
        <v>3.8</v>
      </c>
      <c r="G55" s="143">
        <f t="shared" si="7"/>
        <v>13.5872306</v>
      </c>
      <c r="H55" s="143">
        <f t="shared" si="8"/>
        <v>6.0784979000000003</v>
      </c>
      <c r="I55" s="124"/>
      <c r="J55" s="124"/>
      <c r="K55" s="124"/>
      <c r="L55" s="124"/>
      <c r="M55" s="124"/>
      <c r="N55" s="124"/>
    </row>
    <row r="56" spans="1:14">
      <c r="A56" s="124"/>
      <c r="B56" s="132">
        <v>2023</v>
      </c>
      <c r="C56" s="143">
        <v>6</v>
      </c>
      <c r="D56" s="196">
        <f t="shared" si="6"/>
        <v>3.7783593500000001</v>
      </c>
      <c r="E56" s="143">
        <f>H30</f>
        <v>22.6701561</v>
      </c>
      <c r="F56" s="143">
        <v>4.2</v>
      </c>
      <c r="G56" s="143">
        <f t="shared" si="7"/>
        <v>15.869109270000001</v>
      </c>
      <c r="H56" s="143">
        <f t="shared" si="8"/>
        <v>6.8010468299999989</v>
      </c>
      <c r="I56" s="124"/>
      <c r="J56" s="124"/>
      <c r="K56" s="124"/>
      <c r="L56" s="124"/>
      <c r="M56" s="124"/>
      <c r="N56" s="124"/>
    </row>
    <row r="57" spans="1:14" ht="15" thickBot="1">
      <c r="A57" s="124"/>
      <c r="B57" s="138" t="s">
        <v>179</v>
      </c>
      <c r="C57" s="192">
        <f>SUM(C51:C56)</f>
        <v>27</v>
      </c>
      <c r="D57" s="197">
        <f t="shared" ref="D57" si="9">SUM(D51:D56)</f>
        <v>23.012334316428568</v>
      </c>
      <c r="E57" s="192">
        <f t="shared" ref="E57" si="10">SUM(E51:E56)</f>
        <v>100.4300515</v>
      </c>
      <c r="F57" s="161">
        <f t="shared" ref="F57" si="11">SUM(F51:F56)</f>
        <v>17.5</v>
      </c>
      <c r="G57" s="161">
        <f t="shared" ref="G57" si="12">SUM(G51:G56)</f>
        <v>64.568709613035708</v>
      </c>
      <c r="H57" s="161">
        <f t="shared" ref="H57" si="13">SUM(H51:H56)</f>
        <v>35.86134188696429</v>
      </c>
      <c r="I57" s="124"/>
      <c r="J57" s="124"/>
      <c r="K57" s="124"/>
      <c r="L57" s="124"/>
      <c r="M57" s="124"/>
      <c r="N57" s="124"/>
    </row>
    <row r="58" spans="1:14" ht="21.5" thickBot="1">
      <c r="A58" s="124"/>
      <c r="B58" s="124"/>
      <c r="C58" s="153" t="s">
        <v>199</v>
      </c>
      <c r="D58" s="154" t="s">
        <v>200</v>
      </c>
      <c r="E58" s="155" t="s">
        <v>177</v>
      </c>
      <c r="F58" s="124"/>
      <c r="G58" s="124"/>
      <c r="H58" s="124"/>
      <c r="I58" s="124"/>
      <c r="J58" s="124"/>
      <c r="K58" s="124"/>
      <c r="L58" s="124"/>
      <c r="M58" s="124"/>
      <c r="N58" s="124"/>
    </row>
    <row r="59" spans="1:14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</row>
    <row r="60" spans="1:14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</row>
    <row r="61" spans="1:14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</row>
    <row r="62" spans="1:14">
      <c r="A62" s="124"/>
      <c r="B62" s="12" t="s">
        <v>101</v>
      </c>
      <c r="C62" s="134" t="s">
        <v>108</v>
      </c>
      <c r="D62" s="134" t="s">
        <v>207</v>
      </c>
      <c r="E62" s="136" t="s">
        <v>208</v>
      </c>
      <c r="F62" s="136" t="s">
        <v>110</v>
      </c>
      <c r="G62" s="136" t="s">
        <v>216</v>
      </c>
      <c r="H62" s="136" t="s">
        <v>209</v>
      </c>
      <c r="I62" s="124"/>
      <c r="J62" s="124"/>
      <c r="K62" s="124"/>
      <c r="L62" s="124"/>
      <c r="M62" s="124"/>
      <c r="N62" s="124"/>
    </row>
    <row r="63" spans="1:14">
      <c r="A63" s="124"/>
      <c r="B63" s="132">
        <v>2018</v>
      </c>
      <c r="C63" s="143">
        <v>9</v>
      </c>
      <c r="D63" s="196">
        <f>E63/C63</f>
        <v>8.3444903333333329</v>
      </c>
      <c r="E63" s="143">
        <f>C31</f>
        <v>75.100413000000003</v>
      </c>
      <c r="F63" s="143">
        <v>7.93</v>
      </c>
      <c r="G63" s="143">
        <f>D63*F63</f>
        <v>66.171808343333325</v>
      </c>
      <c r="H63" s="143">
        <f>E63-G63</f>
        <v>8.9286046566666784</v>
      </c>
      <c r="I63" s="124"/>
      <c r="J63" s="124"/>
      <c r="K63" s="140"/>
      <c r="L63" s="124"/>
      <c r="M63" s="124"/>
      <c r="N63" s="124"/>
    </row>
    <row r="64" spans="1:14">
      <c r="A64" s="124"/>
      <c r="B64" s="132">
        <v>2019</v>
      </c>
      <c r="C64" s="143">
        <v>9.5</v>
      </c>
      <c r="D64" s="196">
        <f t="shared" ref="D64:D68" si="14">E64/C64</f>
        <v>8.784703368421054</v>
      </c>
      <c r="E64" s="143">
        <f>D31</f>
        <v>83.454682000000005</v>
      </c>
      <c r="F64" s="143">
        <v>8.5500000000000007</v>
      </c>
      <c r="G64" s="143">
        <f t="shared" ref="G64:G68" si="15">D64*F64</f>
        <v>75.10921380000002</v>
      </c>
      <c r="H64" s="143">
        <f t="shared" ref="H64:H68" si="16">E64-G64</f>
        <v>8.3454681999999849</v>
      </c>
      <c r="I64" s="124"/>
      <c r="J64" s="124"/>
      <c r="K64" s="124"/>
      <c r="L64" s="124"/>
      <c r="M64" s="124"/>
      <c r="N64" s="124"/>
    </row>
    <row r="65" spans="1:14">
      <c r="A65" s="124"/>
      <c r="B65" s="132">
        <v>2020</v>
      </c>
      <c r="C65" s="143">
        <v>10</v>
      </c>
      <c r="D65" s="196">
        <f t="shared" si="14"/>
        <v>6.06225215</v>
      </c>
      <c r="E65" s="143">
        <f>E31</f>
        <v>60.622521499999998</v>
      </c>
      <c r="F65" s="143">
        <v>9.5399999999999991</v>
      </c>
      <c r="G65" s="143">
        <f t="shared" si="15"/>
        <v>57.833885510999991</v>
      </c>
      <c r="H65" s="143">
        <f t="shared" si="16"/>
        <v>2.7886359890000065</v>
      </c>
      <c r="I65" s="124"/>
      <c r="J65" s="124"/>
      <c r="K65" s="124"/>
      <c r="L65" s="124"/>
      <c r="M65" s="124"/>
      <c r="N65" s="124"/>
    </row>
    <row r="66" spans="1:14">
      <c r="A66" s="124"/>
      <c r="B66" s="132">
        <v>2021</v>
      </c>
      <c r="C66" s="143">
        <v>11</v>
      </c>
      <c r="D66" s="196">
        <f t="shared" si="14"/>
        <v>6.481201636363636</v>
      </c>
      <c r="E66" s="143">
        <f>F31</f>
        <v>71.293217999999996</v>
      </c>
      <c r="F66" s="143">
        <v>9.84</v>
      </c>
      <c r="G66" s="143">
        <f t="shared" si="15"/>
        <v>63.775024101818175</v>
      </c>
      <c r="H66" s="143">
        <f t="shared" si="16"/>
        <v>7.5181938981818206</v>
      </c>
      <c r="I66" s="124"/>
      <c r="J66" s="124"/>
      <c r="K66" s="124"/>
      <c r="L66" s="124"/>
      <c r="M66" s="124"/>
      <c r="N66" s="124"/>
    </row>
    <row r="67" spans="1:14">
      <c r="A67" s="124"/>
      <c r="B67" s="132">
        <v>2022</v>
      </c>
      <c r="C67" s="143">
        <v>11.5</v>
      </c>
      <c r="D67" s="196">
        <f t="shared" si="14"/>
        <v>8.5503167391304356</v>
      </c>
      <c r="E67" s="143">
        <f>G31</f>
        <v>98.328642500000001</v>
      </c>
      <c r="F67" s="143">
        <v>10.23</v>
      </c>
      <c r="G67" s="143">
        <f t="shared" si="15"/>
        <v>87.469740241304365</v>
      </c>
      <c r="H67" s="143">
        <f t="shared" si="16"/>
        <v>10.858902258695636</v>
      </c>
      <c r="I67" s="124"/>
      <c r="J67" s="124"/>
      <c r="K67" s="124"/>
      <c r="L67" s="124"/>
      <c r="M67" s="124"/>
      <c r="N67" s="124"/>
    </row>
    <row r="68" spans="1:14">
      <c r="A68" s="124"/>
      <c r="B68" s="132">
        <v>2023</v>
      </c>
      <c r="C68" s="143">
        <v>12</v>
      </c>
      <c r="D68" s="196">
        <f t="shared" si="14"/>
        <v>9.4458983750000005</v>
      </c>
      <c r="E68" s="143">
        <f>H31</f>
        <v>113.3507805</v>
      </c>
      <c r="F68" s="143">
        <v>10.52</v>
      </c>
      <c r="G68" s="143">
        <f t="shared" si="15"/>
        <v>99.370850904999998</v>
      </c>
      <c r="H68" s="143">
        <f t="shared" si="16"/>
        <v>13.979929595000002</v>
      </c>
      <c r="I68" s="124"/>
      <c r="J68" s="124"/>
      <c r="K68" s="124"/>
      <c r="L68" s="124"/>
      <c r="M68" s="124"/>
      <c r="N68" s="124"/>
    </row>
    <row r="69" spans="1:14" ht="15" thickBot="1">
      <c r="A69" s="124"/>
      <c r="B69" s="138" t="s">
        <v>179</v>
      </c>
      <c r="C69" s="192">
        <f>SUM(C63:C68)</f>
        <v>63</v>
      </c>
      <c r="D69" s="197">
        <f t="shared" ref="D69" si="17">SUM(D63:D68)</f>
        <v>47.66886260224846</v>
      </c>
      <c r="E69" s="192">
        <f t="shared" ref="E69" si="18">SUM(E63:E68)</f>
        <v>502.15025750000001</v>
      </c>
      <c r="F69" s="161">
        <f t="shared" ref="F69" si="19">SUM(F63:F68)</f>
        <v>56.61</v>
      </c>
      <c r="G69" s="161">
        <f t="shared" ref="G69" si="20">SUM(G63:G68)</f>
        <v>449.7305229024559</v>
      </c>
      <c r="H69" s="161">
        <f t="shared" ref="H69" si="21">SUM(H63:H68)</f>
        <v>52.419734597544128</v>
      </c>
      <c r="I69" s="124"/>
      <c r="J69" s="124"/>
      <c r="K69" s="124"/>
      <c r="L69" s="124"/>
      <c r="M69" s="124"/>
      <c r="N69" s="124"/>
    </row>
    <row r="70" spans="1:14" ht="21.5" thickBot="1">
      <c r="A70" s="124"/>
      <c r="B70" s="124"/>
      <c r="C70" s="116" t="s">
        <v>199</v>
      </c>
      <c r="D70" s="117" t="s">
        <v>200</v>
      </c>
      <c r="E70" s="152" t="s">
        <v>178</v>
      </c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4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</row>
    <row r="72" spans="1:14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</row>
    <row r="73" spans="1:14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</row>
    <row r="74" spans="1:14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</row>
    <row r="75" spans="1:14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</row>
    <row r="76" spans="1:14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</row>
    <row r="77" spans="1:14" ht="26">
      <c r="A77" s="119" t="s">
        <v>112</v>
      </c>
      <c r="B77" s="120"/>
      <c r="C77" s="121" t="s">
        <v>87</v>
      </c>
      <c r="D77" s="121" t="s">
        <v>87</v>
      </c>
      <c r="E77" s="121" t="s">
        <v>87</v>
      </c>
      <c r="F77" s="121" t="s">
        <v>87</v>
      </c>
      <c r="G77" s="121" t="s">
        <v>87</v>
      </c>
      <c r="H77" s="121" t="s">
        <v>87</v>
      </c>
      <c r="I77" s="123" t="s">
        <v>87</v>
      </c>
      <c r="J77" s="123" t="s">
        <v>87</v>
      </c>
      <c r="K77" s="123" t="s">
        <v>87</v>
      </c>
      <c r="L77" s="123" t="s">
        <v>87</v>
      </c>
      <c r="M77" s="123" t="s">
        <v>87</v>
      </c>
      <c r="N77" s="123" t="s">
        <v>87</v>
      </c>
    </row>
    <row r="81" spans="2:17" ht="15.5">
      <c r="B81" s="142" t="s">
        <v>113</v>
      </c>
      <c r="C81" s="142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</row>
    <row r="82" spans="2:17"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</row>
    <row r="83" spans="2:17" ht="14.5" customHeight="1">
      <c r="B83" s="240" t="s">
        <v>114</v>
      </c>
      <c r="C83" s="241"/>
      <c r="D83" s="241"/>
      <c r="E83" s="241"/>
      <c r="F83" s="241"/>
      <c r="G83" s="241"/>
      <c r="H83" s="241"/>
      <c r="I83" s="124"/>
      <c r="J83" s="124"/>
      <c r="K83" s="124"/>
      <c r="L83" s="124"/>
      <c r="M83" s="124"/>
      <c r="N83" s="124"/>
      <c r="O83" s="124"/>
      <c r="P83" s="124"/>
      <c r="Q83" s="124"/>
    </row>
    <row r="84" spans="2:17" ht="27.65" customHeight="1">
      <c r="B84" s="156" t="s">
        <v>101</v>
      </c>
      <c r="C84" s="157" t="s">
        <v>102</v>
      </c>
      <c r="D84" s="135" t="s">
        <v>115</v>
      </c>
      <c r="E84" s="135" t="s">
        <v>90</v>
      </c>
      <c r="F84" s="135" t="s">
        <v>103</v>
      </c>
      <c r="G84" s="157" t="s">
        <v>117</v>
      </c>
      <c r="H84" s="157" t="s">
        <v>210</v>
      </c>
      <c r="I84" s="124"/>
      <c r="J84" s="124"/>
      <c r="K84" s="124"/>
      <c r="L84" s="124"/>
      <c r="M84" s="124"/>
      <c r="N84" s="124"/>
      <c r="O84" s="124"/>
      <c r="P84" s="124"/>
      <c r="Q84" s="124"/>
    </row>
    <row r="85" spans="2:17">
      <c r="B85" s="137">
        <v>2018</v>
      </c>
      <c r="C85" s="162">
        <v>7</v>
      </c>
      <c r="D85" s="189">
        <v>8.5829043428571428</v>
      </c>
      <c r="E85" s="162">
        <v>60.080330400000001</v>
      </c>
      <c r="F85" s="162">
        <v>6.17</v>
      </c>
      <c r="G85" s="162">
        <v>52.956519795428569</v>
      </c>
      <c r="H85" s="162">
        <v>7.12381060457143</v>
      </c>
      <c r="I85" s="124"/>
      <c r="J85" s="124"/>
      <c r="K85" s="124"/>
      <c r="L85" s="124"/>
      <c r="M85" s="124"/>
      <c r="N85" s="124"/>
      <c r="O85" s="124"/>
      <c r="P85" s="124"/>
      <c r="Q85" s="124"/>
    </row>
    <row r="86" spans="2:17">
      <c r="B86" s="137">
        <v>2019</v>
      </c>
      <c r="C86" s="162">
        <v>7.5</v>
      </c>
      <c r="D86" s="189">
        <v>8.9018327466666669</v>
      </c>
      <c r="E86" s="162">
        <v>66.763745600000007</v>
      </c>
      <c r="F86" s="162">
        <v>6.75</v>
      </c>
      <c r="G86" s="162">
        <v>60.087371040000001</v>
      </c>
      <c r="H86" s="162">
        <v>6.6763745600000064</v>
      </c>
      <c r="I86" s="124"/>
      <c r="J86" s="124"/>
      <c r="K86" s="124"/>
      <c r="L86" s="124"/>
      <c r="M86" s="124"/>
      <c r="N86" s="124"/>
      <c r="O86" s="124"/>
      <c r="P86" s="124"/>
      <c r="Q86" s="124"/>
    </row>
    <row r="87" spans="2:17">
      <c r="B87" s="137">
        <v>2020</v>
      </c>
      <c r="C87" s="162">
        <v>8</v>
      </c>
      <c r="D87" s="189">
        <v>6.06225215</v>
      </c>
      <c r="E87" s="162">
        <v>48.4980172</v>
      </c>
      <c r="F87" s="162">
        <v>7.64</v>
      </c>
      <c r="G87" s="162">
        <v>46.315606425999995</v>
      </c>
      <c r="H87" s="162">
        <v>2.1824107740000045</v>
      </c>
      <c r="I87" s="124"/>
      <c r="J87" s="124"/>
      <c r="K87" s="124"/>
      <c r="L87" s="124"/>
      <c r="M87" s="124"/>
      <c r="N87" s="124"/>
      <c r="O87" s="124"/>
      <c r="P87" s="124"/>
      <c r="Q87" s="124"/>
    </row>
    <row r="88" spans="2:17">
      <c r="B88" s="137">
        <v>2021</v>
      </c>
      <c r="C88" s="162">
        <v>9</v>
      </c>
      <c r="D88" s="189">
        <v>6.3371749333333334</v>
      </c>
      <c r="E88" s="162">
        <v>57.034574399999997</v>
      </c>
      <c r="F88" s="162">
        <v>8.0500000000000007</v>
      </c>
      <c r="G88" s="162">
        <v>51.014258213333335</v>
      </c>
      <c r="H88" s="162">
        <v>6.0203161866666619</v>
      </c>
      <c r="I88" s="124"/>
      <c r="J88" s="124"/>
      <c r="K88" s="124"/>
      <c r="L88" s="124"/>
      <c r="M88" s="124"/>
      <c r="N88" s="124"/>
      <c r="O88" s="124"/>
      <c r="P88" s="124"/>
      <c r="Q88" s="124"/>
    </row>
    <row r="89" spans="2:17">
      <c r="B89" s="137">
        <v>2022</v>
      </c>
      <c r="C89" s="162">
        <v>9.5</v>
      </c>
      <c r="D89" s="189">
        <v>8.2803067368421051</v>
      </c>
      <c r="E89" s="162">
        <v>78.662914000000001</v>
      </c>
      <c r="F89" s="162">
        <v>8.4499999999999993</v>
      </c>
      <c r="G89" s="162">
        <v>69.968591926315781</v>
      </c>
      <c r="H89" s="162">
        <v>8.6943220736842193</v>
      </c>
      <c r="I89" s="124"/>
      <c r="J89" s="124"/>
      <c r="K89" s="124"/>
      <c r="L89" s="124"/>
      <c r="M89" s="124"/>
      <c r="N89" s="124"/>
      <c r="O89" s="124"/>
      <c r="P89" s="124"/>
      <c r="Q89" s="124"/>
    </row>
    <row r="90" spans="2:17">
      <c r="B90" s="137">
        <v>2023</v>
      </c>
      <c r="C90" s="162">
        <v>10</v>
      </c>
      <c r="D90" s="189">
        <v>9.0680624400000003</v>
      </c>
      <c r="E90" s="162">
        <v>90.680624399999999</v>
      </c>
      <c r="F90" s="162">
        <v>8.77</v>
      </c>
      <c r="G90" s="162">
        <v>79.526907598799994</v>
      </c>
      <c r="H90" s="162">
        <v>11.153716801200005</v>
      </c>
      <c r="I90" s="124"/>
      <c r="J90" s="124"/>
      <c r="K90" s="124"/>
      <c r="L90" s="124"/>
      <c r="M90" s="124"/>
      <c r="N90" s="124"/>
      <c r="O90" s="124"/>
      <c r="P90" s="124"/>
      <c r="Q90" s="124"/>
    </row>
    <row r="91" spans="2:17">
      <c r="B91" s="160" t="s">
        <v>119</v>
      </c>
      <c r="C91" s="161">
        <f>AVERAGE(C85:C90)</f>
        <v>8.5</v>
      </c>
      <c r="D91" s="191">
        <f>AVERAGE(D85:D90)</f>
        <v>7.8720888916165412</v>
      </c>
      <c r="E91" s="144"/>
      <c r="F91" s="144"/>
      <c r="G91" s="144"/>
      <c r="H91" s="144"/>
      <c r="I91" s="124"/>
      <c r="J91" s="124"/>
      <c r="K91" s="124"/>
      <c r="L91" s="124"/>
      <c r="M91" s="124"/>
      <c r="N91" s="124"/>
      <c r="O91" s="124"/>
      <c r="P91" s="124"/>
      <c r="Q91" s="124"/>
    </row>
    <row r="92" spans="2:17">
      <c r="B92" s="160" t="s">
        <v>120</v>
      </c>
      <c r="C92" s="138">
        <f>STDEV(C85:C90)</f>
        <v>1.1832159566199232</v>
      </c>
      <c r="D92" s="191">
        <f>STDEV(D85:D90)</f>
        <v>1.3262047685758958</v>
      </c>
      <c r="E92" s="144"/>
      <c r="F92" s="144"/>
      <c r="G92" s="144"/>
      <c r="H92" s="144"/>
      <c r="I92" s="124"/>
      <c r="J92" s="124"/>
      <c r="K92" s="124"/>
      <c r="L92" s="124"/>
      <c r="M92" s="124"/>
      <c r="N92" s="124"/>
      <c r="O92" s="124"/>
      <c r="P92" s="124"/>
      <c r="Q92" s="124"/>
    </row>
    <row r="93" spans="2:17">
      <c r="B93" s="145"/>
      <c r="C93" s="144"/>
      <c r="D93" s="144"/>
      <c r="E93" s="144"/>
      <c r="F93" s="144"/>
      <c r="G93" s="144"/>
      <c r="H93" s="144"/>
      <c r="I93" s="124"/>
      <c r="J93" s="124"/>
      <c r="K93" s="124"/>
      <c r="L93" s="124"/>
      <c r="M93" s="124"/>
      <c r="N93" s="124"/>
      <c r="O93" s="124"/>
      <c r="P93" s="124"/>
      <c r="Q93" s="124"/>
    </row>
    <row r="94" spans="2:17">
      <c r="B94" s="240" t="s">
        <v>121</v>
      </c>
      <c r="C94" s="241"/>
      <c r="D94" s="241"/>
      <c r="E94" s="241"/>
      <c r="F94" s="241"/>
      <c r="G94" s="241"/>
      <c r="H94" s="241"/>
      <c r="I94" s="124"/>
      <c r="J94" s="124"/>
      <c r="K94" s="124"/>
      <c r="L94" s="124"/>
      <c r="M94" s="124"/>
      <c r="N94" s="124"/>
      <c r="O94" s="124"/>
      <c r="P94" s="124"/>
      <c r="Q94" s="124"/>
    </row>
    <row r="95" spans="2:17">
      <c r="B95" s="12" t="s">
        <v>101</v>
      </c>
      <c r="C95" s="134" t="s">
        <v>104</v>
      </c>
      <c r="D95" s="134" t="s">
        <v>105</v>
      </c>
      <c r="E95" s="136" t="s">
        <v>92</v>
      </c>
      <c r="F95" s="136" t="s">
        <v>106</v>
      </c>
      <c r="G95" s="136" t="s">
        <v>217</v>
      </c>
      <c r="H95" s="136" t="s">
        <v>107</v>
      </c>
      <c r="I95" s="124"/>
      <c r="J95" s="124"/>
      <c r="K95" s="124"/>
      <c r="L95" s="124"/>
      <c r="M95" s="124"/>
      <c r="N95" s="124"/>
      <c r="O95" s="124"/>
      <c r="P95" s="124"/>
      <c r="Q95" s="124"/>
    </row>
    <row r="96" spans="2:17">
      <c r="B96" s="137">
        <v>2018</v>
      </c>
      <c r="C96" s="143">
        <v>3</v>
      </c>
      <c r="D96" s="190">
        <v>5.0066942000000001</v>
      </c>
      <c r="E96" s="143">
        <v>15.0200826</v>
      </c>
      <c r="F96" s="143">
        <v>1.8</v>
      </c>
      <c r="G96" s="143">
        <v>9.0120495600000012</v>
      </c>
      <c r="H96" s="143">
        <v>6.008033039999999</v>
      </c>
      <c r="I96" s="124"/>
      <c r="J96" s="124"/>
      <c r="K96" s="124"/>
      <c r="L96" s="124"/>
      <c r="M96" s="124"/>
      <c r="N96" s="124"/>
      <c r="O96" s="124"/>
      <c r="P96" s="124"/>
      <c r="Q96" s="124"/>
    </row>
    <row r="97" spans="2:17">
      <c r="B97" s="137">
        <v>2019</v>
      </c>
      <c r="C97" s="143">
        <v>3.5</v>
      </c>
      <c r="D97" s="190">
        <v>4.7688389714285719</v>
      </c>
      <c r="E97" s="143">
        <v>16.690936400000002</v>
      </c>
      <c r="F97" s="143">
        <v>1.95</v>
      </c>
      <c r="G97" s="143">
        <v>9.2992359942857146</v>
      </c>
      <c r="H97" s="143">
        <v>7.3917004057142872</v>
      </c>
      <c r="I97" s="124"/>
      <c r="J97" s="124"/>
      <c r="K97" s="124"/>
      <c r="L97" s="124"/>
      <c r="M97" s="124"/>
      <c r="N97" s="124"/>
      <c r="O97" s="124"/>
      <c r="P97" s="124"/>
      <c r="Q97" s="124"/>
    </row>
    <row r="98" spans="2:17">
      <c r="B98" s="137">
        <v>2020</v>
      </c>
      <c r="C98" s="143">
        <v>4</v>
      </c>
      <c r="D98" s="190">
        <v>3.031126075</v>
      </c>
      <c r="E98" s="143">
        <v>12.1245043</v>
      </c>
      <c r="F98" s="143">
        <v>2.25</v>
      </c>
      <c r="G98" s="143">
        <v>6.8200336687499998</v>
      </c>
      <c r="H98" s="143">
        <v>5.3044706312500001</v>
      </c>
      <c r="I98" s="124"/>
      <c r="J98" s="124"/>
      <c r="K98" s="124"/>
      <c r="L98" s="124"/>
      <c r="M98" s="124"/>
      <c r="N98" s="124"/>
      <c r="O98" s="124"/>
      <c r="P98" s="124"/>
      <c r="Q98" s="124"/>
    </row>
    <row r="99" spans="2:17">
      <c r="B99" s="137">
        <v>2021</v>
      </c>
      <c r="C99" s="143">
        <v>5</v>
      </c>
      <c r="D99" s="190">
        <v>2.8517287199999997</v>
      </c>
      <c r="E99" s="143">
        <v>14.258643599999999</v>
      </c>
      <c r="F99" s="143">
        <v>3.5</v>
      </c>
      <c r="G99" s="143">
        <v>9.9810505199999984</v>
      </c>
      <c r="H99" s="143">
        <v>4.2775930800000008</v>
      </c>
      <c r="I99" s="124"/>
      <c r="J99" s="124"/>
      <c r="K99" s="124"/>
      <c r="L99" s="124"/>
      <c r="M99" s="124"/>
      <c r="N99" s="124"/>
      <c r="O99" s="124"/>
      <c r="P99" s="124"/>
      <c r="Q99" s="124"/>
    </row>
    <row r="100" spans="2:17">
      <c r="B100" s="137">
        <v>2022</v>
      </c>
      <c r="C100" s="143">
        <v>5.5</v>
      </c>
      <c r="D100" s="190">
        <v>3.5755870000000001</v>
      </c>
      <c r="E100" s="143">
        <v>19.6657285</v>
      </c>
      <c r="F100" s="143">
        <v>3.8</v>
      </c>
      <c r="G100" s="143">
        <v>13.5872306</v>
      </c>
      <c r="H100" s="143">
        <v>6.0784979000000003</v>
      </c>
      <c r="I100" s="124"/>
      <c r="J100" s="124"/>
      <c r="K100" s="124"/>
      <c r="L100" s="124"/>
      <c r="M100" s="124"/>
      <c r="N100" s="124"/>
      <c r="O100" s="124"/>
      <c r="P100" s="124"/>
      <c r="Q100" s="124"/>
    </row>
    <row r="101" spans="2:17">
      <c r="B101" s="137">
        <v>2023</v>
      </c>
      <c r="C101" s="143">
        <v>6</v>
      </c>
      <c r="D101" s="190">
        <v>3.7783593500000001</v>
      </c>
      <c r="E101" s="143">
        <v>22.6701561</v>
      </c>
      <c r="F101" s="143">
        <v>4.2</v>
      </c>
      <c r="G101" s="143">
        <v>15.869109270000001</v>
      </c>
      <c r="H101" s="143">
        <v>6.8010468299999989</v>
      </c>
      <c r="I101" s="124"/>
      <c r="J101" s="124"/>
      <c r="K101" s="124"/>
      <c r="L101" s="124"/>
      <c r="M101" s="124"/>
      <c r="N101" s="124"/>
      <c r="O101" s="124"/>
      <c r="P101" s="124"/>
      <c r="Q101" s="124"/>
    </row>
    <row r="102" spans="2:17">
      <c r="B102" s="160" t="s">
        <v>119</v>
      </c>
      <c r="C102" s="161">
        <f>AVERAGE(C96:C101)</f>
        <v>4.5</v>
      </c>
      <c r="D102" s="191">
        <f>AVERAGE(D96:D101)</f>
        <v>3.8353890527380945</v>
      </c>
      <c r="E102" s="144"/>
      <c r="F102" s="144"/>
      <c r="G102" s="144"/>
      <c r="H102" s="144"/>
      <c r="I102" s="124"/>
      <c r="J102" s="124"/>
      <c r="K102" s="124"/>
      <c r="L102" s="124"/>
      <c r="M102" s="124"/>
      <c r="N102" s="124"/>
      <c r="O102" s="124"/>
      <c r="P102" s="124"/>
      <c r="Q102" s="124"/>
    </row>
    <row r="103" spans="2:17">
      <c r="B103" s="160" t="s">
        <v>120</v>
      </c>
      <c r="C103" s="138">
        <f>STDEV(C96:C101)</f>
        <v>1.1832159566199232</v>
      </c>
      <c r="D103" s="191">
        <f>STDEV(D96:D101)</f>
        <v>0.88639275491955694</v>
      </c>
      <c r="E103" s="144"/>
      <c r="F103" s="144"/>
      <c r="G103" s="144"/>
      <c r="H103" s="144"/>
      <c r="I103" s="124"/>
      <c r="J103" s="124"/>
      <c r="K103" s="124"/>
      <c r="L103" s="124"/>
      <c r="M103" s="124"/>
      <c r="N103" s="124"/>
      <c r="O103" s="124"/>
      <c r="P103" s="124"/>
      <c r="Q103" s="124"/>
    </row>
    <row r="104" spans="2:17">
      <c r="B104" s="145"/>
      <c r="C104" s="144"/>
      <c r="D104" s="144"/>
      <c r="E104" s="144"/>
      <c r="F104" s="144"/>
      <c r="G104" s="144"/>
      <c r="H104" s="144"/>
      <c r="I104" s="124"/>
      <c r="J104" s="124"/>
      <c r="K104" s="124"/>
      <c r="L104" s="124"/>
      <c r="M104" s="124"/>
      <c r="N104" s="124"/>
      <c r="O104" s="124"/>
      <c r="P104" s="124"/>
      <c r="Q104" s="124"/>
    </row>
    <row r="105" spans="2:17">
      <c r="B105" s="240" t="s">
        <v>124</v>
      </c>
      <c r="C105" s="241"/>
      <c r="D105" s="241"/>
      <c r="E105" s="241"/>
      <c r="F105" s="241"/>
      <c r="G105" s="241"/>
      <c r="H105" s="241"/>
      <c r="I105" s="124"/>
      <c r="J105" s="124"/>
      <c r="K105" s="124"/>
      <c r="L105" s="124"/>
      <c r="M105" s="124"/>
      <c r="N105" s="124"/>
      <c r="O105" s="124"/>
      <c r="P105" s="124"/>
      <c r="Q105" s="124"/>
    </row>
    <row r="106" spans="2:17">
      <c r="B106" s="12" t="s">
        <v>101</v>
      </c>
      <c r="C106" s="134" t="s">
        <v>108</v>
      </c>
      <c r="D106" s="134" t="s">
        <v>109</v>
      </c>
      <c r="E106" s="136" t="s">
        <v>94</v>
      </c>
      <c r="F106" s="136" t="s">
        <v>110</v>
      </c>
      <c r="G106" s="136" t="s">
        <v>218</v>
      </c>
      <c r="H106" s="136" t="s">
        <v>111</v>
      </c>
      <c r="I106" s="124"/>
      <c r="J106" s="124"/>
      <c r="K106" s="124"/>
      <c r="L106" s="124"/>
      <c r="M106" s="124"/>
      <c r="N106" s="124"/>
      <c r="O106" s="124"/>
      <c r="P106" s="124"/>
      <c r="Q106" s="124"/>
    </row>
    <row r="107" spans="2:17">
      <c r="B107" s="137">
        <v>2018</v>
      </c>
      <c r="C107" s="143">
        <v>9</v>
      </c>
      <c r="D107" s="190">
        <v>8.3444903333333329</v>
      </c>
      <c r="E107" s="143">
        <v>75.100413000000003</v>
      </c>
      <c r="F107" s="143">
        <v>7.93</v>
      </c>
      <c r="G107" s="143">
        <v>66.171808343333325</v>
      </c>
      <c r="H107" s="143">
        <v>8.9286046566666784</v>
      </c>
      <c r="I107" s="124"/>
      <c r="J107" s="124"/>
      <c r="K107" s="124"/>
      <c r="L107" s="124"/>
      <c r="M107" s="124"/>
      <c r="N107" s="124"/>
      <c r="O107" s="124"/>
      <c r="P107" s="124"/>
      <c r="Q107" s="124"/>
    </row>
    <row r="108" spans="2:17">
      <c r="B108" s="137">
        <v>2019</v>
      </c>
      <c r="C108" s="143">
        <v>9.5</v>
      </c>
      <c r="D108" s="190">
        <v>8.784703368421054</v>
      </c>
      <c r="E108" s="143">
        <v>83.454682000000005</v>
      </c>
      <c r="F108" s="143">
        <v>8.5500000000000007</v>
      </c>
      <c r="G108" s="143">
        <v>75.10921380000002</v>
      </c>
      <c r="H108" s="143">
        <v>8.3454681999999849</v>
      </c>
      <c r="I108" s="124"/>
      <c r="J108" s="124"/>
      <c r="K108" s="124"/>
      <c r="L108" s="124"/>
      <c r="M108" s="124"/>
      <c r="N108" s="124"/>
      <c r="O108" s="124"/>
      <c r="P108" s="124"/>
      <c r="Q108" s="124"/>
    </row>
    <row r="109" spans="2:17">
      <c r="B109" s="137">
        <v>2020</v>
      </c>
      <c r="C109" s="143">
        <v>10</v>
      </c>
      <c r="D109" s="190">
        <v>6.06225215</v>
      </c>
      <c r="E109" s="143">
        <v>60.622521499999998</v>
      </c>
      <c r="F109" s="143">
        <v>9.5399999999999991</v>
      </c>
      <c r="G109" s="143">
        <v>57.833885510999991</v>
      </c>
      <c r="H109" s="143">
        <v>2.7886359890000065</v>
      </c>
      <c r="I109" s="124"/>
      <c r="J109" s="124"/>
      <c r="K109" s="124"/>
      <c r="L109" s="124"/>
      <c r="M109" s="124"/>
      <c r="N109" s="124"/>
      <c r="O109" s="124"/>
      <c r="P109" s="124"/>
      <c r="Q109" s="124"/>
    </row>
    <row r="110" spans="2:17">
      <c r="B110" s="137">
        <v>2021</v>
      </c>
      <c r="C110" s="143">
        <v>11</v>
      </c>
      <c r="D110" s="190">
        <v>6.481201636363636</v>
      </c>
      <c r="E110" s="143">
        <v>71.293217999999996</v>
      </c>
      <c r="F110" s="143">
        <v>9.84</v>
      </c>
      <c r="G110" s="143">
        <v>63.775024101818175</v>
      </c>
      <c r="H110" s="143">
        <v>7.5181938981818206</v>
      </c>
      <c r="I110" s="124"/>
      <c r="J110" s="124"/>
      <c r="K110" s="124"/>
      <c r="L110" s="124"/>
      <c r="M110" s="124"/>
      <c r="N110" s="124"/>
      <c r="O110" s="124"/>
      <c r="P110" s="124"/>
      <c r="Q110" s="124"/>
    </row>
    <row r="111" spans="2:17">
      <c r="B111" s="137">
        <v>2022</v>
      </c>
      <c r="C111" s="143">
        <v>11.5</v>
      </c>
      <c r="D111" s="190">
        <v>8.5503167391304356</v>
      </c>
      <c r="E111" s="143">
        <v>98.328642500000001</v>
      </c>
      <c r="F111" s="143">
        <v>10.23</v>
      </c>
      <c r="G111" s="143">
        <v>87.469740241304365</v>
      </c>
      <c r="H111" s="143">
        <v>10.858902258695636</v>
      </c>
      <c r="I111" s="124"/>
      <c r="J111" s="124"/>
      <c r="K111" s="124"/>
      <c r="L111" s="124"/>
      <c r="M111" s="124"/>
      <c r="N111" s="124"/>
      <c r="O111" s="124"/>
      <c r="P111" s="124"/>
      <c r="Q111" s="124"/>
    </row>
    <row r="112" spans="2:17">
      <c r="B112" s="137">
        <v>2023</v>
      </c>
      <c r="C112" s="143">
        <v>12</v>
      </c>
      <c r="D112" s="190">
        <v>9.4458983750000005</v>
      </c>
      <c r="E112" s="143">
        <v>113.3507805</v>
      </c>
      <c r="F112" s="143">
        <v>10.52</v>
      </c>
      <c r="G112" s="143">
        <v>99.370850904999998</v>
      </c>
      <c r="H112" s="143">
        <v>13.979929595000002</v>
      </c>
      <c r="I112" s="124"/>
      <c r="J112" s="124"/>
      <c r="K112" s="124"/>
      <c r="L112" s="124"/>
      <c r="M112" s="124"/>
      <c r="N112" s="124"/>
      <c r="O112" s="124"/>
      <c r="P112" s="124"/>
      <c r="Q112" s="124"/>
    </row>
    <row r="113" spans="2:17">
      <c r="B113" s="160" t="s">
        <v>119</v>
      </c>
      <c r="C113" s="161">
        <f>AVERAGE(C107:C112)</f>
        <v>10.5</v>
      </c>
      <c r="D113" s="191">
        <f>AVERAGE(D107:D112)</f>
        <v>7.9448104337080769</v>
      </c>
      <c r="E113" s="144"/>
      <c r="F113" s="144"/>
      <c r="G113" s="144"/>
      <c r="H113" s="144"/>
      <c r="I113" s="124"/>
      <c r="J113" s="124"/>
      <c r="K113" s="124"/>
      <c r="L113" s="124"/>
      <c r="M113" s="124"/>
      <c r="N113" s="124"/>
      <c r="O113" s="124"/>
      <c r="P113" s="124"/>
      <c r="Q113" s="124"/>
    </row>
    <row r="114" spans="2:17">
      <c r="B114" s="160" t="s">
        <v>120</v>
      </c>
      <c r="C114" s="138">
        <f>STDEV(C107:C112)</f>
        <v>1.1832159566199232</v>
      </c>
      <c r="D114" s="191">
        <f>STDEV(D107:D112)</f>
        <v>1.3543443772220856</v>
      </c>
      <c r="E114" s="144"/>
      <c r="F114" s="144"/>
      <c r="G114" s="144"/>
      <c r="H114" s="144"/>
      <c r="I114" s="124"/>
      <c r="J114" s="124"/>
      <c r="K114" s="124"/>
      <c r="L114" s="124"/>
      <c r="M114" s="124"/>
      <c r="N114" s="124"/>
      <c r="O114" s="124"/>
      <c r="P114" s="124"/>
      <c r="Q114" s="124"/>
    </row>
    <row r="115" spans="2:17">
      <c r="B115" s="145"/>
      <c r="C115" s="144"/>
      <c r="D115" s="144"/>
      <c r="E115" s="144"/>
      <c r="F115" s="144"/>
      <c r="G115" s="144"/>
      <c r="H115" s="144"/>
      <c r="I115" s="124"/>
      <c r="J115" s="124"/>
      <c r="K115" s="124"/>
      <c r="L115" s="124"/>
      <c r="M115" s="124"/>
      <c r="N115" s="124"/>
      <c r="O115" s="124"/>
      <c r="P115" s="124"/>
      <c r="Q115" s="124"/>
    </row>
    <row r="116" spans="2:17">
      <c r="B116" s="188" t="s">
        <v>211</v>
      </c>
      <c r="C116" s="146"/>
      <c r="D116" s="146"/>
      <c r="E116" s="146"/>
      <c r="F116" s="146"/>
      <c r="G116" s="146"/>
      <c r="H116" s="146"/>
      <c r="I116" s="147"/>
      <c r="J116" s="147"/>
      <c r="K116" s="147"/>
      <c r="L116" s="147"/>
      <c r="M116" s="124"/>
      <c r="N116" s="124"/>
      <c r="O116" s="124"/>
      <c r="P116" s="124"/>
      <c r="Q116" s="124"/>
    </row>
    <row r="117" spans="2:17">
      <c r="B117" s="124"/>
      <c r="C117" s="144"/>
      <c r="D117" s="144"/>
      <c r="E117" s="144"/>
      <c r="F117" s="144"/>
      <c r="G117" s="144"/>
      <c r="H117" s="144"/>
      <c r="I117" s="124"/>
      <c r="J117" s="124"/>
      <c r="K117" s="124"/>
      <c r="L117" s="124"/>
      <c r="M117" s="124"/>
      <c r="N117" s="124"/>
      <c r="O117" s="124"/>
      <c r="P117" s="124"/>
      <c r="Q117" s="124"/>
    </row>
    <row r="118" spans="2:17" ht="14.5" customHeight="1">
      <c r="B118" s="12" t="s">
        <v>101</v>
      </c>
      <c r="C118" s="134" t="s">
        <v>102</v>
      </c>
      <c r="D118" s="134" t="s">
        <v>115</v>
      </c>
      <c r="E118" s="136" t="s">
        <v>90</v>
      </c>
      <c r="F118" s="136" t="s">
        <v>116</v>
      </c>
      <c r="G118" s="136" t="s">
        <v>117</v>
      </c>
      <c r="H118" s="136" t="s">
        <v>118</v>
      </c>
      <c r="I118" s="147"/>
      <c r="J118" s="147"/>
      <c r="K118" s="147"/>
      <c r="L118" s="147"/>
      <c r="M118" s="124"/>
      <c r="N118" s="124"/>
      <c r="O118" s="124"/>
      <c r="P118" s="124"/>
      <c r="Q118" s="124"/>
    </row>
    <row r="119" spans="2:17">
      <c r="B119" s="132">
        <v>2024</v>
      </c>
      <c r="C119" s="128">
        <f ca="1">C90+RAND()</f>
        <v>10.15193938388269</v>
      </c>
      <c r="D119" s="190">
        <f ca="1">_xlfn.NORM.INV(RAND(),$D$91,$D$92)</f>
        <v>8.3998513453110615</v>
      </c>
      <c r="E119" s="139">
        <f ca="1">C119*D119</f>
        <v>85.274781691223353</v>
      </c>
      <c r="F119" s="128">
        <f ca="1">F90+RAND()</f>
        <v>9.4798975027323866</v>
      </c>
      <c r="G119" s="128">
        <f ca="1">D119*F119</f>
        <v>79.629729791737617</v>
      </c>
      <c r="H119" s="128">
        <f ca="1">E119-G119</f>
        <v>5.6450518994857362</v>
      </c>
      <c r="I119" s="124"/>
      <c r="J119" s="124"/>
      <c r="K119" s="124"/>
      <c r="L119" s="124"/>
      <c r="M119" s="124"/>
      <c r="N119" s="124"/>
      <c r="O119" s="124"/>
      <c r="P119" s="124"/>
      <c r="Q119" s="124"/>
    </row>
    <row r="120" spans="2:17">
      <c r="B120" s="132">
        <v>2025</v>
      </c>
      <c r="C120" s="128">
        <f ca="1">C119+RAND()</f>
        <v>10.228840935625321</v>
      </c>
      <c r="D120" s="190">
        <f t="shared" ref="D120:D123" ca="1" si="22">_xlfn.NORM.INV(RAND(),$D$91,$D$92)</f>
        <v>5.8105676805767112</v>
      </c>
      <c r="E120" s="139">
        <f t="shared" ref="E120:E123" ca="1" si="23">C120*D120</f>
        <v>59.435372550304542</v>
      </c>
      <c r="F120" s="128">
        <f ca="1">F119+RAND()</f>
        <v>9.8371900364768106</v>
      </c>
      <c r="G120" s="128">
        <f t="shared" ref="G120:G123" ca="1" si="24">D120*F120</f>
        <v>57.159658493643391</v>
      </c>
      <c r="H120" s="128">
        <f t="shared" ref="H120:H123" ca="1" si="25">E120-G120</f>
        <v>2.2757140566611511</v>
      </c>
      <c r="I120" s="147"/>
      <c r="J120" s="147"/>
      <c r="K120" s="147"/>
      <c r="L120" s="147"/>
      <c r="M120" s="124"/>
      <c r="N120" s="124"/>
      <c r="O120" s="124"/>
      <c r="P120" s="124"/>
      <c r="Q120" s="124"/>
    </row>
    <row r="121" spans="2:17">
      <c r="B121" s="132">
        <v>2026</v>
      </c>
      <c r="C121" s="128">
        <f t="shared" ref="C121:C123" ca="1" si="26">C120+RAND()</f>
        <v>10.3828869588279</v>
      </c>
      <c r="D121" s="190">
        <f t="shared" ca="1" si="22"/>
        <v>7.3020753385860031</v>
      </c>
      <c r="E121" s="139">
        <f t="shared" ca="1" si="23"/>
        <v>75.816622805383432</v>
      </c>
      <c r="F121" s="128">
        <f t="shared" ref="F121:F123" ca="1" si="27">F120+RAND()</f>
        <v>10.748461042032332</v>
      </c>
      <c r="G121" s="128">
        <f t="shared" ca="1" si="24"/>
        <v>78.486072302776705</v>
      </c>
      <c r="H121" s="128">
        <f t="shared" ca="1" si="25"/>
        <v>-2.6694494973932734</v>
      </c>
      <c r="I121" s="124"/>
      <c r="J121" s="124"/>
      <c r="K121" s="124"/>
      <c r="L121" s="124"/>
      <c r="M121" s="124"/>
      <c r="N121" s="124"/>
      <c r="O121" s="124"/>
      <c r="P121" s="124"/>
      <c r="Q121" s="124"/>
    </row>
    <row r="122" spans="2:17">
      <c r="B122" s="132">
        <v>2027</v>
      </c>
      <c r="C122" s="128">
        <f t="shared" ca="1" si="26"/>
        <v>10.988764641149045</v>
      </c>
      <c r="D122" s="190">
        <f t="shared" ca="1" si="22"/>
        <v>9.9795925038547058</v>
      </c>
      <c r="E122" s="139">
        <f t="shared" ca="1" si="23"/>
        <v>109.66339323943465</v>
      </c>
      <c r="F122" s="128">
        <f t="shared" ca="1" si="27"/>
        <v>11.643488963824829</v>
      </c>
      <c r="G122" s="128">
        <f t="shared" ca="1" si="24"/>
        <v>116.19727518210127</v>
      </c>
      <c r="H122" s="128">
        <f t="shared" ca="1" si="25"/>
        <v>-6.5338819426666106</v>
      </c>
      <c r="I122" s="147"/>
      <c r="J122" s="147"/>
      <c r="K122" s="147"/>
      <c r="L122" s="147"/>
      <c r="M122" s="124"/>
      <c r="N122" s="124"/>
      <c r="O122" s="124"/>
      <c r="P122" s="124"/>
      <c r="Q122" s="124"/>
    </row>
    <row r="123" spans="2:17">
      <c r="B123" s="132">
        <v>2028</v>
      </c>
      <c r="C123" s="128">
        <f t="shared" ca="1" si="26"/>
        <v>11.60875846970549</v>
      </c>
      <c r="D123" s="190">
        <f t="shared" ca="1" si="22"/>
        <v>6.766217871647541</v>
      </c>
      <c r="E123" s="139">
        <f t="shared" ca="1" si="23"/>
        <v>78.547389025361042</v>
      </c>
      <c r="F123" s="128">
        <f t="shared" ca="1" si="27"/>
        <v>12.195551562617041</v>
      </c>
      <c r="G123" s="128">
        <f t="shared" ca="1" si="24"/>
        <v>82.51775893757852</v>
      </c>
      <c r="H123" s="128">
        <f t="shared" ca="1" si="25"/>
        <v>-3.9703699122174783</v>
      </c>
      <c r="I123" s="124"/>
      <c r="J123" s="124"/>
      <c r="K123" s="124"/>
      <c r="L123" s="124"/>
      <c r="M123" s="124"/>
      <c r="N123" s="124"/>
      <c r="O123" s="124"/>
      <c r="P123" s="124"/>
      <c r="Q123" s="124"/>
    </row>
    <row r="124" spans="2:17">
      <c r="B124" s="144"/>
      <c r="C124" s="124"/>
      <c r="D124" s="148"/>
      <c r="E124" s="124"/>
      <c r="F124" s="124"/>
      <c r="G124" s="124"/>
      <c r="H124" s="124"/>
      <c r="I124" s="147"/>
      <c r="J124" s="147"/>
      <c r="K124" s="147"/>
      <c r="L124" s="147"/>
      <c r="M124" s="124"/>
      <c r="N124" s="124"/>
      <c r="O124" s="124"/>
      <c r="P124" s="124"/>
      <c r="Q124" s="124"/>
    </row>
    <row r="125" spans="2:17" ht="14.5" customHeight="1">
      <c r="B125" s="12" t="s">
        <v>101</v>
      </c>
      <c r="C125" s="134" t="s">
        <v>126</v>
      </c>
      <c r="D125" s="149" t="s">
        <v>127</v>
      </c>
      <c r="E125" s="136" t="s">
        <v>122</v>
      </c>
      <c r="F125" s="136" t="s">
        <v>123</v>
      </c>
      <c r="G125" s="136" t="s">
        <v>128</v>
      </c>
      <c r="H125" s="136" t="s">
        <v>129</v>
      </c>
      <c r="I125" s="147"/>
      <c r="J125" s="147"/>
      <c r="K125" s="147"/>
      <c r="L125" s="147"/>
      <c r="M125" s="124"/>
      <c r="N125" s="124"/>
      <c r="O125" s="124"/>
      <c r="P125" s="124"/>
      <c r="Q125" s="124"/>
    </row>
    <row r="126" spans="2:17">
      <c r="B126" s="132">
        <v>2024</v>
      </c>
      <c r="C126" s="128">
        <f ca="1">C101+RAND()</f>
        <v>6.9524051563884575</v>
      </c>
      <c r="D126" s="190">
        <f ca="1">_xlfn.NORM.INV(RAND(),$D$91,$D$92)</f>
        <v>10.144839015021697</v>
      </c>
      <c r="E126" s="139">
        <f ca="1">C126*D126</f>
        <v>70.53103107876764</v>
      </c>
      <c r="F126" s="128">
        <f ca="1">F101+RAND()</f>
        <v>4.8034140738369588</v>
      </c>
      <c r="G126" s="128">
        <f ca="1">D126*F126</f>
        <v>48.729862501565492</v>
      </c>
      <c r="H126" s="128">
        <f ca="1">E126-G126</f>
        <v>21.801168577202148</v>
      </c>
      <c r="I126" s="147"/>
      <c r="J126" s="147"/>
      <c r="K126" s="147"/>
      <c r="L126" s="147"/>
      <c r="M126" s="124"/>
      <c r="N126" s="124"/>
      <c r="O126" s="124"/>
      <c r="P126" s="124"/>
      <c r="Q126" s="124"/>
    </row>
    <row r="127" spans="2:17">
      <c r="B127" s="132">
        <v>2025</v>
      </c>
      <c r="C127" s="128">
        <f ca="1">C126+RAND()</f>
        <v>7.8733946412425135</v>
      </c>
      <c r="D127" s="190">
        <f t="shared" ref="D127:D130" ca="1" si="28">_xlfn.NORM.INV(RAND(),$D$91,$D$92)</f>
        <v>7.3070689789033434</v>
      </c>
      <c r="E127" s="139">
        <f t="shared" ref="E127:E130" ca="1" si="29">C127*D127</f>
        <v>57.531437741686986</v>
      </c>
      <c r="F127" s="128">
        <f ca="1">F126+RAND()</f>
        <v>5.1435987450292879</v>
      </c>
      <c r="G127" s="128">
        <f t="shared" ref="G127:G130" ca="1" si="30">D127*F127</f>
        <v>37.584630829729676</v>
      </c>
      <c r="H127" s="128">
        <f t="shared" ref="H127:H130" ca="1" si="31">E127-G127</f>
        <v>19.94680691195731</v>
      </c>
      <c r="I127" s="147"/>
      <c r="J127" s="147"/>
      <c r="K127" s="147"/>
      <c r="L127" s="147"/>
      <c r="M127" s="124"/>
      <c r="N127" s="124"/>
      <c r="O127" s="124"/>
      <c r="P127" s="124"/>
      <c r="Q127" s="124"/>
    </row>
    <row r="128" spans="2:17">
      <c r="B128" s="132">
        <v>2026</v>
      </c>
      <c r="C128" s="128">
        <f t="shared" ref="C128:C130" ca="1" si="32">C127+RAND()</f>
        <v>8.6914222667414744</v>
      </c>
      <c r="D128" s="190">
        <f t="shared" ca="1" si="28"/>
        <v>6.6302283340004609</v>
      </c>
      <c r="E128" s="139">
        <f t="shared" ca="1" si="29"/>
        <v>57.626114175711834</v>
      </c>
      <c r="F128" s="128">
        <f t="shared" ref="F128:F130" ca="1" si="33">F127+RAND()</f>
        <v>5.5106845973786323</v>
      </c>
      <c r="G128" s="128">
        <f t="shared" ca="1" si="30"/>
        <v>36.537097157279732</v>
      </c>
      <c r="H128" s="128">
        <f t="shared" ca="1" si="31"/>
        <v>21.089017018432102</v>
      </c>
      <c r="I128" s="147"/>
      <c r="J128" s="147"/>
      <c r="K128" s="147"/>
      <c r="L128" s="147"/>
      <c r="M128" s="124"/>
      <c r="N128" s="124"/>
      <c r="O128" s="124"/>
      <c r="P128" s="124"/>
      <c r="Q128" s="124"/>
    </row>
    <row r="129" spans="1:17">
      <c r="B129" s="132">
        <v>2027</v>
      </c>
      <c r="C129" s="128">
        <f t="shared" ca="1" si="32"/>
        <v>9.4338808057922847</v>
      </c>
      <c r="D129" s="190">
        <f t="shared" ca="1" si="28"/>
        <v>6.4053142170267385</v>
      </c>
      <c r="E129" s="139">
        <f t="shared" ca="1" si="29"/>
        <v>60.426970847076987</v>
      </c>
      <c r="F129" s="128">
        <f t="shared" ca="1" si="33"/>
        <v>5.7298386639052605</v>
      </c>
      <c r="G129" s="128">
        <f t="shared" ca="1" si="30"/>
        <v>36.701417055181857</v>
      </c>
      <c r="H129" s="128">
        <f t="shared" ca="1" si="31"/>
        <v>23.72555379189513</v>
      </c>
      <c r="I129" s="147"/>
      <c r="J129" s="147"/>
      <c r="K129" s="147"/>
      <c r="L129" s="147"/>
      <c r="M129" s="124"/>
      <c r="N129" s="124"/>
      <c r="O129" s="124"/>
      <c r="P129" s="124"/>
      <c r="Q129" s="124"/>
    </row>
    <row r="130" spans="1:17">
      <c r="B130" s="132">
        <v>2028</v>
      </c>
      <c r="C130" s="128">
        <f t="shared" ca="1" si="32"/>
        <v>10.263645944026839</v>
      </c>
      <c r="D130" s="190">
        <f t="shared" ca="1" si="28"/>
        <v>7.4996958226910166</v>
      </c>
      <c r="E130" s="139">
        <f t="shared" ca="1" si="29"/>
        <v>76.974222611997689</v>
      </c>
      <c r="F130" s="128">
        <f t="shared" ca="1" si="33"/>
        <v>6.5152169477237996</v>
      </c>
      <c r="G130" s="128">
        <f t="shared" ca="1" si="30"/>
        <v>48.862145326769898</v>
      </c>
      <c r="H130" s="128">
        <f t="shared" ca="1" si="31"/>
        <v>28.112077285227791</v>
      </c>
      <c r="I130" s="147"/>
      <c r="J130" s="147"/>
      <c r="K130" s="147"/>
      <c r="L130" s="147"/>
      <c r="M130" s="124"/>
      <c r="N130" s="124"/>
      <c r="O130" s="124"/>
      <c r="P130" s="124"/>
      <c r="Q130" s="124"/>
    </row>
    <row r="131" spans="1:17">
      <c r="B131" s="144"/>
      <c r="C131" s="124"/>
      <c r="D131" s="148"/>
      <c r="E131" s="124"/>
      <c r="F131" s="124"/>
      <c r="G131" s="124"/>
      <c r="H131" s="124"/>
      <c r="I131" s="147"/>
      <c r="J131" s="147"/>
      <c r="K131" s="147"/>
      <c r="L131" s="147"/>
      <c r="M131" s="124"/>
      <c r="N131" s="124"/>
      <c r="O131" s="124"/>
      <c r="P131" s="124"/>
      <c r="Q131" s="124"/>
    </row>
    <row r="132" spans="1:17" ht="14.5" customHeight="1">
      <c r="B132" s="12" t="s">
        <v>101</v>
      </c>
      <c r="C132" s="134" t="s">
        <v>125</v>
      </c>
      <c r="D132" s="149" t="s">
        <v>130</v>
      </c>
      <c r="E132" s="136" t="s">
        <v>131</v>
      </c>
      <c r="F132" s="136" t="s">
        <v>132</v>
      </c>
      <c r="G132" s="136" t="s">
        <v>133</v>
      </c>
      <c r="H132" s="136" t="s">
        <v>134</v>
      </c>
      <c r="I132" s="147"/>
      <c r="J132" s="147"/>
      <c r="K132" s="147"/>
      <c r="L132" s="147"/>
      <c r="M132" s="124"/>
      <c r="N132" s="124"/>
      <c r="O132" s="124"/>
      <c r="P132" s="124"/>
      <c r="Q132" s="124"/>
    </row>
    <row r="133" spans="1:17">
      <c r="B133" s="132">
        <v>2024</v>
      </c>
      <c r="C133" s="128">
        <f ca="1">C112+RAND()</f>
        <v>12.043949547532804</v>
      </c>
      <c r="D133" s="190">
        <f ca="1">_xlfn.NORM.INV(RAND(),$D$91,$D$92)</f>
        <v>6.237168730579592</v>
      </c>
      <c r="E133" s="139">
        <f ca="1">C133*D133</f>
        <v>75.120145510549833</v>
      </c>
      <c r="F133" s="128">
        <f ca="1">F112+RAND()</f>
        <v>11.506043427675921</v>
      </c>
      <c r="G133" s="128">
        <f ca="1">D133*F133</f>
        <v>71.765134279791084</v>
      </c>
      <c r="H133" s="128">
        <f ca="1">E133-G133</f>
        <v>3.3550112307587483</v>
      </c>
      <c r="I133" s="147"/>
      <c r="J133" s="147"/>
      <c r="K133" s="147"/>
      <c r="L133" s="147"/>
      <c r="M133" s="124"/>
      <c r="N133" s="124"/>
      <c r="O133" s="124"/>
      <c r="P133" s="124"/>
      <c r="Q133" s="124"/>
    </row>
    <row r="134" spans="1:17" ht="14.5" customHeight="1">
      <c r="B134" s="132">
        <v>2025</v>
      </c>
      <c r="C134" s="128">
        <f ca="1">C133+RAND()</f>
        <v>12.129584030947154</v>
      </c>
      <c r="D134" s="190">
        <f t="shared" ref="D134:D137" ca="1" si="34">_xlfn.NORM.INV(RAND(),$D$91,$D$92)</f>
        <v>7.9744017309093866</v>
      </c>
      <c r="E134" s="139">
        <f t="shared" ref="E134:E137" ca="1" si="35">C134*D134</f>
        <v>96.726175891595844</v>
      </c>
      <c r="F134" s="128">
        <f ca="1">F133+RAND()</f>
        <v>12.009378781449076</v>
      </c>
      <c r="G134" s="128">
        <f t="shared" ref="G134:G137" ca="1" si="36">D134*F134</f>
        <v>95.767610941933967</v>
      </c>
      <c r="H134" s="128">
        <f t="shared" ref="H134:H137" ca="1" si="37">E134-G134</f>
        <v>0.95856494966187711</v>
      </c>
      <c r="I134" s="147"/>
      <c r="J134" s="147"/>
      <c r="K134" s="147"/>
      <c r="L134" s="147"/>
      <c r="M134" s="124"/>
      <c r="N134" s="124"/>
      <c r="O134" s="124"/>
      <c r="P134" s="124"/>
      <c r="Q134" s="124"/>
    </row>
    <row r="135" spans="1:17">
      <c r="B135" s="132">
        <v>2026</v>
      </c>
      <c r="C135" s="128">
        <f t="shared" ref="C135:C137" ca="1" si="38">C134+RAND()</f>
        <v>12.280724638997588</v>
      </c>
      <c r="D135" s="190">
        <f t="shared" ca="1" si="34"/>
        <v>7.4455648670139079</v>
      </c>
      <c r="E135" s="139">
        <f t="shared" ca="1" si="35"/>
        <v>91.436931913592502</v>
      </c>
      <c r="F135" s="128">
        <f t="shared" ref="F135:F137" ca="1" si="39">F134+RAND()</f>
        <v>12.393290394657258</v>
      </c>
      <c r="G135" s="128">
        <f t="shared" ca="1" si="36"/>
        <v>92.275047549161016</v>
      </c>
      <c r="H135" s="128">
        <f t="shared" ca="1" si="37"/>
        <v>-0.83811563556851354</v>
      </c>
      <c r="I135" s="147"/>
      <c r="J135" s="147"/>
      <c r="K135" s="147"/>
      <c r="L135" s="147"/>
      <c r="M135" s="124"/>
      <c r="N135" s="124"/>
      <c r="O135" s="124"/>
      <c r="P135" s="124"/>
      <c r="Q135" s="124"/>
    </row>
    <row r="136" spans="1:17">
      <c r="B136" s="132">
        <v>2027</v>
      </c>
      <c r="C136" s="128">
        <f t="shared" ca="1" si="38"/>
        <v>12.592485933424097</v>
      </c>
      <c r="D136" s="190">
        <f t="shared" ca="1" si="34"/>
        <v>10.128977726322571</v>
      </c>
      <c r="E136" s="139">
        <f t="shared" ca="1" si="35"/>
        <v>127.54900953868297</v>
      </c>
      <c r="F136" s="128">
        <f t="shared" ca="1" si="39"/>
        <v>12.697690436986594</v>
      </c>
      <c r="G136" s="128">
        <f t="shared" ca="1" si="36"/>
        <v>128.61462361197633</v>
      </c>
      <c r="H136" s="128">
        <f t="shared" ca="1" si="37"/>
        <v>-1.0656140732933608</v>
      </c>
      <c r="I136" s="124"/>
      <c r="J136" s="124"/>
      <c r="K136" s="124"/>
      <c r="L136" s="124"/>
      <c r="M136" s="124"/>
      <c r="N136" s="124"/>
      <c r="O136" s="124"/>
      <c r="P136" s="124"/>
      <c r="Q136" s="124"/>
    </row>
    <row r="137" spans="1:17">
      <c r="B137" s="132">
        <v>2028</v>
      </c>
      <c r="C137" s="128">
        <f t="shared" ca="1" si="38"/>
        <v>13.064526764441226</v>
      </c>
      <c r="D137" s="190">
        <f t="shared" ca="1" si="34"/>
        <v>5.2876313313218501</v>
      </c>
      <c r="E137" s="139">
        <f t="shared" ca="1" si="35"/>
        <v>69.080401048552304</v>
      </c>
      <c r="F137" s="128">
        <f t="shared" ca="1" si="39"/>
        <v>12.703132556026596</v>
      </c>
      <c r="G137" s="128">
        <f t="shared" ca="1" si="36"/>
        <v>67.169481709180843</v>
      </c>
      <c r="H137" s="128">
        <f t="shared" ca="1" si="37"/>
        <v>1.9109193393714605</v>
      </c>
    </row>
    <row r="139" spans="1:17" ht="26">
      <c r="A139" s="119" t="s">
        <v>212</v>
      </c>
      <c r="B139" s="120"/>
      <c r="C139" s="121" t="s">
        <v>87</v>
      </c>
      <c r="D139" s="121" t="s">
        <v>87</v>
      </c>
      <c r="E139" s="121" t="s">
        <v>87</v>
      </c>
      <c r="F139" s="121" t="s">
        <v>87</v>
      </c>
      <c r="G139" s="121" t="s">
        <v>87</v>
      </c>
      <c r="H139" s="121" t="s">
        <v>87</v>
      </c>
      <c r="I139" s="123" t="s">
        <v>87</v>
      </c>
      <c r="J139" s="123" t="s">
        <v>87</v>
      </c>
      <c r="K139" s="123" t="s">
        <v>87</v>
      </c>
      <c r="L139" s="123" t="s">
        <v>87</v>
      </c>
      <c r="M139" s="123" t="s">
        <v>87</v>
      </c>
      <c r="N139" s="123" t="s">
        <v>87</v>
      </c>
    </row>
    <row r="140" spans="1:17" ht="15" thickBot="1"/>
    <row r="141" spans="1:17" ht="15" thickBot="1">
      <c r="B141" s="178" t="s">
        <v>213</v>
      </c>
      <c r="C141" s="179">
        <f>H33-G45-G56-G68</f>
        <v>4.039826226200006</v>
      </c>
    </row>
    <row r="142" spans="1:17" ht="15" thickBot="1">
      <c r="B142" s="28"/>
      <c r="C142" s="177"/>
    </row>
    <row r="143" spans="1:17" ht="21" customHeight="1">
      <c r="B143" s="234" t="s">
        <v>219</v>
      </c>
      <c r="C143" s="235"/>
      <c r="D143" s="235"/>
      <c r="E143" s="236"/>
      <c r="G143" s="234" t="s">
        <v>220</v>
      </c>
      <c r="H143" s="235"/>
      <c r="I143" s="235"/>
      <c r="J143" s="236"/>
    </row>
    <row r="144" spans="1:17" ht="15.5">
      <c r="B144" s="170" t="s">
        <v>101</v>
      </c>
      <c r="C144" s="163" t="s">
        <v>47</v>
      </c>
      <c r="D144" s="164" t="s">
        <v>222</v>
      </c>
      <c r="E144" s="171" t="s">
        <v>223</v>
      </c>
      <c r="G144" s="170" t="s">
        <v>101</v>
      </c>
      <c r="H144" s="163" t="s">
        <v>47</v>
      </c>
      <c r="I144" s="164" t="s">
        <v>222</v>
      </c>
      <c r="J144" s="171" t="s">
        <v>223</v>
      </c>
    </row>
    <row r="145" spans="2:10" ht="15.5">
      <c r="B145" s="170">
        <v>2018</v>
      </c>
      <c r="C145" s="163">
        <v>7</v>
      </c>
      <c r="D145" s="164">
        <v>6.17</v>
      </c>
      <c r="E145" s="172">
        <f>D145/C145</f>
        <v>0.88142857142857145</v>
      </c>
      <c r="G145" s="170">
        <v>2018</v>
      </c>
      <c r="H145" s="163">
        <v>3</v>
      </c>
      <c r="I145" s="164">
        <v>1.8</v>
      </c>
      <c r="J145" s="172">
        <f>I145/H145</f>
        <v>0.6</v>
      </c>
    </row>
    <row r="146" spans="2:10" ht="15.5">
      <c r="B146" s="170">
        <v>2019</v>
      </c>
      <c r="C146" s="163">
        <v>7.5</v>
      </c>
      <c r="D146" s="164">
        <v>6.75</v>
      </c>
      <c r="E146" s="172">
        <f t="shared" ref="E146:E150" si="40">D146/C146</f>
        <v>0.9</v>
      </c>
      <c r="G146" s="170">
        <v>2019</v>
      </c>
      <c r="H146" s="163">
        <v>3.5</v>
      </c>
      <c r="I146" s="164">
        <v>1.95</v>
      </c>
      <c r="J146" s="172">
        <f t="shared" ref="J146:J150" si="41">I146/H146</f>
        <v>0.55714285714285716</v>
      </c>
    </row>
    <row r="147" spans="2:10" ht="15.5">
      <c r="B147" s="170">
        <v>2020</v>
      </c>
      <c r="C147" s="163">
        <v>8</v>
      </c>
      <c r="D147" s="164">
        <v>7.64</v>
      </c>
      <c r="E147" s="172">
        <f t="shared" si="40"/>
        <v>0.95499999999999996</v>
      </c>
      <c r="G147" s="170">
        <v>2020</v>
      </c>
      <c r="H147" s="163">
        <v>4</v>
      </c>
      <c r="I147" s="164">
        <v>2.25</v>
      </c>
      <c r="J147" s="172">
        <f t="shared" si="41"/>
        <v>0.5625</v>
      </c>
    </row>
    <row r="148" spans="2:10" ht="15.5">
      <c r="B148" s="170">
        <v>2021</v>
      </c>
      <c r="C148" s="163">
        <v>9</v>
      </c>
      <c r="D148" s="164">
        <v>8.0500000000000007</v>
      </c>
      <c r="E148" s="172">
        <f t="shared" si="40"/>
        <v>0.89444444444444449</v>
      </c>
      <c r="G148" s="170">
        <v>2021</v>
      </c>
      <c r="H148" s="163">
        <v>5</v>
      </c>
      <c r="I148" s="164">
        <v>3.5</v>
      </c>
      <c r="J148" s="172">
        <f t="shared" si="41"/>
        <v>0.7</v>
      </c>
    </row>
    <row r="149" spans="2:10" ht="15.5">
      <c r="B149" s="170">
        <v>2022</v>
      </c>
      <c r="C149" s="163">
        <v>9.5</v>
      </c>
      <c r="D149" s="164">
        <v>8.4499999999999993</v>
      </c>
      <c r="E149" s="172">
        <f t="shared" si="40"/>
        <v>0.88947368421052619</v>
      </c>
      <c r="G149" s="170">
        <v>2022</v>
      </c>
      <c r="H149" s="163">
        <v>5.5</v>
      </c>
      <c r="I149" s="164">
        <v>3.8</v>
      </c>
      <c r="J149" s="172">
        <f t="shared" si="41"/>
        <v>0.69090909090909092</v>
      </c>
    </row>
    <row r="150" spans="2:10" ht="16" thickBot="1">
      <c r="B150" s="173">
        <v>2023</v>
      </c>
      <c r="C150" s="174">
        <v>10</v>
      </c>
      <c r="D150" s="175">
        <v>8.77</v>
      </c>
      <c r="E150" s="176">
        <f t="shared" si="40"/>
        <v>0.877</v>
      </c>
      <c r="G150" s="173">
        <v>2023</v>
      </c>
      <c r="H150" s="174">
        <v>6</v>
      </c>
      <c r="I150" s="175">
        <v>4.2</v>
      </c>
      <c r="J150" s="176">
        <f t="shared" si="41"/>
        <v>0.70000000000000007</v>
      </c>
    </row>
    <row r="151" spans="2:10" ht="21">
      <c r="B151" s="166"/>
      <c r="D151" s="167" t="s">
        <v>41</v>
      </c>
      <c r="E151" s="169">
        <f>AVERAGE(E145:E150)</f>
        <v>0.899557783347257</v>
      </c>
      <c r="G151" s="166"/>
      <c r="I151" s="167" t="s">
        <v>41</v>
      </c>
      <c r="J151" s="169">
        <f>AVERAGE(J145:J150)</f>
        <v>0.63509199134199135</v>
      </c>
    </row>
    <row r="152" spans="2:10" ht="21.5" thickBot="1">
      <c r="D152" s="141"/>
    </row>
    <row r="153" spans="2:10">
      <c r="B153" s="234" t="s">
        <v>221</v>
      </c>
      <c r="C153" s="235"/>
      <c r="D153" s="235"/>
      <c r="E153" s="236"/>
    </row>
    <row r="154" spans="2:10" ht="15.5">
      <c r="B154" s="163" t="s">
        <v>101</v>
      </c>
      <c r="C154" s="163" t="s">
        <v>47</v>
      </c>
      <c r="D154" s="164" t="s">
        <v>222</v>
      </c>
      <c r="E154" s="171" t="s">
        <v>223</v>
      </c>
    </row>
    <row r="155" spans="2:10" ht="15.5">
      <c r="B155" s="163">
        <v>2018</v>
      </c>
      <c r="C155" s="163">
        <v>9</v>
      </c>
      <c r="D155" s="164">
        <v>7.93</v>
      </c>
      <c r="E155" s="165">
        <f>D155/C155</f>
        <v>0.88111111111111107</v>
      </c>
    </row>
    <row r="156" spans="2:10" ht="15.5">
      <c r="B156" s="163">
        <v>2019</v>
      </c>
      <c r="C156" s="163">
        <v>9.5</v>
      </c>
      <c r="D156" s="164">
        <v>8.5500000000000007</v>
      </c>
      <c r="E156" s="165">
        <f t="shared" ref="E156:E160" si="42">D156/C156</f>
        <v>0.9</v>
      </c>
    </row>
    <row r="157" spans="2:10" ht="15.5">
      <c r="B157" s="163">
        <v>2020</v>
      </c>
      <c r="C157" s="163">
        <v>10</v>
      </c>
      <c r="D157" s="164">
        <v>9.5399999999999991</v>
      </c>
      <c r="E157" s="165">
        <f t="shared" si="42"/>
        <v>0.95399999999999996</v>
      </c>
    </row>
    <row r="158" spans="2:10" ht="15.5">
      <c r="B158" s="163">
        <v>2021</v>
      </c>
      <c r="C158" s="163">
        <v>11</v>
      </c>
      <c r="D158" s="164">
        <v>9.84</v>
      </c>
      <c r="E158" s="165">
        <f t="shared" si="42"/>
        <v>0.89454545454545453</v>
      </c>
    </row>
    <row r="159" spans="2:10" ht="15.5">
      <c r="B159" s="163">
        <v>2022</v>
      </c>
      <c r="C159" s="163">
        <v>11.5</v>
      </c>
      <c r="D159" s="164">
        <v>10.23</v>
      </c>
      <c r="E159" s="165">
        <f t="shared" si="42"/>
        <v>0.88956521739130434</v>
      </c>
    </row>
    <row r="160" spans="2:10" ht="15.5">
      <c r="B160" s="163">
        <v>2023</v>
      </c>
      <c r="C160" s="163">
        <v>12</v>
      </c>
      <c r="D160" s="164">
        <v>10.52</v>
      </c>
      <c r="E160" s="165">
        <f t="shared" si="42"/>
        <v>0.87666666666666659</v>
      </c>
    </row>
    <row r="161" spans="2:9" ht="21">
      <c r="B161" s="166"/>
      <c r="D161" s="167" t="s">
        <v>41</v>
      </c>
      <c r="E161" s="168">
        <f>AVERAGE(E155:E160)</f>
        <v>0.89931474161908953</v>
      </c>
    </row>
    <row r="162" spans="2:9" ht="21">
      <c r="B162" s="166"/>
      <c r="D162" s="167"/>
      <c r="E162" s="167"/>
      <c r="F162" s="167"/>
    </row>
    <row r="163" spans="2:9" ht="21">
      <c r="B163" s="166"/>
      <c r="D163" s="167"/>
      <c r="E163" s="167"/>
      <c r="F163" s="167"/>
    </row>
    <row r="164" spans="2:9">
      <c r="B164" s="12" t="s">
        <v>101</v>
      </c>
      <c r="C164" s="12" t="s">
        <v>102</v>
      </c>
      <c r="D164" s="12" t="s">
        <v>202</v>
      </c>
      <c r="E164" s="150" t="s">
        <v>201</v>
      </c>
      <c r="F164" s="150" t="s">
        <v>103</v>
      </c>
      <c r="G164" s="150" t="s">
        <v>224</v>
      </c>
      <c r="H164" s="150" t="s">
        <v>227</v>
      </c>
      <c r="I164" s="150" t="s">
        <v>135</v>
      </c>
    </row>
    <row r="165" spans="2:9">
      <c r="B165" s="151">
        <v>2023</v>
      </c>
      <c r="C165" s="180">
        <v>2.1031543194699505</v>
      </c>
      <c r="D165" s="181">
        <f>0.0305*C165+6.6292</f>
        <v>6.6933462067438336</v>
      </c>
      <c r="E165" s="182">
        <f>C165*D165</f>
        <v>14.077139986421102</v>
      </c>
      <c r="F165" s="182">
        <f>E151*C165</f>
        <v>1.8919088376595974</v>
      </c>
      <c r="G165" s="182">
        <f>F165*D165</f>
        <v>12.663200842054001</v>
      </c>
      <c r="H165" s="187">
        <f>C141*K30</f>
        <v>1.413939179170002</v>
      </c>
      <c r="I165" s="182">
        <f>E165-G165-H165</f>
        <v>-3.4802901449637602E-8</v>
      </c>
    </row>
    <row r="167" spans="2:9">
      <c r="B167" s="12" t="s">
        <v>101</v>
      </c>
      <c r="C167" s="157" t="s">
        <v>126</v>
      </c>
      <c r="D167" s="183" t="s">
        <v>230</v>
      </c>
      <c r="E167" s="135" t="s">
        <v>228</v>
      </c>
      <c r="F167" s="135" t="s">
        <v>136</v>
      </c>
      <c r="G167" s="135" t="s">
        <v>225</v>
      </c>
      <c r="H167" s="184" t="s">
        <v>227</v>
      </c>
      <c r="I167" s="135" t="s">
        <v>137</v>
      </c>
    </row>
    <row r="168" spans="2:9">
      <c r="B168" s="137">
        <v>2023</v>
      </c>
      <c r="C168" s="185">
        <v>0.29057964633231215</v>
      </c>
      <c r="D168" s="186">
        <f>-0.4465*C168+5.8446</f>
        <v>5.7148561879126225</v>
      </c>
      <c r="E168" s="158">
        <f>C168*D168</f>
        <v>1.6606208899236754</v>
      </c>
      <c r="F168" s="158">
        <f>J151*C168</f>
        <v>0.18454480623263969</v>
      </c>
      <c r="G168" s="158">
        <f>F168*D168</f>
        <v>1.0546470278457369</v>
      </c>
      <c r="H168" s="187">
        <f>C141*K31</f>
        <v>0.60597393393000087</v>
      </c>
      <c r="I168" s="158">
        <f>E168-G168-H168</f>
        <v>-7.1852062411004169E-8</v>
      </c>
    </row>
    <row r="170" spans="2:9">
      <c r="B170" s="12" t="s">
        <v>101</v>
      </c>
      <c r="C170" s="157" t="s">
        <v>138</v>
      </c>
      <c r="D170" s="183" t="s">
        <v>231</v>
      </c>
      <c r="E170" s="135" t="s">
        <v>229</v>
      </c>
      <c r="F170" s="135" t="s">
        <v>139</v>
      </c>
      <c r="G170" s="135" t="s">
        <v>226</v>
      </c>
      <c r="H170" s="184" t="s">
        <v>227</v>
      </c>
      <c r="I170" s="135" t="s">
        <v>140</v>
      </c>
    </row>
    <row r="171" spans="2:9">
      <c r="B171" s="137">
        <v>2023</v>
      </c>
      <c r="C171" s="185">
        <v>3.2097296280487693</v>
      </c>
      <c r="D171" s="186">
        <f>0.2325*C171+5.504</f>
        <v>6.2502621385213386</v>
      </c>
      <c r="E171" s="158">
        <f>C171*D171</f>
        <v>20.061651569083402</v>
      </c>
      <c r="F171" s="158">
        <f>E161*C171</f>
        <v>2.8865571711158151</v>
      </c>
      <c r="G171" s="158">
        <f>F171*D171</f>
        <v>18.041738997302438</v>
      </c>
      <c r="H171" s="187">
        <f>C141*K32</f>
        <v>2.019913113100003</v>
      </c>
      <c r="I171" s="158">
        <f>E171-G171-H171</f>
        <v>-5.4131903937104653E-7</v>
      </c>
    </row>
  </sheetData>
  <mergeCells count="8">
    <mergeCell ref="A1:XFD1"/>
    <mergeCell ref="B143:E143"/>
    <mergeCell ref="G143:J143"/>
    <mergeCell ref="B153:E153"/>
    <mergeCell ref="B27:H27"/>
    <mergeCell ref="B83:H83"/>
    <mergeCell ref="B94:H94"/>
    <mergeCell ref="B105:H105"/>
  </mergeCells>
  <phoneticPr fontId="4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C820-E21A-4C8B-9970-90B3CF0B8C67}">
  <sheetPr codeName="Sheet7">
    <tabColor rgb="FF00B050"/>
  </sheetPr>
  <dimension ref="A1:Q136"/>
  <sheetViews>
    <sheetView tabSelected="1" zoomScale="85" zoomScaleNormal="85" workbookViewId="0">
      <selection activeCell="H27" sqref="H27"/>
    </sheetView>
  </sheetViews>
  <sheetFormatPr defaultColWidth="8.81640625" defaultRowHeight="14.5"/>
  <cols>
    <col min="1" max="1" width="39.36328125" customWidth="1"/>
    <col min="2" max="2" width="23.08984375" customWidth="1"/>
    <col min="3" max="3" width="23.81640625" customWidth="1"/>
    <col min="4" max="4" width="19.6328125" customWidth="1"/>
    <col min="5" max="5" width="22.81640625" customWidth="1"/>
    <col min="6" max="6" width="19.453125" customWidth="1"/>
    <col min="7" max="7" width="20.6328125" customWidth="1"/>
    <col min="8" max="8" width="21.453125" customWidth="1"/>
    <col min="9" max="9" width="24.6328125" customWidth="1"/>
    <col min="10" max="10" width="23.90625" customWidth="1"/>
    <col min="11" max="11" width="24.36328125" customWidth="1"/>
    <col min="12" max="12" width="24.6328125" customWidth="1"/>
    <col min="13" max="17" width="14.54296875" customWidth="1"/>
  </cols>
  <sheetData>
    <row r="1" spans="1:12" s="219" customFormat="1" ht="30" customHeight="1">
      <c r="A1" s="218" t="s">
        <v>175</v>
      </c>
    </row>
    <row r="2" spans="1:12" s="96" customFormat="1" ht="30" customHeight="1">
      <c r="A2" s="95"/>
    </row>
    <row r="3" spans="1:12" s="96" customFormat="1" ht="30" customHeight="1">
      <c r="A3" s="95"/>
    </row>
    <row r="4" spans="1:12" s="96" customFormat="1" ht="30" customHeight="1">
      <c r="A4" s="95"/>
    </row>
    <row r="5" spans="1:12" s="96" customFormat="1" ht="30" customHeight="1">
      <c r="A5" s="95"/>
    </row>
    <row r="6" spans="1:12" s="96" customFormat="1" ht="30" customHeight="1">
      <c r="A6" s="95"/>
    </row>
    <row r="7" spans="1:12" s="96" customFormat="1" ht="30" customHeight="1">
      <c r="A7" s="95"/>
    </row>
    <row r="8" spans="1:12" s="96" customFormat="1" ht="30" customHeight="1">
      <c r="A8" s="95"/>
    </row>
    <row r="9" spans="1:12" s="96" customFormat="1" ht="30" customHeight="1">
      <c r="A9" s="95"/>
    </row>
    <row r="10" spans="1:12" s="96" customFormat="1" ht="30" customHeight="1">
      <c r="A10" s="95"/>
    </row>
    <row r="11" spans="1:12" s="219" customFormat="1" ht="30" customHeight="1">
      <c r="A11" s="218" t="s">
        <v>180</v>
      </c>
    </row>
    <row r="12" spans="1:12">
      <c r="A12" s="224" t="s">
        <v>88</v>
      </c>
      <c r="B12" s="224"/>
      <c r="C12" s="224"/>
      <c r="D12" s="224"/>
      <c r="E12" s="224"/>
      <c r="F12" s="224"/>
      <c r="G12" s="224"/>
      <c r="H12" s="224" t="s">
        <v>141</v>
      </c>
      <c r="I12" s="224"/>
      <c r="J12" s="224"/>
      <c r="K12" s="224"/>
      <c r="L12" s="224"/>
    </row>
    <row r="13" spans="1:12">
      <c r="A13" s="59" t="s">
        <v>89</v>
      </c>
      <c r="B13" s="59">
        <v>2018</v>
      </c>
      <c r="C13" s="59">
        <v>2019</v>
      </c>
      <c r="D13" s="59">
        <v>2020</v>
      </c>
      <c r="E13" s="59">
        <v>2021</v>
      </c>
      <c r="F13" s="59">
        <v>2022</v>
      </c>
      <c r="G13" s="59">
        <v>2023</v>
      </c>
      <c r="H13" s="59">
        <v>2024</v>
      </c>
      <c r="I13" s="59">
        <v>2025</v>
      </c>
      <c r="J13" s="59">
        <v>2026</v>
      </c>
      <c r="K13" s="59">
        <v>2027</v>
      </c>
      <c r="L13" s="59">
        <v>2028</v>
      </c>
    </row>
    <row r="14" spans="1:12">
      <c r="A14" s="59" t="s">
        <v>142</v>
      </c>
      <c r="B14" s="202">
        <v>212185435</v>
      </c>
      <c r="C14" s="202">
        <v>243792179</v>
      </c>
      <c r="D14" s="202">
        <v>175970286</v>
      </c>
      <c r="E14" s="202">
        <v>211719000</v>
      </c>
      <c r="F14" s="202">
        <v>296822000</v>
      </c>
      <c r="G14" s="202">
        <v>345324000</v>
      </c>
      <c r="H14" s="198">
        <f>_xlfn.FORECAST.ETS(H13,B14:G14,B13:G13)</f>
        <v>369997804.83050162</v>
      </c>
      <c r="I14" s="198">
        <f>_xlfn.FORECAST.ETS(I13,B14:H14,B13:H13)</f>
        <v>398582461.51600218</v>
      </c>
      <c r="J14" s="198">
        <f>_xlfn.FORECAST.ETS(J13,B14:I14,B13:I13)</f>
        <v>428842670.9775576</v>
      </c>
      <c r="K14" s="198">
        <f>_xlfn.FORECAST.ETS(K13,B14:J14,B13:J13)</f>
        <v>459772074.01238537</v>
      </c>
      <c r="L14" s="198">
        <f>_xlfn.FORECAST.ETS(L13,B14:K14,B13:K13)</f>
        <v>491051381.75474459</v>
      </c>
    </row>
    <row r="15" spans="1:12">
      <c r="A15" s="59" t="s">
        <v>96</v>
      </c>
      <c r="B15" s="202">
        <v>161167482</v>
      </c>
      <c r="C15" s="202">
        <v>179627188</v>
      </c>
      <c r="D15" s="202">
        <v>128313102</v>
      </c>
      <c r="E15" s="202">
        <v>153576000</v>
      </c>
      <c r="F15" s="202">
        <v>211902000</v>
      </c>
      <c r="G15" s="202">
        <v>253167250</v>
      </c>
      <c r="H15" s="198">
        <f>_xlfn.FORECAST.ETS(H13,B15:G15,B13:G13)</f>
        <v>269460316.17056829</v>
      </c>
      <c r="I15" s="198">
        <f t="shared" ref="I15:L15" si="0">_xlfn.FORECAST.ETS(I13,C15:H15,C13:H13)</f>
        <v>300442999.19284678</v>
      </c>
      <c r="J15" s="198">
        <f t="shared" si="0"/>
        <v>341373542.18415427</v>
      </c>
      <c r="K15" s="198">
        <f t="shared" si="0"/>
        <v>374041747.29501569</v>
      </c>
      <c r="L15" s="198">
        <f t="shared" si="0"/>
        <v>401066054.61592239</v>
      </c>
    </row>
    <row r="16" spans="1:12">
      <c r="A16" s="59" t="s">
        <v>143</v>
      </c>
      <c r="B16" s="202">
        <v>132420285</v>
      </c>
      <c r="C16" s="202">
        <v>150258881</v>
      </c>
      <c r="D16" s="202">
        <v>114726437</v>
      </c>
      <c r="E16" s="202">
        <v>127497089</v>
      </c>
      <c r="F16" s="202">
        <v>175306000</v>
      </c>
      <c r="G16" s="202">
        <v>198806000</v>
      </c>
      <c r="H16" s="198">
        <f>_xlfn.FORECAST.ETS($H$13,B16:G16,$B$13:$G$13)</f>
        <v>199622589.90762967</v>
      </c>
      <c r="I16" s="198">
        <f t="shared" ref="I16:L16" si="1">_xlfn.FORECAST.ETS($H$13,C16:H16,$B$13:$G$13)</f>
        <v>221987841.85091677</v>
      </c>
      <c r="J16" s="198">
        <f t="shared" si="1"/>
        <v>246084076.60337362</v>
      </c>
      <c r="K16" s="198">
        <f t="shared" si="1"/>
        <v>264355201.19327921</v>
      </c>
      <c r="L16" s="198">
        <f t="shared" si="1"/>
        <v>280472378.87220472</v>
      </c>
    </row>
    <row r="17" spans="1:12">
      <c r="A17" s="59" t="s">
        <v>144</v>
      </c>
      <c r="B17" s="201"/>
      <c r="C17" s="201">
        <f t="shared" ref="C17:L17" si="2">(C15-B15)/B15</f>
        <v>0.11453741022025771</v>
      </c>
      <c r="D17" s="201">
        <f t="shared" si="2"/>
        <v>-0.28566992876379049</v>
      </c>
      <c r="E17" s="201">
        <f t="shared" si="2"/>
        <v>0.19688478889708394</v>
      </c>
      <c r="F17" s="201">
        <f t="shared" si="2"/>
        <v>0.37978590404750745</v>
      </c>
      <c r="G17" s="201">
        <f t="shared" si="2"/>
        <v>0.19473742579116762</v>
      </c>
      <c r="H17" s="199">
        <f t="shared" si="2"/>
        <v>6.4356926776936149E-2</v>
      </c>
      <c r="I17" s="199">
        <f t="shared" si="2"/>
        <v>0.1149805042263309</v>
      </c>
      <c r="J17" s="199">
        <f t="shared" si="2"/>
        <v>0.13623397150630631</v>
      </c>
      <c r="K17" s="199">
        <f t="shared" si="2"/>
        <v>9.5696359190128824E-2</v>
      </c>
      <c r="L17" s="199">
        <f t="shared" si="2"/>
        <v>7.2249441449625085E-2</v>
      </c>
    </row>
    <row r="18" spans="1:12">
      <c r="A18" s="59" t="s">
        <v>145</v>
      </c>
      <c r="B18" s="202">
        <v>7641586</v>
      </c>
      <c r="C18" s="202">
        <v>7510781</v>
      </c>
      <c r="D18" s="203">
        <v>-12633623</v>
      </c>
      <c r="E18" s="203">
        <v>-6275000</v>
      </c>
      <c r="F18" s="202">
        <v>9941000</v>
      </c>
      <c r="G18" s="202">
        <v>14414000</v>
      </c>
      <c r="H18" s="198">
        <f>FORECAST(2024, B18:G18, B13:G13)</f>
        <v>8184259</v>
      </c>
      <c r="I18" s="198">
        <f>FORECAST(2024, B18:H18, $B$13:H13)</f>
        <v>8184259.0000004768</v>
      </c>
      <c r="J18" s="198">
        <f>FORECAST(2024, $B$18:I18, $B$13:I$13)</f>
        <v>7731769.952381134</v>
      </c>
      <c r="K18" s="198">
        <f>FORECAST(2024, $B18:$J18, $B$13:J$13)</f>
        <v>7123423.5661377907</v>
      </c>
      <c r="L18" s="198">
        <f>FORECAST(2024, $B18:$K18, $B$13:K$13)</f>
        <v>6535187.8042330742</v>
      </c>
    </row>
    <row r="19" spans="1:12">
      <c r="A19" s="59" t="s">
        <v>99</v>
      </c>
      <c r="B19" s="202">
        <f t="shared" ref="B19:L19" si="3">B15-B16</f>
        <v>28747197</v>
      </c>
      <c r="C19" s="202">
        <f t="shared" si="3"/>
        <v>29368307</v>
      </c>
      <c r="D19" s="202">
        <f t="shared" si="3"/>
        <v>13586665</v>
      </c>
      <c r="E19" s="202">
        <f t="shared" si="3"/>
        <v>26078911</v>
      </c>
      <c r="F19" s="202">
        <f t="shared" si="3"/>
        <v>36596000</v>
      </c>
      <c r="G19" s="202">
        <f t="shared" si="3"/>
        <v>54361250</v>
      </c>
      <c r="H19" s="198">
        <f t="shared" si="3"/>
        <v>69837726.262938619</v>
      </c>
      <c r="I19" s="198">
        <f t="shared" si="3"/>
        <v>78455157.341930002</v>
      </c>
      <c r="J19" s="198">
        <f t="shared" si="3"/>
        <v>95289465.580780655</v>
      </c>
      <c r="K19" s="198">
        <f t="shared" si="3"/>
        <v>109686546.10173649</v>
      </c>
      <c r="L19" s="198">
        <f t="shared" si="3"/>
        <v>120593675.74371767</v>
      </c>
    </row>
    <row r="20" spans="1:12">
      <c r="A20" s="59" t="s">
        <v>146</v>
      </c>
      <c r="B20" s="201">
        <f t="shared" ref="B20:L20" si="4">B15/B14</f>
        <v>0.75955958994075157</v>
      </c>
      <c r="C20" s="201">
        <f t="shared" si="4"/>
        <v>0.73680455516171417</v>
      </c>
      <c r="D20" s="201">
        <f t="shared" si="4"/>
        <v>0.72917482216287355</v>
      </c>
      <c r="E20" s="201">
        <f t="shared" si="4"/>
        <v>0.72537656044096188</v>
      </c>
      <c r="F20" s="201">
        <f t="shared" si="4"/>
        <v>0.71390260829722862</v>
      </c>
      <c r="G20" s="201">
        <f t="shared" si="4"/>
        <v>0.73312961161112467</v>
      </c>
      <c r="H20" s="200">
        <f t="shared" si="4"/>
        <v>0.7282754455638184</v>
      </c>
      <c r="I20" s="200">
        <f t="shared" si="4"/>
        <v>0.75377877403365046</v>
      </c>
      <c r="J20" s="200">
        <f t="shared" si="4"/>
        <v>0.79603445572704956</v>
      </c>
      <c r="K20" s="200">
        <f t="shared" si="4"/>
        <v>0.813537333902841</v>
      </c>
      <c r="L20" s="200">
        <f t="shared" si="4"/>
        <v>0.81674967125178499</v>
      </c>
    </row>
    <row r="21" spans="1:12">
      <c r="A21" s="77" t="s">
        <v>147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</row>
    <row r="22" spans="1:12">
      <c r="A22" s="77" t="s">
        <v>148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>
      <c r="A23" s="225" t="s">
        <v>149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</row>
    <row r="24" spans="1:12">
      <c r="A24" s="225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</row>
    <row r="25" spans="1:12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</row>
    <row r="34" spans="1:7">
      <c r="G34" s="89"/>
    </row>
    <row r="40" spans="1:7" s="219" customFormat="1" ht="30" customHeight="1">
      <c r="A40" s="218" t="s">
        <v>181</v>
      </c>
    </row>
    <row r="42" spans="1:7" ht="18.5">
      <c r="A42" s="106" t="s">
        <v>186</v>
      </c>
      <c r="E42" s="223" t="s">
        <v>188</v>
      </c>
      <c r="F42" s="223"/>
      <c r="G42" s="223"/>
    </row>
    <row r="43" spans="1:7">
      <c r="A43" s="103" t="s">
        <v>183</v>
      </c>
      <c r="B43" s="104">
        <v>0.5</v>
      </c>
      <c r="E43" s="76" t="s">
        <v>156</v>
      </c>
      <c r="F43" s="76" t="s">
        <v>157</v>
      </c>
      <c r="G43" s="76" t="s">
        <v>158</v>
      </c>
    </row>
    <row r="44" spans="1:7" ht="18" customHeight="1">
      <c r="A44" s="103" t="s">
        <v>184</v>
      </c>
      <c r="B44" s="104">
        <v>0.8</v>
      </c>
      <c r="E44" s="105">
        <v>0</v>
      </c>
      <c r="F44" s="76" t="s">
        <v>159</v>
      </c>
      <c r="G44" s="76" t="s">
        <v>160</v>
      </c>
    </row>
    <row r="45" spans="1:7" ht="18" customHeight="1">
      <c r="A45" s="103" t="s">
        <v>185</v>
      </c>
      <c r="B45" s="104">
        <v>1</v>
      </c>
      <c r="E45" s="105">
        <v>0.1</v>
      </c>
      <c r="F45" s="76" t="s">
        <v>161</v>
      </c>
      <c r="G45" s="76" t="s">
        <v>162</v>
      </c>
    </row>
    <row r="46" spans="1:7" ht="18" customHeight="1">
      <c r="E46" s="105">
        <v>0.2</v>
      </c>
      <c r="F46" s="76" t="s">
        <v>163</v>
      </c>
      <c r="G46" s="76" t="s">
        <v>164</v>
      </c>
    </row>
    <row r="47" spans="1:7" ht="18" customHeight="1">
      <c r="E47" s="105">
        <v>0.4</v>
      </c>
      <c r="F47" s="76" t="s">
        <v>163</v>
      </c>
      <c r="G47" s="76" t="s">
        <v>164</v>
      </c>
    </row>
    <row r="48" spans="1:7" ht="18" customHeight="1">
      <c r="E48" s="105">
        <v>0.51</v>
      </c>
      <c r="F48" s="76" t="s">
        <v>165</v>
      </c>
      <c r="G48" s="76" t="s">
        <v>164</v>
      </c>
    </row>
    <row r="49" spans="1:7" ht="18" customHeight="1" thickBot="1"/>
    <row r="50" spans="1:7">
      <c r="A50" s="220" t="s">
        <v>182</v>
      </c>
      <c r="B50" s="221"/>
      <c r="C50" s="221"/>
      <c r="D50" s="221"/>
      <c r="E50" s="221"/>
      <c r="F50" s="221"/>
      <c r="G50" s="222"/>
    </row>
    <row r="51" spans="1:7" ht="26.4" customHeight="1">
      <c r="A51" s="204" t="s">
        <v>150</v>
      </c>
      <c r="B51" s="97" t="s">
        <v>151</v>
      </c>
      <c r="C51" s="97" t="s">
        <v>152</v>
      </c>
      <c r="D51" s="98" t="s">
        <v>153</v>
      </c>
      <c r="E51" s="98" t="s">
        <v>187</v>
      </c>
      <c r="F51" s="98" t="s">
        <v>154</v>
      </c>
      <c r="G51" s="205" t="s">
        <v>155</v>
      </c>
    </row>
    <row r="52" spans="1:7" ht="14.5" customHeight="1">
      <c r="A52" s="206" t="s">
        <v>5</v>
      </c>
      <c r="B52" s="99">
        <v>4.5</v>
      </c>
      <c r="C52" s="100">
        <f t="shared" ref="C52:C61" ca="1" si="5">MIN(RANDBETWEEN(ROUND(B52*$B$43, 2), ROUND(B52*$B$44, 2)), B52)</f>
        <v>3</v>
      </c>
      <c r="D52" s="100">
        <f t="shared" ref="D52:D61" ca="1" si="6">B52-C52</f>
        <v>1.5</v>
      </c>
      <c r="E52" s="101">
        <f t="shared" ref="E52:E61" ca="1" si="7">D52/B52</f>
        <v>0.33333333333333331</v>
      </c>
      <c r="F52" s="102" t="str">
        <f ca="1">VLOOKUP($E52,$E$44:$F$48,2,TRUE)</f>
        <v>Good Performer</v>
      </c>
      <c r="G52" s="207" t="str">
        <f t="shared" ref="G52:G61" ca="1" si="8">IF(F52="Underperformer", "Discontinue", IF(F52="Average Performer", "Reaccess", IF(F52="Good Performer", "Promote", IF(F52="Excellent Performer", "Promote", ""))))</f>
        <v>Promote</v>
      </c>
    </row>
    <row r="53" spans="1:7">
      <c r="A53" s="206" t="s">
        <v>6</v>
      </c>
      <c r="B53" s="99">
        <v>8</v>
      </c>
      <c r="C53" s="100">
        <f t="shared" ca="1" si="5"/>
        <v>5</v>
      </c>
      <c r="D53" s="100">
        <f t="shared" ca="1" si="6"/>
        <v>3</v>
      </c>
      <c r="E53" s="101">
        <f t="shared" ca="1" si="7"/>
        <v>0.375</v>
      </c>
      <c r="F53" s="102" t="str">
        <f t="shared" ref="F53:F61" ca="1" si="9">VLOOKUP($E53,$E$44:$F$48,2,TRUE)</f>
        <v>Good Performer</v>
      </c>
      <c r="G53" s="207" t="str">
        <f t="shared" ca="1" si="8"/>
        <v>Promote</v>
      </c>
    </row>
    <row r="54" spans="1:7">
      <c r="A54" s="206" t="s">
        <v>7</v>
      </c>
      <c r="B54" s="99">
        <v>20</v>
      </c>
      <c r="C54" s="100">
        <f t="shared" ca="1" si="5"/>
        <v>14</v>
      </c>
      <c r="D54" s="100">
        <f t="shared" ca="1" si="6"/>
        <v>6</v>
      </c>
      <c r="E54" s="101">
        <f t="shared" ca="1" si="7"/>
        <v>0.3</v>
      </c>
      <c r="F54" s="102" t="str">
        <f t="shared" ca="1" si="9"/>
        <v>Good Performer</v>
      </c>
      <c r="G54" s="207" t="str">
        <f t="shared" ca="1" si="8"/>
        <v>Promote</v>
      </c>
    </row>
    <row r="55" spans="1:7">
      <c r="A55" s="206" t="s">
        <v>8</v>
      </c>
      <c r="B55" s="99">
        <v>1.5</v>
      </c>
      <c r="C55" s="100">
        <f t="shared" ca="1" si="5"/>
        <v>1</v>
      </c>
      <c r="D55" s="100">
        <f t="shared" ca="1" si="6"/>
        <v>0.5</v>
      </c>
      <c r="E55" s="101">
        <f t="shared" ca="1" si="7"/>
        <v>0.33333333333333331</v>
      </c>
      <c r="F55" s="102" t="str">
        <f t="shared" ca="1" si="9"/>
        <v>Good Performer</v>
      </c>
      <c r="G55" s="207" t="str">
        <f t="shared" ca="1" si="8"/>
        <v>Promote</v>
      </c>
    </row>
    <row r="56" spans="1:7">
      <c r="A56" s="206" t="s">
        <v>9</v>
      </c>
      <c r="B56" s="99">
        <v>5</v>
      </c>
      <c r="C56" s="100">
        <f t="shared" ca="1" si="5"/>
        <v>4</v>
      </c>
      <c r="D56" s="100">
        <f t="shared" ca="1" si="6"/>
        <v>1</v>
      </c>
      <c r="E56" s="101">
        <f t="shared" ca="1" si="7"/>
        <v>0.2</v>
      </c>
      <c r="F56" s="102" t="str">
        <f t="shared" ca="1" si="9"/>
        <v>Good Performer</v>
      </c>
      <c r="G56" s="207" t="str">
        <f t="shared" ca="1" si="8"/>
        <v>Promote</v>
      </c>
    </row>
    <row r="57" spans="1:7">
      <c r="A57" s="206" t="s">
        <v>10</v>
      </c>
      <c r="B57" s="99">
        <v>7.5</v>
      </c>
      <c r="C57" s="100">
        <f t="shared" ca="1" si="5"/>
        <v>4</v>
      </c>
      <c r="D57" s="100">
        <f t="shared" ca="1" si="6"/>
        <v>3.5</v>
      </c>
      <c r="E57" s="101">
        <f t="shared" ca="1" si="7"/>
        <v>0.46666666666666667</v>
      </c>
      <c r="F57" s="102" t="str">
        <f t="shared" ca="1" si="9"/>
        <v>Good Performer</v>
      </c>
      <c r="G57" s="207" t="str">
        <f t="shared" ca="1" si="8"/>
        <v>Promote</v>
      </c>
    </row>
    <row r="58" spans="1:7">
      <c r="A58" s="206" t="s">
        <v>11</v>
      </c>
      <c r="B58" s="99">
        <v>6</v>
      </c>
      <c r="C58" s="100">
        <f t="shared" ca="1" si="5"/>
        <v>3</v>
      </c>
      <c r="D58" s="100">
        <f t="shared" ca="1" si="6"/>
        <v>3</v>
      </c>
      <c r="E58" s="101">
        <f t="shared" ca="1" si="7"/>
        <v>0.5</v>
      </c>
      <c r="F58" s="102" t="str">
        <f t="shared" ca="1" si="9"/>
        <v>Good Performer</v>
      </c>
      <c r="G58" s="207" t="str">
        <f t="shared" ca="1" si="8"/>
        <v>Promote</v>
      </c>
    </row>
    <row r="59" spans="1:7">
      <c r="A59" s="206" t="s">
        <v>12</v>
      </c>
      <c r="B59" s="99">
        <v>1.2</v>
      </c>
      <c r="C59" s="100">
        <f t="shared" ca="1" si="5"/>
        <v>1</v>
      </c>
      <c r="D59" s="100">
        <f t="shared" ca="1" si="6"/>
        <v>0.19999999999999996</v>
      </c>
      <c r="E59" s="101">
        <f t="shared" ca="1" si="7"/>
        <v>0.16666666666666663</v>
      </c>
      <c r="F59" s="102" t="str">
        <f t="shared" ca="1" si="9"/>
        <v>Average Performer</v>
      </c>
      <c r="G59" s="207" t="str">
        <f t="shared" ca="1" si="8"/>
        <v>Reaccess</v>
      </c>
    </row>
    <row r="60" spans="1:7">
      <c r="A60" s="206" t="s">
        <v>13</v>
      </c>
      <c r="B60" s="99">
        <v>4</v>
      </c>
      <c r="C60" s="100">
        <f t="shared" ca="1" si="5"/>
        <v>2</v>
      </c>
      <c r="D60" s="100">
        <f t="shared" ca="1" si="6"/>
        <v>2</v>
      </c>
      <c r="E60" s="101">
        <f t="shared" ca="1" si="7"/>
        <v>0.5</v>
      </c>
      <c r="F60" s="102" t="str">
        <f t="shared" ca="1" si="9"/>
        <v>Good Performer</v>
      </c>
      <c r="G60" s="207" t="str">
        <f t="shared" ca="1" si="8"/>
        <v>Promote</v>
      </c>
    </row>
    <row r="61" spans="1:7" ht="15" thickBot="1">
      <c r="A61" s="208" t="s">
        <v>14</v>
      </c>
      <c r="B61" s="209">
        <v>9</v>
      </c>
      <c r="C61" s="210">
        <f t="shared" ca="1" si="5"/>
        <v>5</v>
      </c>
      <c r="D61" s="210">
        <f t="shared" ca="1" si="6"/>
        <v>4</v>
      </c>
      <c r="E61" s="211">
        <f t="shared" ca="1" si="7"/>
        <v>0.44444444444444442</v>
      </c>
      <c r="F61" s="212" t="str">
        <f t="shared" ca="1" si="9"/>
        <v>Good Performer</v>
      </c>
      <c r="G61" s="213" t="str">
        <f t="shared" ca="1" si="8"/>
        <v>Promote</v>
      </c>
    </row>
    <row r="65" spans="1:15" s="219" customFormat="1" ht="30" customHeight="1">
      <c r="A65" s="218" t="s">
        <v>189</v>
      </c>
    </row>
    <row r="67" spans="1:15" ht="14.5" customHeight="1">
      <c r="A67" s="73" t="s">
        <v>89</v>
      </c>
      <c r="B67" s="78">
        <v>2018</v>
      </c>
      <c r="C67" s="78">
        <v>2019</v>
      </c>
      <c r="D67" s="78">
        <v>2020</v>
      </c>
      <c r="E67" s="78">
        <v>2021</v>
      </c>
      <c r="F67" s="78">
        <v>2022</v>
      </c>
      <c r="G67" s="78">
        <v>2023</v>
      </c>
    </row>
    <row r="68" spans="1:15">
      <c r="A68" s="90" t="s">
        <v>142</v>
      </c>
      <c r="B68" s="58">
        <v>150200826</v>
      </c>
      <c r="C68" s="58">
        <v>166909364</v>
      </c>
      <c r="D68" s="58">
        <v>121245043</v>
      </c>
      <c r="E68" s="58">
        <v>142586436</v>
      </c>
      <c r="F68" s="58">
        <v>196657285</v>
      </c>
      <c r="G68" s="58">
        <v>226701561</v>
      </c>
    </row>
    <row r="69" spans="1:15">
      <c r="A69" s="91" t="s">
        <v>90</v>
      </c>
      <c r="B69" s="58">
        <v>60080330</v>
      </c>
      <c r="C69" s="58">
        <v>66763746</v>
      </c>
      <c r="D69" s="58">
        <v>48498017</v>
      </c>
      <c r="E69" s="58">
        <v>57034574</v>
      </c>
      <c r="F69" s="58">
        <v>78662914</v>
      </c>
      <c r="G69" s="58">
        <v>90680624</v>
      </c>
    </row>
    <row r="70" spans="1:15">
      <c r="A70" s="91" t="s">
        <v>92</v>
      </c>
      <c r="B70" s="58">
        <v>15020083</v>
      </c>
      <c r="C70" s="58">
        <v>16690936</v>
      </c>
      <c r="D70" s="58">
        <v>12124504</v>
      </c>
      <c r="E70" s="58">
        <v>14258644</v>
      </c>
      <c r="F70" s="58">
        <v>19665729</v>
      </c>
      <c r="G70" s="58">
        <v>22670156</v>
      </c>
    </row>
    <row r="71" spans="1:15">
      <c r="A71" s="91" t="s">
        <v>94</v>
      </c>
      <c r="B71" s="58">
        <v>75100413</v>
      </c>
      <c r="C71" s="58">
        <v>83454682</v>
      </c>
      <c r="D71" s="58">
        <v>60622522</v>
      </c>
      <c r="E71" s="58">
        <v>71293218</v>
      </c>
      <c r="F71" s="58">
        <v>98328643</v>
      </c>
      <c r="G71" s="58">
        <v>113350781</v>
      </c>
      <c r="H71" s="57"/>
    </row>
    <row r="72" spans="1:15">
      <c r="A72" s="91" t="s">
        <v>166</v>
      </c>
      <c r="B72" s="58">
        <v>10966956</v>
      </c>
      <c r="C72" s="58">
        <v>12716824</v>
      </c>
      <c r="D72" s="58">
        <v>8067959</v>
      </c>
      <c r="E72" s="58">
        <v>10989154</v>
      </c>
      <c r="F72" s="58">
        <v>15244931</v>
      </c>
      <c r="G72" s="58">
        <v>17405787</v>
      </c>
      <c r="H72" s="57"/>
    </row>
    <row r="73" spans="1:15">
      <c r="A73" s="90" t="s">
        <v>96</v>
      </c>
      <c r="B73" s="58">
        <f t="shared" ref="B73:G73" si="10">SUM(B69:B72)</f>
        <v>161167782</v>
      </c>
      <c r="C73" s="58">
        <f t="shared" si="10"/>
        <v>179626188</v>
      </c>
      <c r="D73" s="58">
        <f t="shared" si="10"/>
        <v>129313002</v>
      </c>
      <c r="E73" s="58">
        <f t="shared" si="10"/>
        <v>153575590</v>
      </c>
      <c r="F73" s="58">
        <f t="shared" si="10"/>
        <v>211902217</v>
      </c>
      <c r="G73" s="58">
        <f t="shared" si="10"/>
        <v>244107348</v>
      </c>
      <c r="H73" s="57"/>
    </row>
    <row r="74" spans="1:15">
      <c r="F74" s="57"/>
      <c r="G74" s="57"/>
      <c r="H74" s="57"/>
    </row>
    <row r="75" spans="1:15">
      <c r="F75" s="57"/>
      <c r="G75" s="57"/>
      <c r="H75" s="57"/>
    </row>
    <row r="76" spans="1:15">
      <c r="F76" s="57"/>
      <c r="G76" s="57"/>
      <c r="H76" s="57"/>
    </row>
    <row r="77" spans="1:15">
      <c r="F77" s="57"/>
      <c r="G77" s="57"/>
      <c r="H77" s="57"/>
    </row>
    <row r="78" spans="1:15">
      <c r="A78" s="59" t="s">
        <v>101</v>
      </c>
      <c r="B78" s="60" t="s">
        <v>102</v>
      </c>
      <c r="C78" s="60" t="s">
        <v>115</v>
      </c>
      <c r="D78" s="61" t="s">
        <v>90</v>
      </c>
      <c r="E78" s="60" t="s">
        <v>126</v>
      </c>
      <c r="F78" s="60" t="s">
        <v>127</v>
      </c>
      <c r="G78" s="61" t="s">
        <v>122</v>
      </c>
      <c r="H78" s="60" t="s">
        <v>167</v>
      </c>
      <c r="I78" s="60" t="s">
        <v>109</v>
      </c>
      <c r="J78" s="61" t="s">
        <v>168</v>
      </c>
      <c r="K78" s="61" t="s">
        <v>166</v>
      </c>
      <c r="L78" s="61" t="s">
        <v>169</v>
      </c>
      <c r="M78" s="60" t="s">
        <v>170</v>
      </c>
      <c r="N78" s="60" t="s">
        <v>171</v>
      </c>
      <c r="O78" s="79" t="s">
        <v>172</v>
      </c>
    </row>
    <row r="79" spans="1:15">
      <c r="A79" s="90">
        <v>2018</v>
      </c>
      <c r="B79" s="62">
        <v>7</v>
      </c>
      <c r="C79" s="63">
        <v>8582904</v>
      </c>
      <c r="D79" s="58">
        <f t="shared" ref="D79:D84" si="11">B79*C79</f>
        <v>60080328</v>
      </c>
      <c r="E79" s="62">
        <v>3</v>
      </c>
      <c r="F79" s="63">
        <v>5006694</v>
      </c>
      <c r="G79" s="58">
        <f t="shared" ref="G79:G84" si="12">E79*F79</f>
        <v>15020082</v>
      </c>
      <c r="H79" s="80">
        <v>9</v>
      </c>
      <c r="I79" s="81">
        <v>8344490</v>
      </c>
      <c r="J79" s="82">
        <f t="shared" ref="J79:J84" si="13">H79*I79</f>
        <v>75100410</v>
      </c>
      <c r="K79" s="58">
        <v>3342528</v>
      </c>
      <c r="L79" s="63">
        <f t="shared" ref="L79:L84" si="14">C79+F79+I79</f>
        <v>21934088</v>
      </c>
      <c r="M79" s="58">
        <f>J79+G79+D79</f>
        <v>150200820</v>
      </c>
      <c r="N79" s="58">
        <f t="shared" ref="N79:N84" si="15">M79+K79</f>
        <v>153543348</v>
      </c>
      <c r="O79" s="83">
        <v>161167782</v>
      </c>
    </row>
    <row r="80" spans="1:15">
      <c r="A80" s="90">
        <v>2019</v>
      </c>
      <c r="B80" s="62">
        <v>7.5</v>
      </c>
      <c r="C80" s="63">
        <v>8901833</v>
      </c>
      <c r="D80" s="58">
        <f t="shared" si="11"/>
        <v>66763747.5</v>
      </c>
      <c r="E80" s="62">
        <v>3.5</v>
      </c>
      <c r="F80" s="63">
        <v>4768839</v>
      </c>
      <c r="G80" s="58">
        <f t="shared" si="12"/>
        <v>16690936.5</v>
      </c>
      <c r="H80" s="80">
        <v>9.5</v>
      </c>
      <c r="I80" s="81">
        <v>8784703</v>
      </c>
      <c r="J80" s="82">
        <f t="shared" si="13"/>
        <v>83454678.5</v>
      </c>
      <c r="K80" s="58">
        <v>6850218</v>
      </c>
      <c r="L80" s="63">
        <f t="shared" si="14"/>
        <v>22455375</v>
      </c>
      <c r="M80" s="58">
        <f t="shared" ref="M80:M84" si="16">J80+G80+D80</f>
        <v>166909362.5</v>
      </c>
      <c r="N80" s="58">
        <f t="shared" si="15"/>
        <v>173759580.5</v>
      </c>
      <c r="O80" s="58">
        <v>179626188</v>
      </c>
    </row>
    <row r="81" spans="1:17">
      <c r="A81" s="90">
        <v>2020</v>
      </c>
      <c r="B81" s="62">
        <v>8</v>
      </c>
      <c r="C81" s="63">
        <v>6062252</v>
      </c>
      <c r="D81" s="58">
        <f t="shared" si="11"/>
        <v>48498016</v>
      </c>
      <c r="E81" s="62">
        <v>4</v>
      </c>
      <c r="F81" s="63">
        <v>3031126</v>
      </c>
      <c r="G81" s="58">
        <f t="shared" si="12"/>
        <v>12124504</v>
      </c>
      <c r="H81" s="80">
        <v>10</v>
      </c>
      <c r="I81" s="81">
        <v>6062252</v>
      </c>
      <c r="J81" s="82">
        <f t="shared" si="13"/>
        <v>60622520</v>
      </c>
      <c r="K81" s="58">
        <v>4161177</v>
      </c>
      <c r="L81" s="63">
        <f t="shared" si="14"/>
        <v>15155630</v>
      </c>
      <c r="M81" s="58">
        <f t="shared" si="16"/>
        <v>121245040</v>
      </c>
      <c r="N81" s="58">
        <f t="shared" si="15"/>
        <v>125406217</v>
      </c>
      <c r="O81" s="58">
        <v>129313002</v>
      </c>
    </row>
    <row r="82" spans="1:17">
      <c r="A82" s="90">
        <v>2021</v>
      </c>
      <c r="B82" s="62">
        <v>9</v>
      </c>
      <c r="C82" s="63">
        <v>6337175</v>
      </c>
      <c r="D82" s="58">
        <f t="shared" si="11"/>
        <v>57034575</v>
      </c>
      <c r="E82" s="62">
        <v>5</v>
      </c>
      <c r="F82" s="63">
        <v>2851729</v>
      </c>
      <c r="G82" s="58">
        <f t="shared" si="12"/>
        <v>14258645</v>
      </c>
      <c r="H82" s="80">
        <v>11</v>
      </c>
      <c r="I82" s="81">
        <v>6481202</v>
      </c>
      <c r="J82" s="82">
        <f t="shared" si="13"/>
        <v>71293222</v>
      </c>
      <c r="K82" s="58">
        <v>3893018</v>
      </c>
      <c r="L82" s="63">
        <f t="shared" si="14"/>
        <v>15670106</v>
      </c>
      <c r="M82" s="58">
        <f t="shared" si="16"/>
        <v>142586442</v>
      </c>
      <c r="N82" s="58">
        <f>M82+K82</f>
        <v>146479460</v>
      </c>
      <c r="O82" s="58">
        <v>153575590</v>
      </c>
    </row>
    <row r="83" spans="1:17">
      <c r="A83" s="90">
        <v>2022</v>
      </c>
      <c r="B83" s="62">
        <v>9.5</v>
      </c>
      <c r="C83" s="63">
        <v>8280307</v>
      </c>
      <c r="D83" s="58">
        <f t="shared" si="11"/>
        <v>78662916.5</v>
      </c>
      <c r="E83" s="62">
        <v>5.5</v>
      </c>
      <c r="F83" s="63">
        <v>3575587</v>
      </c>
      <c r="G83" s="58">
        <f t="shared" si="12"/>
        <v>19665728.5</v>
      </c>
      <c r="H83" s="80">
        <v>11.5</v>
      </c>
      <c r="I83" s="81">
        <v>8550317</v>
      </c>
      <c r="J83" s="82">
        <f t="shared" si="13"/>
        <v>98328645.5</v>
      </c>
      <c r="K83" s="58">
        <v>5669710</v>
      </c>
      <c r="L83" s="63">
        <f t="shared" si="14"/>
        <v>20406211</v>
      </c>
      <c r="M83" s="58">
        <f t="shared" si="16"/>
        <v>196657290.5</v>
      </c>
      <c r="N83" s="58">
        <f t="shared" si="15"/>
        <v>202327000.5</v>
      </c>
      <c r="O83" s="58">
        <v>211902216</v>
      </c>
    </row>
    <row r="84" spans="1:17">
      <c r="A84" s="90">
        <v>2023</v>
      </c>
      <c r="B84" s="62">
        <v>10</v>
      </c>
      <c r="C84" s="63">
        <v>9068062</v>
      </c>
      <c r="D84" s="58">
        <f t="shared" si="11"/>
        <v>90680620</v>
      </c>
      <c r="E84" s="62">
        <v>6</v>
      </c>
      <c r="F84" s="63">
        <v>3778421</v>
      </c>
      <c r="G84" s="58">
        <f t="shared" si="12"/>
        <v>22670526</v>
      </c>
      <c r="H84" s="80">
        <v>12</v>
      </c>
      <c r="I84" s="81">
        <v>9445898</v>
      </c>
      <c r="J84" s="82">
        <f t="shared" si="13"/>
        <v>113350776</v>
      </c>
      <c r="K84" s="58">
        <v>1866867</v>
      </c>
      <c r="L84" s="63">
        <f t="shared" si="14"/>
        <v>22292381</v>
      </c>
      <c r="M84" s="58">
        <f t="shared" si="16"/>
        <v>226701922</v>
      </c>
      <c r="N84" s="58">
        <f t="shared" si="15"/>
        <v>228568789</v>
      </c>
      <c r="O84" s="58">
        <v>244107348</v>
      </c>
      <c r="P84" s="57"/>
      <c r="Q84" s="57"/>
    </row>
    <row r="85" spans="1:17">
      <c r="B85" s="57"/>
      <c r="C85" s="57"/>
      <c r="D85" s="57"/>
      <c r="E85" s="57"/>
      <c r="F85" s="57"/>
      <c r="L85" s="57"/>
      <c r="M85" s="57"/>
      <c r="N85" s="57"/>
      <c r="O85" s="57"/>
      <c r="P85" s="57"/>
      <c r="Q85" s="57"/>
    </row>
    <row r="86" spans="1:17">
      <c r="B86" s="57"/>
      <c r="J86" s="57"/>
      <c r="K86" s="57"/>
      <c r="L86" s="57"/>
      <c r="M86" s="57"/>
      <c r="N86" s="57"/>
      <c r="O86" s="57"/>
      <c r="P86" s="57"/>
      <c r="Q86" s="57"/>
    </row>
    <row r="87" spans="1:17">
      <c r="B87" s="57"/>
      <c r="H87" s="77" t="s">
        <v>1</v>
      </c>
      <c r="I87" s="77"/>
      <c r="J87" s="57"/>
      <c r="K87" s="57"/>
      <c r="L87" s="57"/>
      <c r="M87" s="57"/>
      <c r="N87" s="57"/>
      <c r="O87" s="57"/>
      <c r="P87" s="57"/>
      <c r="Q87" s="57"/>
    </row>
    <row r="88" spans="1:17">
      <c r="B88" s="57"/>
      <c r="G88" s="57">
        <v>1</v>
      </c>
      <c r="H88" s="57" t="s">
        <v>232</v>
      </c>
      <c r="I88" s="57">
        <f>SLOPE(O79:O84,N79:N84)</f>
        <v>1.0949457365539792</v>
      </c>
      <c r="J88" s="57"/>
      <c r="K88" s="57"/>
      <c r="L88" s="57"/>
      <c r="M88" s="57"/>
      <c r="N88" s="57"/>
      <c r="O88" s="57"/>
      <c r="P88" s="57"/>
      <c r="Q88" s="57"/>
    </row>
    <row r="89" spans="1:17">
      <c r="B89" s="57"/>
      <c r="G89">
        <v>2</v>
      </c>
      <c r="H89" s="57" t="s">
        <v>173</v>
      </c>
      <c r="I89" s="57">
        <f>RSQ(O79:O84,N79:N84)</f>
        <v>0.99823186582222334</v>
      </c>
      <c r="L89" s="57"/>
      <c r="M89" s="57"/>
      <c r="N89" s="57"/>
      <c r="O89" s="57"/>
      <c r="P89" s="57"/>
      <c r="Q89" s="57"/>
    </row>
    <row r="90" spans="1:17">
      <c r="B90" s="57"/>
      <c r="H90" t="s">
        <v>174</v>
      </c>
      <c r="J90" s="57"/>
      <c r="K90" s="57"/>
      <c r="L90" s="57"/>
      <c r="M90" s="57"/>
      <c r="N90" s="57"/>
      <c r="O90" s="57"/>
      <c r="P90" s="57"/>
      <c r="Q90" s="57"/>
    </row>
    <row r="91" spans="1:17">
      <c r="B91" s="57"/>
      <c r="J91" s="57"/>
      <c r="K91" s="57"/>
      <c r="L91" s="57"/>
      <c r="M91" s="57"/>
      <c r="N91" s="57"/>
      <c r="O91" s="57"/>
      <c r="P91" s="57"/>
      <c r="Q91" s="57"/>
    </row>
    <row r="92" spans="1:17">
      <c r="B92" s="57"/>
      <c r="K92" s="57"/>
      <c r="L92" s="57"/>
      <c r="M92" s="57"/>
      <c r="N92" s="57"/>
      <c r="O92" s="57"/>
      <c r="P92" s="57"/>
      <c r="Q92" s="57"/>
    </row>
    <row r="93" spans="1:17">
      <c r="B93" s="57"/>
      <c r="C93" s="57"/>
      <c r="D93" s="57"/>
      <c r="E93" s="57"/>
      <c r="K93" s="57"/>
      <c r="L93" s="57"/>
      <c r="M93" s="57"/>
      <c r="N93" s="57"/>
      <c r="O93" s="57"/>
      <c r="P93" s="57"/>
      <c r="Q93" s="57"/>
    </row>
    <row r="94" spans="1:17">
      <c r="B94" s="57"/>
    </row>
    <row r="95" spans="1:17">
      <c r="B95" s="57"/>
    </row>
    <row r="96" spans="1:17">
      <c r="B96" s="57"/>
    </row>
    <row r="97" spans="1:17">
      <c r="B97" s="57"/>
    </row>
    <row r="98" spans="1:17">
      <c r="B98" s="57"/>
    </row>
    <row r="99" spans="1:17">
      <c r="B99" s="57"/>
    </row>
    <row r="100" spans="1:17">
      <c r="B100" s="57"/>
      <c r="K100" s="217"/>
    </row>
    <row r="101" spans="1:17">
      <c r="B101" s="57"/>
      <c r="C101" s="57"/>
      <c r="D101" s="57"/>
      <c r="E101" s="57"/>
      <c r="F101" s="57"/>
      <c r="G101" s="57"/>
      <c r="H101" s="57"/>
      <c r="I101" s="57"/>
      <c r="J101" s="57"/>
      <c r="K101" s="217"/>
      <c r="M101" s="57"/>
      <c r="N101" s="57"/>
      <c r="O101" s="57"/>
      <c r="P101" s="57"/>
      <c r="Q101" s="57"/>
    </row>
    <row r="102" spans="1:17"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</row>
    <row r="103" spans="1:17"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</row>
    <row r="104" spans="1:17"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P104" s="57"/>
      <c r="Q104" s="57"/>
    </row>
    <row r="105" spans="1:17"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P105" s="57"/>
      <c r="Q105" s="57"/>
    </row>
    <row r="106" spans="1:17"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P106" s="57"/>
      <c r="Q106" s="57"/>
    </row>
    <row r="107" spans="1:17"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</row>
    <row r="108" spans="1:17"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</row>
    <row r="109" spans="1:17"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</row>
    <row r="110" spans="1:17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</row>
    <row r="111" spans="1:17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</row>
    <row r="112" spans="1:17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</row>
    <row r="113" spans="1:17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</row>
    <row r="114" spans="1:17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</row>
    <row r="115" spans="1:17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</row>
    <row r="116" spans="1:17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</row>
    <row r="117" spans="1: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</row>
    <row r="118" spans="1:17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</row>
    <row r="119" spans="1:17">
      <c r="A119" s="75"/>
      <c r="B119" s="75"/>
      <c r="C119" s="75"/>
      <c r="D119" s="75"/>
      <c r="E119" s="75"/>
      <c r="F119" s="75"/>
      <c r="G119" s="75"/>
      <c r="H119" s="57"/>
      <c r="I119" s="57"/>
      <c r="J119" s="57"/>
      <c r="K119" s="57"/>
      <c r="L119" s="57"/>
      <c r="M119" s="57"/>
      <c r="N119" s="57"/>
      <c r="O119" s="57"/>
      <c r="P119" s="57"/>
      <c r="Q119" s="57"/>
    </row>
    <row r="120" spans="1:17">
      <c r="A120" s="84"/>
      <c r="B120" s="75"/>
      <c r="C120" s="75"/>
      <c r="D120" s="75"/>
      <c r="E120" s="75"/>
      <c r="F120" s="75"/>
      <c r="G120" s="75"/>
      <c r="H120" s="57"/>
      <c r="I120" s="57"/>
      <c r="J120" s="57"/>
      <c r="K120" s="57"/>
      <c r="L120" s="57"/>
      <c r="M120" s="57"/>
      <c r="N120" s="57"/>
      <c r="O120" s="57"/>
      <c r="P120" s="57"/>
      <c r="Q120" s="57"/>
    </row>
    <row r="121" spans="1:17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</row>
    <row r="122" spans="1:17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</row>
    <row r="123" spans="1:17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</row>
    <row r="124" spans="1:17">
      <c r="C124" s="57"/>
      <c r="D124" s="57"/>
      <c r="K124" s="57"/>
      <c r="L124" s="57"/>
      <c r="M124" s="57"/>
      <c r="N124" s="57"/>
      <c r="O124" s="57"/>
      <c r="P124" s="57"/>
    </row>
    <row r="125" spans="1:17">
      <c r="K125" s="57"/>
      <c r="L125" s="57"/>
      <c r="M125" s="57"/>
      <c r="N125" s="57"/>
      <c r="O125" s="57"/>
      <c r="P125" s="57"/>
    </row>
    <row r="126" spans="1:17">
      <c r="K126" s="57"/>
      <c r="L126" s="57"/>
      <c r="M126" s="57"/>
      <c r="N126" s="57"/>
      <c r="O126" s="57"/>
      <c r="P126" s="57"/>
    </row>
    <row r="127" spans="1:17">
      <c r="K127" s="57"/>
      <c r="L127" s="57"/>
      <c r="M127" s="57"/>
      <c r="N127" s="57"/>
      <c r="O127" s="57"/>
      <c r="P127" s="57"/>
    </row>
    <row r="128" spans="1:17">
      <c r="K128" s="57"/>
      <c r="L128" s="57"/>
      <c r="M128" s="57"/>
      <c r="N128" s="57"/>
      <c r="O128" s="57"/>
      <c r="P128" s="57"/>
    </row>
    <row r="136" spans="1:8">
      <c r="A136" t="s">
        <v>87</v>
      </c>
      <c r="B136" t="s">
        <v>87</v>
      </c>
      <c r="C136" t="s">
        <v>87</v>
      </c>
      <c r="D136" t="s">
        <v>87</v>
      </c>
      <c r="E136" t="s">
        <v>87</v>
      </c>
      <c r="F136" t="s">
        <v>87</v>
      </c>
      <c r="G136" t="s">
        <v>87</v>
      </c>
      <c r="H136" t="s">
        <v>87</v>
      </c>
    </row>
  </sheetData>
  <scenarios current="0" show="0" sqref="G121">
    <scenario name="Best case" locked="1" count="2" user="User" comment="Created by User on 5/11/2024">
      <inputCells r="B117" val="10" numFmtId="166"/>
      <inputCells r="C117" val="7934555" numFmtId="3"/>
    </scenario>
    <scenario name="Worst Case" locked="1" count="2" user="User" comment="Created by User on 5/11/2024">
      <inputCells r="B117" val="7" numFmtId="166"/>
      <inputCells r="C117" val="7510041" numFmtId="3"/>
    </scenario>
  </scenarios>
  <mergeCells count="10">
    <mergeCell ref="K100:K101"/>
    <mergeCell ref="A65:XFD65"/>
    <mergeCell ref="A1:XFD1"/>
    <mergeCell ref="A11:XFD11"/>
    <mergeCell ref="A40:XFD40"/>
    <mergeCell ref="A50:G50"/>
    <mergeCell ref="E42:G42"/>
    <mergeCell ref="A12:G12"/>
    <mergeCell ref="A23:A24"/>
    <mergeCell ref="H12:L12"/>
  </mergeCells>
  <phoneticPr fontId="40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CBDB7F1FE20B41970528DB90C111DE" ma:contentTypeVersion="4" ma:contentTypeDescription="Create a new document." ma:contentTypeScope="" ma:versionID="86088ba601892cfbc3dda47a16ec469b">
  <xsd:schema xmlns:xsd="http://www.w3.org/2001/XMLSchema" xmlns:xs="http://www.w3.org/2001/XMLSchema" xmlns:p="http://schemas.microsoft.com/office/2006/metadata/properties" xmlns:ns2="ed25c8a4-3770-4150-a27d-bdaad3734898" targetNamespace="http://schemas.microsoft.com/office/2006/metadata/properties" ma:root="true" ma:fieldsID="0eb25cf5a4eacf5d6f109c2f9e7419bf" ns2:_="">
    <xsd:import namespace="ed25c8a4-3770-4150-a27d-bdaad37348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5c8a4-3770-4150-a27d-bdaad37348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3439CC-8D73-4C31-84D9-420D109E06C9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ed25c8a4-3770-4150-a27d-bdaad373489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8EE10CE-9EA8-4704-8B35-2787C1C512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91FC5-3E64-4900-A2A5-88EB6311D8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5c8a4-3770-4150-a27d-bdaad3734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Competitor model</vt:lpstr>
      <vt:lpstr>Customer model</vt:lpstr>
      <vt:lpstr>Forecast for Health-conscious</vt:lpstr>
      <vt:lpstr>Forecast for Indulgent</vt:lpstr>
      <vt:lpstr>Price model</vt:lpstr>
      <vt:lpstr>Financial P&amp;L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Roxy yang</cp:lastModifiedBy>
  <cp:revision/>
  <dcterms:created xsi:type="dcterms:W3CDTF">2015-06-05T18:17:20Z</dcterms:created>
  <dcterms:modified xsi:type="dcterms:W3CDTF">2026-02-25T07:56:02Z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0x01010046CBDB7F1FE20B41970528DB90C111DE</vt:lpwstr>
  </property>
</Properties>
</file>