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313" documentId="13_ncr:1_{1EE3FB85-C378-4B52-B350-B5724775AFE2}" xr6:coauthVersionLast="46" xr6:coauthVersionMax="46" xr10:uidLastSave="{0EDB875F-DBD3-442C-A6BA-785141F998DD}"/>
  <bookViews>
    <workbookView xWindow="-120" yWindow="-120" windowWidth="29040" windowHeight="15840" activeTab="1" xr2:uid="{00000000-000D-0000-FFFF-FFFF00000000}"/>
  </bookViews>
  <sheets>
    <sheet name="what if didnt correct" sheetId="3" r:id="rId1"/>
    <sheet name="Sheet1" sheetId="1"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 i="1" l="1"/>
  <c r="K8" i="1"/>
  <c r="I19" i="1"/>
  <c r="I12" i="1"/>
  <c r="L9" i="1"/>
  <c r="K19" i="1" s="1"/>
  <c r="I16" i="1"/>
  <c r="I17" i="1"/>
  <c r="I18" i="1"/>
  <c r="I20" i="1"/>
  <c r="I21" i="1"/>
  <c r="I22" i="1"/>
  <c r="I23" i="1"/>
  <c r="I11" i="1"/>
  <c r="I13" i="1"/>
  <c r="I14" i="1"/>
  <c r="I10" i="1"/>
  <c r="G11" i="1"/>
  <c r="G12" i="1"/>
  <c r="G13" i="1"/>
  <c r="G14" i="1"/>
  <c r="G10" i="1"/>
  <c r="G17" i="1"/>
  <c r="G18" i="1"/>
  <c r="G19" i="1"/>
  <c r="G20" i="1"/>
  <c r="G21" i="1"/>
  <c r="G22" i="1"/>
  <c r="G23" i="1"/>
  <c r="G16" i="1"/>
  <c r="E17" i="1"/>
  <c r="E18" i="1"/>
  <c r="E19" i="1"/>
  <c r="E20" i="1"/>
  <c r="E21" i="1"/>
  <c r="E22" i="1"/>
  <c r="E23" i="1"/>
  <c r="E16" i="1"/>
  <c r="E11" i="1"/>
  <c r="E12" i="1"/>
  <c r="E13" i="1"/>
  <c r="E14" i="1"/>
  <c r="E10" i="1"/>
  <c r="K16" i="1" l="1"/>
  <c r="N16" i="1" s="1"/>
  <c r="K23" i="1"/>
  <c r="N23" i="1" s="1"/>
  <c r="K15" i="1"/>
  <c r="K18" i="1"/>
  <c r="N18" i="1" s="1"/>
  <c r="K12" i="1"/>
  <c r="M12" i="1" s="1"/>
  <c r="K17" i="1"/>
  <c r="N17" i="1" s="1"/>
  <c r="K10" i="1"/>
  <c r="L10" i="1" s="1"/>
  <c r="K22" i="1"/>
  <c r="N22" i="1" s="1"/>
  <c r="K14" i="1"/>
  <c r="M14" i="1" s="1"/>
  <c r="K21" i="1"/>
  <c r="L21" i="1" s="1"/>
  <c r="K13" i="1"/>
  <c r="N13" i="1" s="1"/>
  <c r="K20" i="1"/>
  <c r="L20" i="1" s="1"/>
  <c r="K11" i="1"/>
  <c r="L11" i="1" s="1"/>
  <c r="L19" i="1"/>
  <c r="L22" i="1"/>
  <c r="N19" i="1"/>
  <c r="M19" i="1"/>
  <c r="N11" i="1"/>
  <c r="N12" i="1" l="1"/>
  <c r="M17" i="1"/>
  <c r="L17" i="1"/>
  <c r="L14" i="1"/>
  <c r="L13" i="1"/>
  <c r="L16" i="1"/>
  <c r="M13" i="1"/>
  <c r="N14" i="1"/>
  <c r="M21" i="1"/>
  <c r="L23" i="1"/>
  <c r="M23" i="1"/>
  <c r="M16" i="1"/>
  <c r="N21" i="1"/>
  <c r="L12" i="1"/>
  <c r="L18" i="1"/>
  <c r="N20" i="1"/>
  <c r="M11" i="1"/>
  <c r="M20" i="1"/>
  <c r="M18" i="1"/>
  <c r="M22" i="1"/>
  <c r="N15" i="1"/>
  <c r="L15" i="1"/>
  <c r="M15" i="1"/>
  <c r="K55" i="3"/>
  <c r="J55" i="3"/>
  <c r="I55" i="3"/>
  <c r="K54" i="3"/>
  <c r="J54" i="3"/>
  <c r="I54" i="3"/>
  <c r="K53" i="3"/>
  <c r="K56" i="3" s="1"/>
  <c r="J53" i="3"/>
  <c r="J56" i="3" s="1"/>
  <c r="I53" i="3"/>
  <c r="R55" i="3" s="1"/>
  <c r="M54" i="3" s="1"/>
  <c r="O31" i="3"/>
  <c r="P31" i="3" s="1"/>
  <c r="K31" i="3"/>
  <c r="N31" i="3" s="1"/>
  <c r="J31" i="3"/>
  <c r="I31" i="3"/>
  <c r="K30" i="3"/>
  <c r="J30" i="3"/>
  <c r="I30" i="3"/>
  <c r="K29" i="3"/>
  <c r="J29" i="3"/>
  <c r="I29" i="3"/>
  <c r="K28" i="3"/>
  <c r="J28" i="3"/>
  <c r="I28" i="3"/>
  <c r="L31" i="3" s="1"/>
  <c r="H21" i="3"/>
  <c r="I21" i="3" s="1"/>
  <c r="R31" i="3" s="1"/>
  <c r="W31" i="3" s="1"/>
  <c r="F21" i="3"/>
  <c r="E14" i="3"/>
  <c r="D14" i="3"/>
  <c r="E13" i="3"/>
  <c r="D13" i="3"/>
  <c r="E12" i="3"/>
  <c r="D12" i="3"/>
  <c r="E11" i="3"/>
  <c r="D11" i="3"/>
  <c r="E10" i="3"/>
  <c r="D10" i="3"/>
  <c r="E5" i="3"/>
  <c r="I5" i="3" s="1"/>
  <c r="D5" i="3"/>
  <c r="E2" i="3"/>
  <c r="D2" i="3"/>
  <c r="J21" i="3" l="1"/>
  <c r="I2" i="3"/>
  <c r="I14" i="3"/>
  <c r="J14" i="3"/>
  <c r="K14" i="3"/>
  <c r="N29" i="3"/>
  <c r="N30" i="3"/>
  <c r="M29" i="3"/>
  <c r="N54" i="3"/>
  <c r="N55" i="3"/>
  <c r="M31" i="3"/>
  <c r="J2" i="3"/>
  <c r="K2" i="3"/>
  <c r="J5" i="3"/>
  <c r="K5" i="3"/>
  <c r="L55" i="3"/>
  <c r="O55" i="3" s="1"/>
  <c r="M55" i="3"/>
  <c r="M53" i="3"/>
  <c r="N53" i="3"/>
  <c r="O56" i="3" s="1"/>
  <c r="O57" i="3" s="1"/>
  <c r="G11" i="2"/>
  <c r="H11" i="2" s="1"/>
  <c r="I11" i="2" s="1"/>
  <c r="F11" i="2"/>
  <c r="E11" i="2"/>
  <c r="D11" i="2"/>
  <c r="G7" i="2"/>
  <c r="Q2" i="2"/>
  <c r="F7" i="2"/>
  <c r="H7" i="2" s="1"/>
  <c r="E7" i="2"/>
  <c r="D7" i="2"/>
  <c r="I10" i="3" l="1"/>
  <c r="J10" i="3"/>
  <c r="K10" i="3"/>
  <c r="I13" i="3"/>
  <c r="K13" i="3"/>
  <c r="J13" i="3"/>
  <c r="I11" i="3"/>
  <c r="K11" i="3"/>
  <c r="J11" i="3"/>
  <c r="I12" i="3"/>
  <c r="J12" i="3"/>
  <c r="K12" i="3"/>
  <c r="I7" i="2"/>
  <c r="K36" i="1"/>
  <c r="I36" i="1"/>
  <c r="M36" i="1" l="1"/>
  <c r="L36" i="1"/>
  <c r="M14" i="3"/>
  <c r="L14" i="3"/>
  <c r="S31" i="3"/>
  <c r="X31" i="3" s="1"/>
  <c r="O14" i="3" l="1"/>
  <c r="N14" i="3"/>
  <c r="N10" i="1"/>
  <c r="M10" i="1"/>
  <c r="G5" i="1"/>
  <c r="E5" i="1"/>
  <c r="G2" i="1"/>
  <c r="E2" i="1"/>
  <c r="L2" i="1" s="1"/>
  <c r="O14" i="1" l="1"/>
  <c r="O30" i="1" s="1"/>
  <c r="P14" i="1"/>
  <c r="L5" i="1"/>
  <c r="M5" i="1"/>
  <c r="N5" i="1"/>
  <c r="M2" i="1"/>
  <c r="N2" i="1"/>
  <c r="R14" i="1" l="1"/>
  <c r="Q14" i="1"/>
  <c r="N60" i="1"/>
  <c r="L60" i="1" l="1"/>
  <c r="M60" i="1"/>
  <c r="N62" i="1"/>
  <c r="N61" i="1" l="1"/>
  <c r="N63" i="1" s="1"/>
  <c r="L61" i="1"/>
  <c r="M61" i="1"/>
  <c r="M62" i="1"/>
  <c r="L62" i="1"/>
  <c r="Q61" i="1" l="1"/>
  <c r="O62" i="1"/>
  <c r="M63" i="1"/>
  <c r="U62" i="1"/>
  <c r="Q60" i="1" l="1"/>
  <c r="R62" i="1"/>
  <c r="Q62" i="1"/>
  <c r="P62" i="1"/>
  <c r="P61" i="1"/>
  <c r="P60" i="1"/>
  <c r="R63" i="1" l="1"/>
  <c r="R64" i="1" s="1"/>
</calcChain>
</file>

<file path=xl/sharedStrings.xml><?xml version="1.0" encoding="utf-8"?>
<sst xmlns="http://schemas.openxmlformats.org/spreadsheetml/2006/main" count="140" uniqueCount="75">
  <si>
    <t>Replicate</t>
  </si>
  <si>
    <t>W_W</t>
  </si>
  <si>
    <t>Delaney</t>
  </si>
  <si>
    <t>line</t>
  </si>
  <si>
    <t>r_W</t>
  </si>
  <si>
    <t>syn1.0_anc</t>
  </si>
  <si>
    <t>syn3B_anc</t>
  </si>
  <si>
    <t>T0_mCherry</t>
  </si>
  <si>
    <t>T0_SOI</t>
  </si>
  <si>
    <t>T24_mCherry</t>
  </si>
  <si>
    <t>T24_SOI</t>
  </si>
  <si>
    <t>W div syn3B ancestor</t>
  </si>
  <si>
    <t>B_vs_mCherry</t>
  </si>
  <si>
    <t>1_vs_mCherry</t>
  </si>
  <si>
    <t>B_vs_B.anc</t>
  </si>
  <si>
    <t>1_vs_1.anc</t>
  </si>
  <si>
    <t>B_vs_1.anc</t>
  </si>
  <si>
    <t>1_vs_B.anc</t>
  </si>
  <si>
    <t>note</t>
  </si>
  <si>
    <t>standard deviation</t>
  </si>
  <si>
    <t>CV (%)</t>
  </si>
  <si>
    <t>All below are from the original FCCF</t>
  </si>
  <si>
    <t>test</t>
  </si>
  <si>
    <t>Multiplied by 2 because i inoc'd with double the volume of the mCherry strain</t>
  </si>
  <si>
    <t>Next set is 5 replicates, competitions started 20201226</t>
  </si>
  <si>
    <t>a</t>
  </si>
  <si>
    <t>b</t>
  </si>
  <si>
    <t>c</t>
  </si>
  <si>
    <t>d</t>
  </si>
  <si>
    <t>e</t>
  </si>
  <si>
    <t>Multiply 3/2 for mCherry, 2/3 for WT</t>
  </si>
  <si>
    <t>Note: There was a subpop of the mCherry strain not xprssing mCherry. I did not include it in the mCherry counts for T0.</t>
  </si>
  <si>
    <t>There is probably a good way to SUBTRACT the non-expressing mCherry cells out from the WT subpop in the T24 timepoints…</t>
  </si>
  <si>
    <t>here's the answer: Calculate the proportion of mCherry cells that appear as non-mCherry in the T24 axenic sample. Then, also calculate that proportion in each of the T24 samples, and subtract that amount from the WT cell counts.</t>
  </si>
  <si>
    <t>If you INCLUDED the non-xprssing mCherry cells in the axenic T0 and T24 counts, then you would ADD that amount to the mCherry mixed T24 total (instead of JUST subtracting it from the WT count).</t>
  </si>
  <si>
    <t>`</t>
  </si>
  <si>
    <t>Here is the calcn</t>
  </si>
  <si>
    <t>mCherry+</t>
  </si>
  <si>
    <t>mCherry-</t>
  </si>
  <si>
    <t>Neg as a proportion ofpos</t>
  </si>
  <si>
    <t>Neg as a proportion of tot</t>
  </si>
  <si>
    <t>So for each competition, I subtract from the observed WT count an amount equal to 0.167 of the observed mCherry+ count</t>
  </si>
  <si>
    <t>T24_SOI_raw</t>
  </si>
  <si>
    <t>Mean</t>
  </si>
  <si>
    <t>Std dev</t>
  </si>
  <si>
    <t>SEM</t>
  </si>
  <si>
    <t>CV</t>
  </si>
  <si>
    <t>Total</t>
  </si>
  <si>
    <t>False neg</t>
  </si>
  <si>
    <t>True pos</t>
  </si>
  <si>
    <t>mC x T0</t>
  </si>
  <si>
    <t>mC x T24</t>
  </si>
  <si>
    <t>Mix T24</t>
  </si>
  <si>
    <t>WT x T0</t>
  </si>
  <si>
    <t>Obs pos</t>
  </si>
  <si>
    <t>Obs neg</t>
  </si>
  <si>
    <t>Assume equal starting ratios</t>
  </si>
  <si>
    <t>false neg/true pos</t>
  </si>
  <si>
    <t>Method 2</t>
  </si>
  <si>
    <t>Method 1: Ignore false neg for T0, and don't add them at T24, only subtract them at T24</t>
  </si>
  <si>
    <t>Include the false negs at T0; at T24, subtract them from WT AND ADD THEM to mC</t>
  </si>
  <si>
    <t>Fitness goes up to 1.17 if you don’t include the correction</t>
  </si>
  <si>
    <t>Multiply 3/2 for mCherry, 2/3 for WT, based on inocn volumes</t>
  </si>
  <si>
    <t>T0_mCherry_raw</t>
  </si>
  <si>
    <t>f</t>
  </si>
  <si>
    <t>T0_SOI_raw</t>
  </si>
  <si>
    <t>Multipled by e.g., 1.2 to represent that 12 μL were inocd in the mixed culture.</t>
  </si>
  <si>
    <t>g</t>
  </si>
  <si>
    <t>h</t>
  </si>
  <si>
    <t>i</t>
  </si>
  <si>
    <t>j</t>
  </si>
  <si>
    <t>k</t>
  </si>
  <si>
    <t>l</t>
  </si>
  <si>
    <t>T24_mCherry_raw</t>
  </si>
  <si>
    <t>Number of false negatives to subtract as a proportion of the true positive mCherry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</si>
</sst>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0006"/>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0" fillId="3" borderId="0" xfId="0" applyFill="1"/>
    <xf numFmtId="0" fontId="1" fillId="0" borderId="0" xfId="1" applyFill="1"/>
    <xf numFmtId="0" fontId="2" fillId="0" borderId="0" xfId="0" applyFont="1"/>
    <xf numFmtId="0" fontId="0" fillId="0" borderId="0" xfId="0" applyFill="1"/>
    <xf numFmtId="0" fontId="3" fillId="0" borderId="0" xfId="0" applyFont="1"/>
    <xf numFmtId="0" fontId="3" fillId="3" borderId="0" xfId="0" applyFont="1" applyFill="1"/>
    <xf numFmtId="0" fontId="4" fillId="0" borderId="0" xfId="0" applyFont="1"/>
    <xf numFmtId="0" fontId="5" fillId="0" borderId="0" xfId="0" applyFont="1"/>
    <xf numFmtId="0" fontId="0" fillId="4" borderId="0" xfId="0" applyFill="1"/>
    <xf numFmtId="0" fontId="2" fillId="4" borderId="0" xfId="0" applyFont="1" applyFill="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80763-E788-48D5-AB71-A6DFB93F7556}">
  <dimension ref="A1:AA57"/>
  <sheetViews>
    <sheetView zoomScaleNormal="100" workbookViewId="0">
      <pane ySplit="1" topLeftCell="A2" activePane="bottomLeft" state="frozen"/>
      <selection pane="bottomLeft" activeCell="D15" sqref="D15"/>
    </sheetView>
  </sheetViews>
  <sheetFormatPr defaultRowHeight="15" x14ac:dyDescent="0.25"/>
  <cols>
    <col min="1" max="1" width="11.28515625" customWidth="1"/>
    <col min="2" max="3" width="9.28515625" customWidth="1"/>
    <col min="6" max="7" width="10.140625" customWidth="1"/>
    <col min="11" max="14" width="12.28515625" customWidth="1"/>
    <col min="15" max="15" width="25" customWidth="1"/>
    <col min="16" max="16" width="12.28515625" customWidth="1"/>
    <col min="17" max="18" width="12.140625" customWidth="1"/>
    <col min="19" max="22" width="16" customWidth="1"/>
    <col min="23" max="23" width="14" customWidth="1"/>
    <col min="24" max="24" width="10.28515625" customWidth="1"/>
    <col min="25" max="25" width="9.28515625" customWidth="1"/>
  </cols>
  <sheetData>
    <row r="1" spans="1:27" x14ac:dyDescent="0.25">
      <c r="A1" t="s">
        <v>3</v>
      </c>
      <c r="B1" t="s">
        <v>0</v>
      </c>
      <c r="C1" t="s">
        <v>18</v>
      </c>
      <c r="D1" t="s">
        <v>7</v>
      </c>
      <c r="E1" t="s">
        <v>8</v>
      </c>
      <c r="F1" t="s">
        <v>9</v>
      </c>
      <c r="G1" t="s">
        <v>42</v>
      </c>
      <c r="H1" t="s">
        <v>10</v>
      </c>
      <c r="I1" t="s">
        <v>1</v>
      </c>
      <c r="J1" t="s">
        <v>2</v>
      </c>
      <c r="K1" t="s">
        <v>4</v>
      </c>
      <c r="M1" t="s">
        <v>11</v>
      </c>
      <c r="O1" t="s">
        <v>19</v>
      </c>
      <c r="P1" t="s">
        <v>20</v>
      </c>
      <c r="Q1" t="s">
        <v>12</v>
      </c>
      <c r="R1" t="s">
        <v>13</v>
      </c>
      <c r="S1" t="s">
        <v>14</v>
      </c>
      <c r="T1" t="s">
        <v>15</v>
      </c>
      <c r="U1" t="s">
        <v>16</v>
      </c>
      <c r="V1" t="s">
        <v>17</v>
      </c>
    </row>
    <row r="2" spans="1:27" s="4" customFormat="1" x14ac:dyDescent="0.25">
      <c r="A2" s="4" t="s">
        <v>5</v>
      </c>
      <c r="B2" s="4">
        <v>1</v>
      </c>
      <c r="D2" s="4">
        <f>2*17517</f>
        <v>35034</v>
      </c>
      <c r="E2" s="4">
        <f>34741</f>
        <v>34741</v>
      </c>
      <c r="F2" s="4">
        <v>6803600</v>
      </c>
      <c r="H2" s="4">
        <v>2375700</v>
      </c>
      <c r="I2" s="4">
        <f t="shared" ref="I2" si="0">(LN(H2/E2))/(LN(F2/D2))</f>
        <v>0.8019010365187369</v>
      </c>
      <c r="J2" s="4">
        <f t="shared" ref="J2" si="1">LOG((H2/F2)/(E2/D2),2)</f>
        <v>-1.5058292226528853</v>
      </c>
      <c r="K2">
        <f t="shared" ref="K2" si="2">(LN(H2/E2))-(LN(F2/D2))</f>
        <v>-1.0437612800866223</v>
      </c>
    </row>
    <row r="3" spans="1:27" x14ac:dyDescent="0.25">
      <c r="AA3" s="2"/>
    </row>
    <row r="4" spans="1:27" x14ac:dyDescent="0.25">
      <c r="A4" t="s">
        <v>22</v>
      </c>
      <c r="D4" s="3"/>
      <c r="E4" s="3"/>
      <c r="F4" s="3"/>
      <c r="G4" s="3"/>
      <c r="H4" s="3"/>
    </row>
    <row r="5" spans="1:27" s="4" customFormat="1" x14ac:dyDescent="0.25">
      <c r="A5" s="4" t="s">
        <v>5</v>
      </c>
      <c r="B5" s="4">
        <v>1</v>
      </c>
      <c r="D5" s="4">
        <f>2*17517</f>
        <v>35034</v>
      </c>
      <c r="E5" s="4">
        <f>34741</f>
        <v>34741</v>
      </c>
      <c r="F5" s="4">
        <v>3180400</v>
      </c>
      <c r="H5" s="4">
        <v>2310000</v>
      </c>
      <c r="I5" s="4">
        <f t="shared" ref="I5" si="3">(LN(H5/E5))/(LN(F5/D5))</f>
        <v>0.93093825043839862</v>
      </c>
      <c r="J5" s="4">
        <f t="shared" ref="J5" si="4">LOG((H5/F5)/(E5/D5),2)</f>
        <v>-0.44919893837139152</v>
      </c>
      <c r="K5">
        <f t="shared" ref="K5" si="5">(LN(H5/E5))-(LN(F5/D5))</f>
        <v>-0.31136097764265003</v>
      </c>
    </row>
    <row r="6" spans="1:27" s="5" customFormat="1" x14ac:dyDescent="0.25">
      <c r="O6" s="3"/>
      <c r="P6" s="3"/>
      <c r="Q6" s="3"/>
      <c r="R6" s="3"/>
      <c r="S6" s="3"/>
      <c r="T6" s="3"/>
      <c r="U6" s="3"/>
      <c r="V6" s="3"/>
      <c r="W6" s="3"/>
      <c r="X6" s="3"/>
      <c r="Y6" s="3"/>
    </row>
    <row r="7" spans="1:27" s="5" customFormat="1" x14ac:dyDescent="0.25">
      <c r="O7"/>
      <c r="P7"/>
      <c r="Q7" s="3"/>
      <c r="R7" s="3"/>
      <c r="S7" s="3"/>
      <c r="T7" s="3"/>
      <c r="U7" s="3"/>
      <c r="V7" s="3"/>
      <c r="W7" s="3"/>
      <c r="X7" s="3"/>
      <c r="Y7" s="3"/>
    </row>
    <row r="8" spans="1:27" x14ac:dyDescent="0.25">
      <c r="D8" s="3" t="s">
        <v>23</v>
      </c>
      <c r="E8" s="3"/>
      <c r="F8" s="3"/>
      <c r="G8" s="3"/>
      <c r="H8" s="3"/>
      <c r="O8" s="3"/>
      <c r="P8" s="3"/>
      <c r="Q8" s="3"/>
      <c r="R8" s="3"/>
      <c r="S8" s="3"/>
      <c r="T8" s="3"/>
      <c r="U8" s="3"/>
      <c r="V8" s="3"/>
      <c r="W8" s="3"/>
      <c r="X8" s="3"/>
      <c r="Y8" s="3"/>
    </row>
    <row r="9" spans="1:27" x14ac:dyDescent="0.25">
      <c r="A9" t="s">
        <v>24</v>
      </c>
      <c r="D9" s="3"/>
      <c r="E9" s="3"/>
      <c r="F9" s="3"/>
      <c r="G9" s="3"/>
      <c r="H9" s="3" t="s">
        <v>61</v>
      </c>
      <c r="O9" s="3"/>
      <c r="P9" s="3"/>
      <c r="Q9" s="3"/>
      <c r="R9" s="3"/>
      <c r="S9" s="3"/>
      <c r="T9" s="3"/>
      <c r="U9" s="3"/>
      <c r="V9" s="3"/>
      <c r="W9" s="3"/>
      <c r="X9" s="3"/>
      <c r="Y9" s="3"/>
    </row>
    <row r="10" spans="1:27" x14ac:dyDescent="0.25">
      <c r="A10" s="4" t="s">
        <v>5</v>
      </c>
      <c r="B10" s="4" t="s">
        <v>25</v>
      </c>
      <c r="C10" s="4"/>
      <c r="D10" s="4">
        <f>3/2*53613</f>
        <v>80419.5</v>
      </c>
      <c r="E10" s="4">
        <f>2/3*68350</f>
        <v>45566.666666666664</v>
      </c>
      <c r="F10" s="4">
        <v>3614800</v>
      </c>
      <c r="G10" s="4">
        <v>5079100</v>
      </c>
      <c r="H10" s="4">
        <v>5079100</v>
      </c>
      <c r="I10" s="4">
        <f>(LN(H10/E10))/(LN(F10/D10))</f>
        <v>1.2386465374636673</v>
      </c>
      <c r="J10" s="4">
        <f>LOG((H10/F10)/(E10/D10),2)</f>
        <v>1.3102235802073772</v>
      </c>
      <c r="K10">
        <f>(LN(H10/E10))-(LN(F10/D10))</f>
        <v>0.9081777805239013</v>
      </c>
      <c r="Q10" s="3"/>
      <c r="R10" s="3"/>
      <c r="S10" s="3"/>
      <c r="T10" s="3"/>
      <c r="U10" s="3"/>
      <c r="V10" s="3"/>
      <c r="W10" s="3"/>
      <c r="X10" s="3"/>
      <c r="Y10" s="3"/>
    </row>
    <row r="11" spans="1:27" x14ac:dyDescent="0.25">
      <c r="A11" s="4" t="s">
        <v>5</v>
      </c>
      <c r="B11" s="4" t="s">
        <v>26</v>
      </c>
      <c r="C11" s="4"/>
      <c r="D11" s="4">
        <f t="shared" ref="D11:D14" si="6">3/2*53613</f>
        <v>80419.5</v>
      </c>
      <c r="E11" s="4">
        <f>2/3*72338</f>
        <v>48225.333333333328</v>
      </c>
      <c r="F11" s="4">
        <v>3569600</v>
      </c>
      <c r="G11" s="4">
        <v>4892800</v>
      </c>
      <c r="H11" s="4">
        <v>4892800</v>
      </c>
      <c r="I11" s="4">
        <f>(LN(H11/E11))/(LN(F11/D11))</f>
        <v>1.2179525010893519</v>
      </c>
      <c r="J11" s="4">
        <f>LOG((H11/F11)/(E11/D11),2)</f>
        <v>1.1926520492623915</v>
      </c>
      <c r="K11">
        <f>(LN(H11/E11))-(LN(F11/D11))</f>
        <v>0.82668340533526807</v>
      </c>
      <c r="O11" s="3"/>
      <c r="P11" s="3"/>
      <c r="Q11" s="3"/>
      <c r="R11" s="3"/>
      <c r="S11" s="3"/>
      <c r="T11" s="3"/>
      <c r="U11" s="3"/>
      <c r="V11" s="3"/>
      <c r="W11" s="3"/>
      <c r="X11" s="3"/>
      <c r="Y11" s="3"/>
    </row>
    <row r="12" spans="1:27" x14ac:dyDescent="0.25">
      <c r="A12" s="4" t="s">
        <v>5</v>
      </c>
      <c r="B12" s="4" t="s">
        <v>27</v>
      </c>
      <c r="C12" s="4"/>
      <c r="D12" s="4">
        <f t="shared" si="6"/>
        <v>80419.5</v>
      </c>
      <c r="E12" s="4">
        <f>2/3*87002</f>
        <v>58001.333333333328</v>
      </c>
      <c r="F12" s="4">
        <v>4248800</v>
      </c>
      <c r="G12" s="4">
        <v>4470400</v>
      </c>
      <c r="H12" s="4">
        <v>4470400</v>
      </c>
      <c r="I12" s="4">
        <f>(LN(H12/E12))/(LN(F12/D12))</f>
        <v>1.0951900975504092</v>
      </c>
      <c r="J12" s="4">
        <f>LOG((H12/F12)/(E12/D12),2)</f>
        <v>0.54480779241198118</v>
      </c>
      <c r="K12">
        <f>(LN(H12/E12))-(LN(F12/D12))</f>
        <v>0.37763198525745301</v>
      </c>
      <c r="O12" s="3"/>
      <c r="P12" s="3"/>
      <c r="Q12" s="3"/>
      <c r="R12" s="3"/>
      <c r="S12" s="3"/>
      <c r="T12" s="3"/>
      <c r="U12" s="3"/>
      <c r="V12" s="3"/>
      <c r="W12" s="3"/>
      <c r="X12" s="3"/>
      <c r="Y12" s="3"/>
    </row>
    <row r="13" spans="1:27" x14ac:dyDescent="0.25">
      <c r="A13" s="4" t="s">
        <v>5</v>
      </c>
      <c r="B13" s="4" t="s">
        <v>28</v>
      </c>
      <c r="C13" s="4"/>
      <c r="D13" s="4">
        <f t="shared" si="6"/>
        <v>80419.5</v>
      </c>
      <c r="E13" s="4">
        <f>2/3*71128</f>
        <v>47418.666666666664</v>
      </c>
      <c r="F13" s="4">
        <v>4451600</v>
      </c>
      <c r="G13" s="4">
        <v>4190100</v>
      </c>
      <c r="H13" s="4">
        <v>4190100</v>
      </c>
      <c r="I13" s="4">
        <f>(LN(H13/E13))/(LN(F13/D13))</f>
        <v>1.1165245270235289</v>
      </c>
      <c r="J13" s="4">
        <f>LOG((H13/F13)/(E13/D13),2)</f>
        <v>0.67475097984673671</v>
      </c>
      <c r="K13">
        <f>(LN(H13/E13))-(LN(F13/D13))</f>
        <v>0.46770173926082581</v>
      </c>
      <c r="L13" t="s">
        <v>43</v>
      </c>
      <c r="M13" t="s">
        <v>44</v>
      </c>
      <c r="N13" t="s">
        <v>45</v>
      </c>
      <c r="O13" t="s">
        <v>46</v>
      </c>
      <c r="Q13" s="3"/>
      <c r="R13" s="3"/>
      <c r="S13" s="3"/>
      <c r="T13" s="3"/>
      <c r="U13" s="3"/>
      <c r="V13" s="3"/>
      <c r="W13" s="3"/>
      <c r="X13" s="3"/>
      <c r="Y13" s="3"/>
    </row>
    <row r="14" spans="1:27" s="5" customFormat="1" x14ac:dyDescent="0.25">
      <c r="A14" s="4" t="s">
        <v>5</v>
      </c>
      <c r="B14" s="4" t="s">
        <v>29</v>
      </c>
      <c r="C14" s="4"/>
      <c r="D14" s="4">
        <f t="shared" si="6"/>
        <v>80419.5</v>
      </c>
      <c r="E14" s="4">
        <f>2/3*60028</f>
        <v>40018.666666666664</v>
      </c>
      <c r="F14" s="4">
        <v>4350400</v>
      </c>
      <c r="G14" s="4">
        <v>4159300</v>
      </c>
      <c r="H14" s="4">
        <v>4159300</v>
      </c>
      <c r="I14" s="4">
        <f>(LN(H14/E14))/(LN(F14/D14))</f>
        <v>1.163625129705385</v>
      </c>
      <c r="J14" s="4">
        <f>LOG((H14/F14)/(E14/D14),2)</f>
        <v>0.94206495599582274</v>
      </c>
      <c r="K14">
        <f>(LN(H14/E14))-(LN(F14/D14))</f>
        <v>0.65298966815283377</v>
      </c>
      <c r="L14" s="5">
        <f>AVERAGE(I10:I14)</f>
        <v>1.1663877585664684</v>
      </c>
      <c r="M14" s="5">
        <f>_xlfn.STDEV.S(I10:I14)</f>
        <v>6.2135607165803311E-2</v>
      </c>
      <c r="N14" s="5">
        <f>M14/SQRT(COUNT(I10:I14))</f>
        <v>2.7787888289191848E-2</v>
      </c>
      <c r="O14" s="3">
        <f>M14/L14</f>
        <v>5.3271827237084658E-2</v>
      </c>
      <c r="P14" s="3"/>
      <c r="Q14" s="3"/>
      <c r="R14" s="3"/>
      <c r="S14" s="3"/>
      <c r="T14" s="3"/>
      <c r="U14" s="3"/>
      <c r="V14" s="3"/>
      <c r="W14" s="3"/>
      <c r="X14" s="3"/>
      <c r="Y14" s="3"/>
    </row>
    <row r="15" spans="1:27" s="5" customFormat="1" x14ac:dyDescent="0.25">
      <c r="D15" s="5" t="s">
        <v>62</v>
      </c>
      <c r="O15" s="3"/>
      <c r="P15" s="3"/>
      <c r="Q15" s="3"/>
      <c r="R15" s="3"/>
      <c r="S15" s="3"/>
      <c r="T15" s="3"/>
      <c r="U15" s="3"/>
      <c r="V15" s="3"/>
      <c r="W15" s="3"/>
      <c r="X15" s="3"/>
      <c r="Y15" s="3"/>
    </row>
    <row r="16" spans="1:27" s="5" customFormat="1" x14ac:dyDescent="0.25">
      <c r="D16" s="5" t="s">
        <v>31</v>
      </c>
      <c r="O16"/>
      <c r="P16"/>
      <c r="Q16" s="3"/>
      <c r="R16" s="3"/>
      <c r="S16" s="3"/>
      <c r="T16" s="3"/>
      <c r="U16" s="3"/>
      <c r="V16" s="3"/>
      <c r="W16" s="3"/>
      <c r="X16" s="3"/>
      <c r="Y16" s="3"/>
    </row>
    <row r="17" spans="1:25" x14ac:dyDescent="0.25">
      <c r="D17" s="5" t="s">
        <v>32</v>
      </c>
      <c r="O17" s="3"/>
      <c r="P17" s="3"/>
      <c r="Q17" s="3"/>
      <c r="R17" s="3"/>
      <c r="S17" s="3"/>
      <c r="T17" s="3"/>
      <c r="U17" s="3"/>
      <c r="V17" s="3"/>
      <c r="W17" s="3"/>
      <c r="X17" s="3"/>
      <c r="Y17" s="3"/>
    </row>
    <row r="18" spans="1:25" x14ac:dyDescent="0.25">
      <c r="D18" s="7" t="s">
        <v>33</v>
      </c>
    </row>
    <row r="19" spans="1:25" x14ac:dyDescent="0.25">
      <c r="D19" s="5" t="s">
        <v>34</v>
      </c>
    </row>
    <row r="20" spans="1:25" x14ac:dyDescent="0.25">
      <c r="C20" t="s">
        <v>36</v>
      </c>
      <c r="D20" s="5"/>
      <c r="F20" t="s">
        <v>37</v>
      </c>
      <c r="H20" t="s">
        <v>38</v>
      </c>
      <c r="I20" t="s">
        <v>40</v>
      </c>
      <c r="J20" t="s">
        <v>39</v>
      </c>
    </row>
    <row r="21" spans="1:25" x14ac:dyDescent="0.25">
      <c r="D21" s="5"/>
      <c r="F21">
        <f>59535</f>
        <v>59535</v>
      </c>
      <c r="H21">
        <f>9922</f>
        <v>9922</v>
      </c>
      <c r="I21">
        <f>H21/(F21+H21)</f>
        <v>0.14285097254416401</v>
      </c>
      <c r="J21" s="8">
        <f>H21/F21</f>
        <v>0.16665826824556984</v>
      </c>
    </row>
    <row r="22" spans="1:25" x14ac:dyDescent="0.25">
      <c r="C22" t="s">
        <v>41</v>
      </c>
      <c r="D22" s="5"/>
    </row>
    <row r="23" spans="1:25" x14ac:dyDescent="0.25">
      <c r="D23" s="5"/>
    </row>
    <row r="24" spans="1:25" x14ac:dyDescent="0.25">
      <c r="D24" s="5"/>
    </row>
    <row r="25" spans="1:25" x14ac:dyDescent="0.25">
      <c r="A25" t="s">
        <v>35</v>
      </c>
    </row>
    <row r="26" spans="1:25" x14ac:dyDescent="0.25">
      <c r="A26" t="s">
        <v>21</v>
      </c>
    </row>
    <row r="28" spans="1:25" s="4" customFormat="1" x14ac:dyDescent="0.25">
      <c r="A28" s="4" t="s">
        <v>5</v>
      </c>
      <c r="B28" s="4">
        <v>1</v>
      </c>
      <c r="D28" s="4">
        <v>7577</v>
      </c>
      <c r="E28" s="4">
        <v>11570</v>
      </c>
      <c r="F28" s="4">
        <v>271200</v>
      </c>
      <c r="H28" s="4">
        <v>1490200</v>
      </c>
      <c r="I28" s="4">
        <f t="shared" ref="I28:I55" si="7">(LN(H28/E28))/(LN(F28/D28))</f>
        <v>1.3579106210710727</v>
      </c>
      <c r="J28" s="4">
        <f t="shared" ref="J28:J55" si="8">LOG((H28/F28)/(E28/D28),2)</f>
        <v>1.8473866730044293</v>
      </c>
      <c r="K28">
        <f t="shared" ref="K28:K55" si="9">(LN(H28/E28))-(LN(F28/D28))</f>
        <v>1.2805108637970379</v>
      </c>
    </row>
    <row r="29" spans="1:25" s="4" customFormat="1" x14ac:dyDescent="0.25">
      <c r="A29" s="4" t="s">
        <v>5</v>
      </c>
      <c r="B29" s="4">
        <v>2</v>
      </c>
      <c r="D29" s="4">
        <v>8983</v>
      </c>
      <c r="E29" s="4">
        <v>10078</v>
      </c>
      <c r="F29" s="4">
        <v>259100</v>
      </c>
      <c r="H29" s="4">
        <v>1499300</v>
      </c>
      <c r="I29" s="4">
        <f t="shared" si="7"/>
        <v>1.4879765207232747</v>
      </c>
      <c r="J29" s="4">
        <f t="shared" si="8"/>
        <v>2.3667680428220104</v>
      </c>
      <c r="K29" s="4">
        <f t="shared" si="9"/>
        <v>1.6405185959214568</v>
      </c>
      <c r="M29" s="4">
        <f>I29/$R$55</f>
        <v>2.1239316311280287</v>
      </c>
      <c r="N29" s="4">
        <f>K29/L$31</f>
        <v>1.1220912063615052</v>
      </c>
    </row>
    <row r="30" spans="1:25" s="4" customFormat="1" x14ac:dyDescent="0.25">
      <c r="A30" s="4" t="s">
        <v>5</v>
      </c>
      <c r="B30" s="4">
        <v>3</v>
      </c>
      <c r="D30" s="4">
        <v>9661</v>
      </c>
      <c r="E30" s="4">
        <v>9411</v>
      </c>
      <c r="F30" s="4">
        <v>220600</v>
      </c>
      <c r="H30" s="4">
        <v>1591500</v>
      </c>
      <c r="I30" s="4">
        <f t="shared" si="7"/>
        <v>1.6400692271866495</v>
      </c>
      <c r="J30" s="4">
        <f t="shared" si="8"/>
        <v>2.8887069596733399</v>
      </c>
      <c r="K30" s="4">
        <f t="shared" si="9"/>
        <v>2.002299084561467</v>
      </c>
      <c r="N30" s="4">
        <f t="shared" ref="N30:N31" si="10">K30/L$31</f>
        <v>1.3695438752586273</v>
      </c>
    </row>
    <row r="31" spans="1:25" s="4" customFormat="1" x14ac:dyDescent="0.25">
      <c r="A31" s="4" t="s">
        <v>5</v>
      </c>
      <c r="B31" s="4">
        <v>4</v>
      </c>
      <c r="D31" s="4">
        <v>7429</v>
      </c>
      <c r="E31" s="4">
        <v>11495</v>
      </c>
      <c r="F31" s="4">
        <v>279200</v>
      </c>
      <c r="H31" s="4">
        <v>1606300</v>
      </c>
      <c r="I31" s="4">
        <f t="shared" si="7"/>
        <v>1.3621193903541298</v>
      </c>
      <c r="J31" s="4">
        <f t="shared" si="8"/>
        <v>1.8946039808878004</v>
      </c>
      <c r="K31" s="4">
        <f t="shared" si="9"/>
        <v>1.3132394076300278</v>
      </c>
      <c r="L31" s="4">
        <f>AVERAGE(I28:I31)</f>
        <v>1.4620189398337815</v>
      </c>
      <c r="M31" s="4">
        <f t="shared" ref="M31:M55" si="11">I31/$R$55</f>
        <v>1.9442836753497372</v>
      </c>
      <c r="N31" s="4">
        <f t="shared" si="10"/>
        <v>0.8982369324020737</v>
      </c>
      <c r="O31">
        <f>(_xlfn.STDEV.S(I28:I31))</f>
        <v>0.13315925659889191</v>
      </c>
      <c r="P31">
        <f>O31/(AVERAGE(I28:I31))*100</f>
        <v>9.1079022966714049</v>
      </c>
      <c r="R31" s="4">
        <f>AVERAGE(I17:I37)</f>
        <v>1.1981853463758583</v>
      </c>
      <c r="S31" s="4">
        <f>AVERAGE(I3:I16)</f>
        <v>1.1271461738784567</v>
      </c>
      <c r="W31" s="4">
        <f>R31/$R55</f>
        <v>1.7102848880201236</v>
      </c>
      <c r="X31" s="4">
        <f>S31/$R55</f>
        <v>1.6088838622545754</v>
      </c>
    </row>
    <row r="33" spans="1:27" x14ac:dyDescent="0.25">
      <c r="A33" s="1"/>
      <c r="B33" s="1"/>
      <c r="C33" s="4"/>
      <c r="D33" s="1"/>
      <c r="E33" s="1"/>
      <c r="F33" s="1"/>
      <c r="G33" s="1"/>
      <c r="H33" s="1"/>
      <c r="I33" s="1"/>
      <c r="J33" s="1"/>
      <c r="K33" s="1"/>
      <c r="L33" s="1"/>
    </row>
    <row r="41" spans="1:27" s="6" customFormat="1"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s="6" customFormat="1"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s="6" customFormat="1" x14ac:dyDescent="0.25">
      <c r="A43" s="5"/>
      <c r="B43" s="5"/>
      <c r="C43" s="5"/>
      <c r="D43" s="5"/>
      <c r="E43" s="5"/>
      <c r="F43" s="5"/>
      <c r="G43" s="5"/>
      <c r="H43" s="5"/>
      <c r="I43" s="5"/>
      <c r="J43" s="5"/>
      <c r="K43" s="5"/>
      <c r="L43" s="5"/>
      <c r="M43" s="5"/>
      <c r="N43" s="5"/>
      <c r="O43"/>
      <c r="P43"/>
      <c r="Q43" s="5"/>
      <c r="R43" s="5"/>
      <c r="S43" s="5"/>
      <c r="T43" s="5"/>
      <c r="U43" s="5"/>
      <c r="V43" s="5"/>
      <c r="W43" s="5"/>
      <c r="X43" s="5"/>
      <c r="Y43" s="5"/>
      <c r="Z43" s="5"/>
      <c r="AA43" s="5"/>
    </row>
    <row r="47" spans="1:27" s="5" customFormat="1" x14ac:dyDescent="0.25"/>
    <row r="48" spans="1:27" s="5" customFormat="1" x14ac:dyDescent="0.25"/>
    <row r="49" spans="1:27" s="5" customFormat="1" x14ac:dyDescent="0.25">
      <c r="O49"/>
      <c r="P49"/>
    </row>
    <row r="52" spans="1:27" s="1" customFormat="1" x14ac:dyDescent="0.25">
      <c r="A52"/>
      <c r="B52"/>
      <c r="C52"/>
      <c r="D52"/>
      <c r="E52"/>
      <c r="F52"/>
      <c r="G52"/>
      <c r="H52"/>
      <c r="I52"/>
      <c r="J52"/>
      <c r="K52"/>
      <c r="L52"/>
      <c r="M52"/>
      <c r="N52"/>
      <c r="O52"/>
      <c r="P52"/>
      <c r="Q52"/>
      <c r="R52"/>
      <c r="S52"/>
      <c r="T52"/>
      <c r="U52"/>
      <c r="V52"/>
      <c r="W52"/>
      <c r="X52"/>
      <c r="Y52"/>
      <c r="Z52"/>
      <c r="AA52"/>
    </row>
    <row r="53" spans="1:27" x14ac:dyDescent="0.25">
      <c r="A53" t="s">
        <v>6</v>
      </c>
      <c r="B53">
        <v>1</v>
      </c>
      <c r="D53">
        <v>3970</v>
      </c>
      <c r="E53">
        <v>15690</v>
      </c>
      <c r="F53">
        <v>1160900</v>
      </c>
      <c r="H53">
        <v>810300</v>
      </c>
      <c r="I53">
        <f t="shared" si="7"/>
        <v>0.69465527381330128</v>
      </c>
      <c r="J53">
        <f t="shared" si="8"/>
        <v>-2.5013500978573315</v>
      </c>
      <c r="K53">
        <f t="shared" si="9"/>
        <v>-1.7338037679231526</v>
      </c>
      <c r="M53">
        <f t="shared" si="11"/>
        <v>0.99154811130004306</v>
      </c>
      <c r="N53">
        <f>I53/L$31</f>
        <v>0.47513425092309503</v>
      </c>
    </row>
    <row r="54" spans="1:27" x14ac:dyDescent="0.25">
      <c r="A54" t="s">
        <v>6</v>
      </c>
      <c r="B54">
        <v>2</v>
      </c>
      <c r="D54">
        <v>4162</v>
      </c>
      <c r="E54">
        <v>15473</v>
      </c>
      <c r="F54">
        <v>1218300</v>
      </c>
      <c r="H54">
        <v>753900</v>
      </c>
      <c r="I54">
        <f t="shared" si="7"/>
        <v>0.68427810579231052</v>
      </c>
      <c r="J54">
        <f t="shared" si="8"/>
        <v>-2.5868284283149161</v>
      </c>
      <c r="K54">
        <f t="shared" si="9"/>
        <v>-1.7930528316787981</v>
      </c>
      <c r="M54">
        <f t="shared" si="11"/>
        <v>0.97673578389140958</v>
      </c>
      <c r="N54">
        <f t="shared" ref="N54:N55" si="12">I54/L$31</f>
        <v>0.46803641673076196</v>
      </c>
    </row>
    <row r="55" spans="1:27" x14ac:dyDescent="0.25">
      <c r="A55" t="s">
        <v>6</v>
      </c>
      <c r="B55">
        <v>3</v>
      </c>
      <c r="D55">
        <v>3803</v>
      </c>
      <c r="E55">
        <v>15825</v>
      </c>
      <c r="F55">
        <v>1048600</v>
      </c>
      <c r="H55">
        <v>919000</v>
      </c>
      <c r="I55">
        <f t="shared" si="7"/>
        <v>0.72279602483807681</v>
      </c>
      <c r="J55">
        <f t="shared" si="8"/>
        <v>-2.2473233399124335</v>
      </c>
      <c r="K55">
        <f t="shared" si="9"/>
        <v>-1.5577258368668625</v>
      </c>
      <c r="L55">
        <f>AVERAGE(I53:I55)</f>
        <v>0.7005764681478962</v>
      </c>
      <c r="M55">
        <f t="shared" si="11"/>
        <v>1.0317161048085473</v>
      </c>
      <c r="N55">
        <f t="shared" si="12"/>
        <v>0.49438212128787623</v>
      </c>
      <c r="O55">
        <f>L55/L$31</f>
        <v>0.4791842629805777</v>
      </c>
      <c r="R55">
        <f>AVERAGE(I53:I55)</f>
        <v>0.7005764681478962</v>
      </c>
    </row>
    <row r="56" spans="1:27" x14ac:dyDescent="0.25">
      <c r="J56">
        <f>AVERAGE(J53:J55)</f>
        <v>-2.4451672886948939</v>
      </c>
      <c r="K56">
        <f>AVERAGE(K53:K55)</f>
        <v>-1.6948608121562712</v>
      </c>
      <c r="O56">
        <f>_xlfn.STDEV.S(N53:N55)</f>
        <v>1.3631800519447327E-2</v>
      </c>
    </row>
    <row r="57" spans="1:27" x14ac:dyDescent="0.25">
      <c r="O57">
        <f>O56/SQRT(COUNT(N53:N55))</f>
        <v>7.8703236994421954E-3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4"/>
  <sheetViews>
    <sheetView tabSelected="1" zoomScaleNormal="100" workbookViewId="0">
      <pane ySplit="1" topLeftCell="A2" activePane="bottomLeft" state="frozen"/>
      <selection pane="bottomLeft" activeCell="K10" sqref="K10"/>
    </sheetView>
  </sheetViews>
  <sheetFormatPr defaultRowHeight="15" x14ac:dyDescent="0.25"/>
  <cols>
    <col min="1" max="1" width="11.28515625" customWidth="1"/>
    <col min="2" max="4" width="9.28515625" customWidth="1"/>
    <col min="5" max="6" width="11.85546875" customWidth="1"/>
    <col min="9" max="9" width="14.42578125" customWidth="1"/>
    <col min="10" max="10" width="13.5703125" customWidth="1"/>
    <col min="14" max="17" width="12.28515625" customWidth="1"/>
    <col min="18" max="18" width="25" customWidth="1"/>
    <col min="19" max="19" width="12.28515625" customWidth="1"/>
    <col min="20" max="21" width="12.140625" customWidth="1"/>
    <col min="22" max="25" width="16" customWidth="1"/>
    <col min="26" max="26" width="14" customWidth="1"/>
    <col min="27" max="27" width="10.28515625" customWidth="1"/>
    <col min="28" max="28" width="9.28515625" customWidth="1"/>
  </cols>
  <sheetData>
    <row r="1" spans="1:30" x14ac:dyDescent="0.25">
      <c r="A1" t="s">
        <v>3</v>
      </c>
      <c r="B1" t="s">
        <v>0</v>
      </c>
      <c r="C1" t="s">
        <v>18</v>
      </c>
      <c r="D1" t="s">
        <v>63</v>
      </c>
      <c r="E1" t="s">
        <v>7</v>
      </c>
      <c r="F1" t="s">
        <v>65</v>
      </c>
      <c r="G1" t="s">
        <v>8</v>
      </c>
      <c r="H1" t="s">
        <v>73</v>
      </c>
      <c r="I1" t="s">
        <v>9</v>
      </c>
      <c r="J1" t="s">
        <v>42</v>
      </c>
      <c r="K1" t="s">
        <v>10</v>
      </c>
      <c r="L1" t="s">
        <v>1</v>
      </c>
      <c r="M1" t="s">
        <v>2</v>
      </c>
      <c r="N1" t="s">
        <v>4</v>
      </c>
      <c r="P1" t="s">
        <v>11</v>
      </c>
      <c r="R1" t="s">
        <v>19</v>
      </c>
      <c r="S1" t="s">
        <v>20</v>
      </c>
      <c r="T1" t="s">
        <v>12</v>
      </c>
      <c r="U1" t="s">
        <v>13</v>
      </c>
      <c r="V1" t="s">
        <v>14</v>
      </c>
      <c r="W1" t="s">
        <v>15</v>
      </c>
      <c r="X1" t="s">
        <v>16</v>
      </c>
      <c r="Y1" t="s">
        <v>17</v>
      </c>
    </row>
    <row r="2" spans="1:30" s="4" customFormat="1" x14ac:dyDescent="0.25">
      <c r="A2" s="4" t="s">
        <v>5</v>
      </c>
      <c r="B2" s="4">
        <v>1</v>
      </c>
      <c r="E2" s="4">
        <f>2*17517</f>
        <v>35034</v>
      </c>
      <c r="G2" s="4">
        <f>34741</f>
        <v>34741</v>
      </c>
      <c r="I2" s="4">
        <v>6803600</v>
      </c>
      <c r="K2" s="4">
        <v>2375700</v>
      </c>
      <c r="L2" s="4">
        <f t="shared" ref="L2" si="0">(LN(K2/G2))/(LN(I2/E2))</f>
        <v>0.8019010365187369</v>
      </c>
      <c r="M2" s="4">
        <f t="shared" ref="M2" si="1">LOG((K2/I2)/(G2/E2),2)</f>
        <v>-1.5058292226528853</v>
      </c>
      <c r="N2">
        <f t="shared" ref="N2" si="2">(LN(K2/G2))-(LN(I2/E2))</f>
        <v>-1.0437612800866223</v>
      </c>
    </row>
    <row r="3" spans="1:30" x14ac:dyDescent="0.25">
      <c r="AD3" s="2"/>
    </row>
    <row r="4" spans="1:30" x14ac:dyDescent="0.25">
      <c r="A4" t="s">
        <v>22</v>
      </c>
      <c r="E4" s="3"/>
      <c r="F4" s="3"/>
      <c r="G4" s="3"/>
      <c r="H4" s="3"/>
      <c r="I4" s="3"/>
      <c r="J4" s="3"/>
      <c r="K4" s="3"/>
    </row>
    <row r="5" spans="1:30" s="4" customFormat="1" x14ac:dyDescent="0.25">
      <c r="A5" s="4" t="s">
        <v>5</v>
      </c>
      <c r="B5" s="4">
        <v>1</v>
      </c>
      <c r="E5" s="4">
        <f>2*17517</f>
        <v>35034</v>
      </c>
      <c r="G5" s="4">
        <f>34741</f>
        <v>34741</v>
      </c>
      <c r="I5" s="4">
        <v>3180400</v>
      </c>
      <c r="K5" s="4">
        <v>2310000</v>
      </c>
      <c r="L5" s="4">
        <f t="shared" ref="L5" si="3">(LN(K5/G5))/(LN(I5/E5))</f>
        <v>0.93093825043839862</v>
      </c>
      <c r="M5" s="4">
        <f t="shared" ref="M5" si="4">LOG((K5/I5)/(G5/E5),2)</f>
        <v>-0.44919893837139152</v>
      </c>
      <c r="N5">
        <f t="shared" ref="N5" si="5">(LN(K5/G5))-(LN(I5/E5))</f>
        <v>-0.31136097764265003</v>
      </c>
    </row>
    <row r="6" spans="1:30" s="5" customFormat="1" x14ac:dyDescent="0.25">
      <c r="R6" s="3"/>
      <c r="S6" s="3"/>
      <c r="T6" s="3"/>
      <c r="U6" s="3"/>
      <c r="V6" s="3"/>
      <c r="W6" s="3"/>
      <c r="X6" s="3"/>
      <c r="Y6" s="3"/>
      <c r="Z6" s="3"/>
      <c r="AA6" s="3"/>
      <c r="AB6" s="3"/>
    </row>
    <row r="7" spans="1:30" s="5" customFormat="1" x14ac:dyDescent="0.25">
      <c r="E7" s="5" t="s">
        <v>66</v>
      </c>
      <c r="K7" s="5" t="s">
        <v>74</v>
      </c>
      <c r="R7"/>
      <c r="S7"/>
      <c r="T7" s="3"/>
      <c r="U7" s="3"/>
      <c r="V7" s="3"/>
      <c r="W7" s="3"/>
      <c r="X7" s="3"/>
      <c r="Y7" s="3"/>
      <c r="Z7" s="3"/>
      <c r="AA7" s="3"/>
      <c r="AB7" s="3"/>
    </row>
    <row r="8" spans="1:30" x14ac:dyDescent="0.25">
      <c r="E8" s="3"/>
      <c r="F8" s="3"/>
      <c r="G8" s="3"/>
      <c r="H8" s="3"/>
      <c r="I8" s="3"/>
      <c r="J8" s="3"/>
      <c r="K8" s="3">
        <f>30574/42214</f>
        <v>0.72426209314445444</v>
      </c>
      <c r="R8" s="3"/>
      <c r="S8" s="3"/>
      <c r="T8" s="3"/>
      <c r="U8" s="3"/>
      <c r="V8" s="3"/>
      <c r="W8" s="3"/>
      <c r="X8" s="3"/>
      <c r="Y8" s="3"/>
      <c r="Z8" s="3"/>
      <c r="AA8" s="3"/>
      <c r="AB8" s="3"/>
    </row>
    <row r="9" spans="1:30" x14ac:dyDescent="0.25">
      <c r="A9" t="s">
        <v>24</v>
      </c>
      <c r="E9" s="3"/>
      <c r="F9" s="3"/>
      <c r="G9" s="3"/>
      <c r="H9" s="3"/>
      <c r="I9" s="3"/>
      <c r="J9" s="3"/>
      <c r="K9" s="3">
        <f>49493/63231</f>
        <v>0.78273315304202051</v>
      </c>
      <c r="L9">
        <f>AVERAGE(K8:K9)</f>
        <v>0.75349762309323753</v>
      </c>
      <c r="R9" s="3"/>
      <c r="S9" s="3"/>
      <c r="T9" s="3"/>
      <c r="U9" s="3"/>
      <c r="V9" s="3"/>
      <c r="W9" s="3"/>
      <c r="X9" s="3"/>
      <c r="Y9" s="3"/>
      <c r="Z9" s="3"/>
      <c r="AA9" s="3"/>
      <c r="AB9" s="3"/>
    </row>
    <row r="10" spans="1:30" x14ac:dyDescent="0.25">
      <c r="A10" s="4">
        <v>16</v>
      </c>
      <c r="B10" s="4" t="s">
        <v>25</v>
      </c>
      <c r="C10" s="4"/>
      <c r="D10" s="4">
        <v>44644</v>
      </c>
      <c r="E10" s="4">
        <f>D10*1.2</f>
        <v>53572.799999999996</v>
      </c>
      <c r="F10" s="4">
        <v>25341</v>
      </c>
      <c r="G10" s="4">
        <f>4.8*F10</f>
        <v>121636.79999999999</v>
      </c>
      <c r="H10" s="4">
        <v>63075</v>
      </c>
      <c r="I10" s="4">
        <f>H10*100</f>
        <v>6307500</v>
      </c>
      <c r="J10" s="4">
        <v>58800</v>
      </c>
      <c r="K10" s="4">
        <f>(J10-L$9*H10)*100</f>
        <v>1127313.7423394043</v>
      </c>
      <c r="L10">
        <f>(LN(K10/G10))/(LN(I10/E10))</f>
        <v>0.46693407944212872</v>
      </c>
      <c r="M10">
        <f t="shared" ref="M10" si="6">LOG((K10/I10)/(G10/E10),2)</f>
        <v>-3.6671863755335106</v>
      </c>
      <c r="N10">
        <f t="shared" ref="N10" si="7">(LN(K10/G10))-(LN(I10/E10))</f>
        <v>-2.5418998967888982</v>
      </c>
      <c r="T10" s="3"/>
      <c r="U10" s="3"/>
      <c r="V10" s="3"/>
      <c r="W10" s="3"/>
      <c r="X10" s="3"/>
      <c r="Y10" s="3"/>
      <c r="Z10" s="3"/>
      <c r="AA10" s="3"/>
      <c r="AB10" s="3"/>
    </row>
    <row r="11" spans="1:30" x14ac:dyDescent="0.25">
      <c r="A11" s="4">
        <v>16</v>
      </c>
      <c r="B11" s="4" t="s">
        <v>26</v>
      </c>
      <c r="C11" s="4"/>
      <c r="D11" s="4">
        <v>52756</v>
      </c>
      <c r="E11" s="4">
        <f t="shared" ref="E11:E14" si="8">D11*1.2</f>
        <v>63307.199999999997</v>
      </c>
      <c r="F11" s="4">
        <v>35547</v>
      </c>
      <c r="G11" s="4">
        <f t="shared" ref="G11:G14" si="9">4.8*F11</f>
        <v>170625.6</v>
      </c>
      <c r="H11" s="4">
        <v>66643</v>
      </c>
      <c r="I11" s="4">
        <f t="shared" ref="I11:I23" si="10">H11*100</f>
        <v>6664300</v>
      </c>
      <c r="J11" s="4">
        <v>58686</v>
      </c>
      <c r="K11" s="4">
        <f t="shared" ref="K11:K23" si="11">(J11-L$9*H11)*100</f>
        <v>847065.79041973746</v>
      </c>
      <c r="L11">
        <f t="shared" ref="L11:L23" si="12">(LN(K11/G11))/(LN(I11/E11))</f>
        <v>0.34409951930221616</v>
      </c>
      <c r="M11">
        <f t="shared" ref="M11:M23" si="13">LOG((K11/I11)/(G11/E11),2)</f>
        <v>-4.406300041150204</v>
      </c>
      <c r="N11">
        <f t="shared" ref="N11:N23" si="14">(LN(K11/G11))-(LN(I11/E11))</f>
        <v>-3.0542144502244346</v>
      </c>
      <c r="R11" s="3"/>
      <c r="S11" s="3"/>
      <c r="T11" s="3"/>
      <c r="U11" s="3"/>
      <c r="V11" s="3"/>
      <c r="W11" s="3"/>
      <c r="X11" s="3"/>
      <c r="Y11" s="3"/>
      <c r="Z11" s="3"/>
      <c r="AA11" s="3"/>
      <c r="AB11" s="3"/>
    </row>
    <row r="12" spans="1:30" x14ac:dyDescent="0.25">
      <c r="A12">
        <v>16</v>
      </c>
      <c r="B12" t="s">
        <v>28</v>
      </c>
      <c r="D12">
        <v>66316</v>
      </c>
      <c r="E12">
        <f t="shared" si="8"/>
        <v>79579.199999999997</v>
      </c>
      <c r="F12">
        <v>35069</v>
      </c>
      <c r="G12">
        <f t="shared" si="9"/>
        <v>168331.19999999998</v>
      </c>
      <c r="H12">
        <v>60320</v>
      </c>
      <c r="I12">
        <f t="shared" si="10"/>
        <v>6032000</v>
      </c>
      <c r="J12">
        <v>47595</v>
      </c>
      <c r="K12">
        <f t="shared" si="11"/>
        <v>214402.33750159096</v>
      </c>
      <c r="L12">
        <f t="shared" si="12"/>
        <v>5.5895639568479205E-2</v>
      </c>
      <c r="M12">
        <f t="shared" si="13"/>
        <v>-5.8950831911514365</v>
      </c>
      <c r="N12">
        <f t="shared" si="14"/>
        <v>-4.0861602931129433</v>
      </c>
    </row>
    <row r="13" spans="1:30" x14ac:dyDescent="0.25">
      <c r="A13" s="4">
        <v>16</v>
      </c>
      <c r="B13" s="4" t="s">
        <v>29</v>
      </c>
      <c r="C13" s="4"/>
      <c r="D13" s="4">
        <v>59298</v>
      </c>
      <c r="E13" s="4">
        <f t="shared" si="8"/>
        <v>71157.599999999991</v>
      </c>
      <c r="F13" s="4">
        <v>41739</v>
      </c>
      <c r="G13" s="4">
        <f t="shared" si="9"/>
        <v>200347.19999999998</v>
      </c>
      <c r="H13" s="4">
        <v>60936</v>
      </c>
      <c r="I13" s="4">
        <f t="shared" si="10"/>
        <v>6093600</v>
      </c>
      <c r="J13" s="4">
        <v>41280</v>
      </c>
      <c r="K13" s="4">
        <f t="shared" si="11"/>
        <v>-463513.11608095199</v>
      </c>
      <c r="L13" t="e">
        <f t="shared" si="12"/>
        <v>#NUM!</v>
      </c>
      <c r="M13" t="e">
        <f t="shared" si="13"/>
        <v>#NUM!</v>
      </c>
      <c r="N13" t="e">
        <f t="shared" si="14"/>
        <v>#NUM!</v>
      </c>
      <c r="O13" t="s">
        <v>43</v>
      </c>
      <c r="P13" t="s">
        <v>44</v>
      </c>
      <c r="Q13" t="s">
        <v>45</v>
      </c>
      <c r="R13" t="s">
        <v>46</v>
      </c>
      <c r="T13" s="3"/>
      <c r="U13" s="3"/>
      <c r="V13" s="3"/>
      <c r="W13" s="3"/>
      <c r="X13" s="3"/>
      <c r="Y13" s="3"/>
      <c r="Z13" s="3"/>
      <c r="AA13" s="3"/>
      <c r="AB13" s="3"/>
    </row>
    <row r="14" spans="1:30" s="5" customFormat="1" x14ac:dyDescent="0.25">
      <c r="A14" s="4">
        <v>16</v>
      </c>
      <c r="B14" s="4" t="s">
        <v>64</v>
      </c>
      <c r="C14" s="4"/>
      <c r="D14" s="5">
        <v>65126</v>
      </c>
      <c r="E14" s="4">
        <f t="shared" si="8"/>
        <v>78151.199999999997</v>
      </c>
      <c r="F14" s="4">
        <v>39323</v>
      </c>
      <c r="G14" s="4">
        <f t="shared" si="9"/>
        <v>188750.4</v>
      </c>
      <c r="H14" s="4">
        <v>61653</v>
      </c>
      <c r="I14" s="4">
        <f t="shared" si="10"/>
        <v>6165300</v>
      </c>
      <c r="J14" s="4">
        <v>38187</v>
      </c>
      <c r="K14" s="4">
        <f t="shared" si="11"/>
        <v>-826838.8956567375</v>
      </c>
      <c r="L14" t="e">
        <f t="shared" si="12"/>
        <v>#NUM!</v>
      </c>
      <c r="M14" t="e">
        <f t="shared" si="13"/>
        <v>#NUM!</v>
      </c>
      <c r="N14" t="e">
        <f t="shared" si="14"/>
        <v>#NUM!</v>
      </c>
      <c r="O14" s="5" t="e">
        <f>AVERAGE(L10:L14)</f>
        <v>#NUM!</v>
      </c>
      <c r="P14" s="5" t="e">
        <f>_xlfn.STDEV.S(L10:L14)</f>
        <v>#NUM!</v>
      </c>
      <c r="Q14" s="5" t="e">
        <f>P14/SQRT(COUNT(L10:L14))</f>
        <v>#NUM!</v>
      </c>
      <c r="R14" s="3" t="e">
        <f>P14/O14</f>
        <v>#NUM!</v>
      </c>
      <c r="S14" s="3"/>
      <c r="T14" s="3"/>
      <c r="U14" s="3"/>
      <c r="V14" s="3"/>
      <c r="W14" s="3"/>
      <c r="X14" s="3"/>
      <c r="Y14" s="3"/>
      <c r="Z14" s="3"/>
      <c r="AA14" s="3"/>
      <c r="AB14" s="3"/>
    </row>
    <row r="15" spans="1:30" x14ac:dyDescent="0.25">
      <c r="E15" s="3"/>
      <c r="F15" s="3"/>
      <c r="G15" s="3"/>
      <c r="H15" s="3"/>
      <c r="I15" s="4"/>
      <c r="J15" s="3"/>
      <c r="K15" s="4">
        <f t="shared" si="11"/>
        <v>0</v>
      </c>
      <c r="L15" t="e">
        <f t="shared" si="12"/>
        <v>#DIV/0!</v>
      </c>
      <c r="M15" t="e">
        <f t="shared" si="13"/>
        <v>#DIV/0!</v>
      </c>
      <c r="N15" t="e">
        <f t="shared" si="14"/>
        <v>#DIV/0!</v>
      </c>
      <c r="R15" s="3"/>
      <c r="S15" s="3"/>
      <c r="T15" s="3"/>
      <c r="U15" s="3"/>
      <c r="V15" s="3"/>
      <c r="W15" s="3"/>
      <c r="X15" s="3"/>
      <c r="Y15" s="3"/>
      <c r="Z15" s="3"/>
      <c r="AA15" s="3"/>
      <c r="AB15" s="3"/>
    </row>
    <row r="16" spans="1:30" s="9" customFormat="1" x14ac:dyDescent="0.25">
      <c r="A16" s="9">
        <v>17</v>
      </c>
      <c r="B16" s="9" t="s">
        <v>29</v>
      </c>
      <c r="D16" s="9">
        <v>59298</v>
      </c>
      <c r="E16" s="10">
        <f>1.5*D16</f>
        <v>88947</v>
      </c>
      <c r="F16" s="10">
        <v>4048</v>
      </c>
      <c r="G16" s="10">
        <f>F16*4.5</f>
        <v>18216</v>
      </c>
      <c r="H16" s="10">
        <v>64128</v>
      </c>
      <c r="I16" s="4">
        <f t="shared" si="10"/>
        <v>6412800</v>
      </c>
      <c r="J16" s="10">
        <v>64964</v>
      </c>
      <c r="K16" s="4">
        <f t="shared" si="11"/>
        <v>1664370.4426276861</v>
      </c>
      <c r="L16" s="9">
        <f t="shared" si="12"/>
        <v>1.0553741744233969</v>
      </c>
      <c r="M16" s="9">
        <f t="shared" si="13"/>
        <v>0.34176190999301742</v>
      </c>
      <c r="N16" s="9">
        <f t="shared" si="14"/>
        <v>0.23689130433444205</v>
      </c>
      <c r="R16" s="10"/>
      <c r="S16" s="10"/>
      <c r="T16" s="10"/>
      <c r="U16" s="10"/>
      <c r="V16" s="10"/>
      <c r="W16" s="10"/>
      <c r="X16" s="10"/>
      <c r="Y16" s="10"/>
      <c r="Z16" s="10"/>
      <c r="AA16" s="10"/>
      <c r="AB16" s="10"/>
    </row>
    <row r="17" spans="1:28" x14ac:dyDescent="0.25">
      <c r="A17">
        <v>17</v>
      </c>
      <c r="B17" t="s">
        <v>64</v>
      </c>
      <c r="D17" s="4">
        <v>65126</v>
      </c>
      <c r="E17" s="3">
        <f t="shared" ref="E17:E23" si="15">1.5*D17</f>
        <v>97689</v>
      </c>
      <c r="F17" s="3">
        <v>27026</v>
      </c>
      <c r="G17">
        <f t="shared" ref="G17:G23" si="16">F17*4.5</f>
        <v>121617</v>
      </c>
      <c r="H17" s="3">
        <v>67089</v>
      </c>
      <c r="I17" s="4">
        <f t="shared" si="10"/>
        <v>6708900</v>
      </c>
      <c r="J17" s="3">
        <v>58033</v>
      </c>
      <c r="K17" s="4">
        <f t="shared" si="11"/>
        <v>748159.79642977833</v>
      </c>
      <c r="L17">
        <f t="shared" si="12"/>
        <v>0.42955011533587739</v>
      </c>
      <c r="M17">
        <f t="shared" si="13"/>
        <v>-3.4807347735940262</v>
      </c>
      <c r="N17">
        <f t="shared" si="14"/>
        <v>-2.4126614945936584</v>
      </c>
      <c r="R17" s="3"/>
      <c r="S17" s="3"/>
      <c r="T17" s="3"/>
      <c r="U17" s="3"/>
      <c r="V17" s="3"/>
      <c r="W17" s="3"/>
      <c r="X17" s="3"/>
      <c r="Y17" s="3"/>
      <c r="Z17" s="3"/>
      <c r="AA17" s="3"/>
      <c r="AB17" s="3"/>
    </row>
    <row r="18" spans="1:28" x14ac:dyDescent="0.25">
      <c r="A18">
        <v>17</v>
      </c>
      <c r="B18" t="s">
        <v>67</v>
      </c>
      <c r="D18" s="4">
        <v>66502</v>
      </c>
      <c r="E18" s="3">
        <f t="shared" si="15"/>
        <v>99753</v>
      </c>
      <c r="F18" s="3">
        <v>34138</v>
      </c>
      <c r="G18">
        <f t="shared" si="16"/>
        <v>153621</v>
      </c>
      <c r="H18" s="3">
        <v>58558</v>
      </c>
      <c r="I18" s="4">
        <f t="shared" si="10"/>
        <v>5855800</v>
      </c>
      <c r="J18" s="3">
        <v>40619</v>
      </c>
      <c r="K18" s="4">
        <f t="shared" si="11"/>
        <v>-350431.38130938023</v>
      </c>
      <c r="L18" t="e">
        <f t="shared" si="12"/>
        <v>#NUM!</v>
      </c>
      <c r="M18" t="e">
        <f t="shared" si="13"/>
        <v>#NUM!</v>
      </c>
      <c r="N18" t="e">
        <f t="shared" si="14"/>
        <v>#NUM!</v>
      </c>
      <c r="R18" s="3"/>
      <c r="S18" s="3"/>
      <c r="T18" s="3"/>
      <c r="U18" s="3"/>
      <c r="V18" s="3"/>
      <c r="W18" s="3"/>
      <c r="X18" s="3"/>
      <c r="Y18" s="3"/>
      <c r="Z18" s="3"/>
      <c r="AA18" s="3"/>
      <c r="AB18" s="3"/>
    </row>
    <row r="19" spans="1:28" x14ac:dyDescent="0.25">
      <c r="A19">
        <v>17</v>
      </c>
      <c r="B19" t="s">
        <v>68</v>
      </c>
      <c r="D19" s="4">
        <v>69962</v>
      </c>
      <c r="E19" s="3">
        <f t="shared" si="15"/>
        <v>104943</v>
      </c>
      <c r="F19" s="3">
        <v>37253</v>
      </c>
      <c r="G19">
        <f t="shared" si="16"/>
        <v>167638.5</v>
      </c>
      <c r="H19" s="3">
        <v>59553</v>
      </c>
      <c r="I19" s="4">
        <f t="shared" si="10"/>
        <v>5955300</v>
      </c>
      <c r="J19" s="3">
        <v>46662</v>
      </c>
      <c r="K19" s="4">
        <f t="shared" si="11"/>
        <v>178895.60519284278</v>
      </c>
      <c r="L19">
        <f t="shared" si="12"/>
        <v>1.6092763632989761E-2</v>
      </c>
      <c r="M19">
        <f t="shared" si="13"/>
        <v>-5.7327319146097286</v>
      </c>
      <c r="N19">
        <f t="shared" si="14"/>
        <v>-3.9736269635177504</v>
      </c>
      <c r="R19" s="3"/>
      <c r="S19" s="3"/>
      <c r="T19" s="3"/>
      <c r="U19" s="3"/>
      <c r="V19" s="3"/>
      <c r="W19" s="3"/>
      <c r="X19" s="3"/>
      <c r="Y19" s="3"/>
      <c r="Z19" s="3"/>
      <c r="AA19" s="3"/>
      <c r="AB19" s="3"/>
    </row>
    <row r="20" spans="1:28" x14ac:dyDescent="0.25">
      <c r="A20">
        <v>17</v>
      </c>
      <c r="B20" t="s">
        <v>69</v>
      </c>
      <c r="D20" s="4">
        <v>65609</v>
      </c>
      <c r="E20" s="3">
        <f t="shared" si="15"/>
        <v>98413.5</v>
      </c>
      <c r="F20" s="3">
        <v>37692</v>
      </c>
      <c r="G20">
        <f t="shared" si="16"/>
        <v>169614</v>
      </c>
      <c r="H20" s="3">
        <v>68209</v>
      </c>
      <c r="I20" s="4">
        <f t="shared" si="10"/>
        <v>6820900</v>
      </c>
      <c r="J20" s="3">
        <v>45835</v>
      </c>
      <c r="K20" s="4">
        <f t="shared" si="11"/>
        <v>-556031.93735666352</v>
      </c>
      <c r="L20" t="e">
        <f t="shared" si="12"/>
        <v>#NUM!</v>
      </c>
      <c r="M20" t="e">
        <f t="shared" si="13"/>
        <v>#NUM!</v>
      </c>
      <c r="N20" t="e">
        <f t="shared" si="14"/>
        <v>#NUM!</v>
      </c>
      <c r="R20" s="3"/>
      <c r="S20" s="3"/>
      <c r="T20" s="3"/>
      <c r="U20" s="3"/>
      <c r="V20" s="3"/>
      <c r="W20" s="3"/>
      <c r="X20" s="3"/>
      <c r="Y20" s="3"/>
      <c r="Z20" s="3"/>
      <c r="AA20" s="3"/>
      <c r="AB20" s="3"/>
    </row>
    <row r="21" spans="1:28" x14ac:dyDescent="0.25">
      <c r="A21">
        <v>17</v>
      </c>
      <c r="B21" t="s">
        <v>70</v>
      </c>
      <c r="D21" s="4">
        <v>74924</v>
      </c>
      <c r="E21" s="3">
        <f t="shared" si="15"/>
        <v>112386</v>
      </c>
      <c r="F21" s="3">
        <v>37763</v>
      </c>
      <c r="G21">
        <f t="shared" si="16"/>
        <v>169933.5</v>
      </c>
      <c r="H21" s="3">
        <v>66893</v>
      </c>
      <c r="I21" s="4">
        <f t="shared" si="10"/>
        <v>6689300</v>
      </c>
      <c r="J21" s="3">
        <v>47011</v>
      </c>
      <c r="K21" s="4">
        <f t="shared" si="11"/>
        <v>-339271.65015759383</v>
      </c>
      <c r="L21" t="e">
        <f t="shared" si="12"/>
        <v>#NUM!</v>
      </c>
      <c r="M21" t="e">
        <f t="shared" si="13"/>
        <v>#NUM!</v>
      </c>
      <c r="N21" t="e">
        <f t="shared" si="14"/>
        <v>#NUM!</v>
      </c>
      <c r="R21" s="3"/>
      <c r="S21" s="3"/>
      <c r="T21" s="3"/>
      <c r="U21" s="3"/>
      <c r="V21" s="3"/>
      <c r="W21" s="3"/>
      <c r="X21" s="3"/>
      <c r="Y21" s="3"/>
      <c r="Z21" s="3"/>
      <c r="AA21" s="3"/>
      <c r="AB21" s="3"/>
    </row>
    <row r="22" spans="1:28" x14ac:dyDescent="0.25">
      <c r="A22">
        <v>17</v>
      </c>
      <c r="B22" t="s">
        <v>71</v>
      </c>
      <c r="D22" s="4">
        <v>68103</v>
      </c>
      <c r="E22" s="3">
        <f t="shared" si="15"/>
        <v>102154.5</v>
      </c>
      <c r="F22" s="3">
        <v>44230</v>
      </c>
      <c r="G22">
        <f t="shared" si="16"/>
        <v>199035</v>
      </c>
      <c r="H22" s="3">
        <v>64578</v>
      </c>
      <c r="I22" s="4">
        <f t="shared" si="10"/>
        <v>6457800</v>
      </c>
      <c r="J22" s="3">
        <v>45693</v>
      </c>
      <c r="K22" s="4">
        <f t="shared" si="11"/>
        <v>-296636.95041150932</v>
      </c>
      <c r="L22" t="e">
        <f t="shared" si="12"/>
        <v>#NUM!</v>
      </c>
      <c r="M22" t="e">
        <f t="shared" si="13"/>
        <v>#NUM!</v>
      </c>
      <c r="N22" t="e">
        <f t="shared" si="14"/>
        <v>#NUM!</v>
      </c>
      <c r="R22" s="3"/>
      <c r="S22" s="3"/>
      <c r="T22" s="3"/>
      <c r="U22" s="3"/>
      <c r="V22" s="3"/>
      <c r="W22" s="3"/>
      <c r="X22" s="3"/>
      <c r="Y22" s="3"/>
      <c r="Z22" s="3"/>
      <c r="AA22" s="3"/>
      <c r="AB22" s="3"/>
    </row>
    <row r="23" spans="1:28" x14ac:dyDescent="0.25">
      <c r="A23">
        <v>17</v>
      </c>
      <c r="B23" t="s">
        <v>72</v>
      </c>
      <c r="D23" s="4">
        <v>66172</v>
      </c>
      <c r="E23" s="3">
        <f t="shared" si="15"/>
        <v>99258</v>
      </c>
      <c r="F23" s="3">
        <v>51469</v>
      </c>
      <c r="G23">
        <f t="shared" si="16"/>
        <v>231610.5</v>
      </c>
      <c r="H23" s="3">
        <v>64206</v>
      </c>
      <c r="I23" s="4">
        <f t="shared" si="10"/>
        <v>6420600</v>
      </c>
      <c r="J23" s="3">
        <v>43409</v>
      </c>
      <c r="K23" s="4">
        <f t="shared" si="11"/>
        <v>-497006.83883244055</v>
      </c>
      <c r="L23" t="e">
        <f t="shared" si="12"/>
        <v>#NUM!</v>
      </c>
      <c r="M23" t="e">
        <f t="shared" si="13"/>
        <v>#NUM!</v>
      </c>
      <c r="N23" t="e">
        <f t="shared" si="14"/>
        <v>#NUM!</v>
      </c>
      <c r="R23" s="3"/>
      <c r="S23" s="3"/>
      <c r="T23" s="3"/>
      <c r="U23" s="3"/>
      <c r="V23" s="3"/>
      <c r="W23" s="3"/>
      <c r="X23" s="3"/>
      <c r="Y23" s="3"/>
      <c r="Z23" s="3"/>
      <c r="AA23" s="3"/>
      <c r="AB23" s="3"/>
    </row>
    <row r="24" spans="1:28" x14ac:dyDescent="0.25">
      <c r="E24" s="3"/>
      <c r="F24" s="3"/>
      <c r="G24" s="3"/>
      <c r="H24" s="3"/>
      <c r="I24" s="3"/>
      <c r="J24" s="3"/>
      <c r="K24" s="3"/>
      <c r="R24" s="3"/>
      <c r="S24" s="3"/>
      <c r="T24" s="3"/>
      <c r="U24" s="3"/>
      <c r="V24" s="3"/>
      <c r="W24" s="3"/>
      <c r="X24" s="3"/>
      <c r="Y24" s="3"/>
      <c r="Z24" s="3"/>
      <c r="AA24" s="3"/>
      <c r="AB24" s="3"/>
    </row>
    <row r="30" spans="1:28" s="5" customFormat="1" x14ac:dyDescent="0.25">
      <c r="E30" s="5" t="s">
        <v>30</v>
      </c>
      <c r="O30" s="5" t="e">
        <f>1.03*O14</f>
        <v>#NUM!</v>
      </c>
      <c r="R30" s="3"/>
      <c r="S30" s="3"/>
      <c r="T30" s="3"/>
      <c r="U30" s="3"/>
      <c r="V30" s="3"/>
      <c r="W30" s="3"/>
      <c r="X30" s="3"/>
      <c r="Y30" s="3"/>
      <c r="Z30" s="3"/>
      <c r="AA30" s="3"/>
      <c r="AB30" s="3"/>
    </row>
    <row r="31" spans="1:28" s="5" customFormat="1" x14ac:dyDescent="0.25">
      <c r="E31" s="5" t="s">
        <v>31</v>
      </c>
      <c r="R31"/>
      <c r="S31"/>
      <c r="T31" s="3"/>
      <c r="U31" s="3"/>
      <c r="V31" s="3"/>
      <c r="W31" s="3"/>
      <c r="X31" s="3"/>
      <c r="Y31" s="3"/>
      <c r="Z31" s="3"/>
      <c r="AA31" s="3"/>
      <c r="AB31" s="3"/>
    </row>
    <row r="32" spans="1:28" x14ac:dyDescent="0.25">
      <c r="E32" s="5" t="s">
        <v>32</v>
      </c>
      <c r="F32" s="5"/>
      <c r="R32" s="3"/>
      <c r="S32" s="3"/>
      <c r="T32" s="3"/>
      <c r="U32" s="3"/>
      <c r="V32" s="3"/>
      <c r="W32" s="3"/>
      <c r="X32" s="3"/>
      <c r="Y32" s="3"/>
      <c r="Z32" s="3"/>
      <c r="AA32" s="3"/>
      <c r="AB32" s="3"/>
    </row>
    <row r="33" spans="1:30" x14ac:dyDescent="0.25">
      <c r="E33" s="7" t="s">
        <v>33</v>
      </c>
      <c r="F33" s="7"/>
    </row>
    <row r="34" spans="1:30" x14ac:dyDescent="0.25">
      <c r="E34" s="5" t="s">
        <v>34</v>
      </c>
      <c r="F34" s="5"/>
    </row>
    <row r="35" spans="1:30" x14ac:dyDescent="0.25">
      <c r="C35" t="s">
        <v>36</v>
      </c>
      <c r="E35" s="5"/>
      <c r="F35" s="5"/>
      <c r="I35" t="s">
        <v>37</v>
      </c>
      <c r="K35" t="s">
        <v>38</v>
      </c>
      <c r="L35" t="s">
        <v>40</v>
      </c>
      <c r="M35" t="s">
        <v>39</v>
      </c>
    </row>
    <row r="36" spans="1:30" x14ac:dyDescent="0.25">
      <c r="E36" s="5"/>
      <c r="F36" s="5"/>
      <c r="I36">
        <f>59535</f>
        <v>59535</v>
      </c>
      <c r="K36">
        <f>9922</f>
        <v>9922</v>
      </c>
      <c r="L36">
        <f>K36/(I36+K36)</f>
        <v>0.14285097254416401</v>
      </c>
      <c r="M36" s="8">
        <f>K36/I36</f>
        <v>0.16665826824556984</v>
      </c>
    </row>
    <row r="37" spans="1:30" x14ac:dyDescent="0.25">
      <c r="C37" t="s">
        <v>41</v>
      </c>
      <c r="E37" s="5"/>
      <c r="F37" s="5"/>
    </row>
    <row r="38" spans="1:30" x14ac:dyDescent="0.25">
      <c r="E38" s="5"/>
      <c r="F38" s="5"/>
    </row>
    <row r="39" spans="1:30" x14ac:dyDescent="0.25">
      <c r="E39" s="5"/>
      <c r="F39" s="5"/>
    </row>
    <row r="40" spans="1:30" x14ac:dyDescent="0.25">
      <c r="A40" t="s">
        <v>35</v>
      </c>
    </row>
    <row r="48" spans="1:30" s="6" customFormat="1"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spans="1:30" s="6" customFormat="1"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row>
    <row r="50" spans="1:30" s="6" customFormat="1" x14ac:dyDescent="0.25">
      <c r="A50" s="5"/>
      <c r="B50" s="5"/>
      <c r="C50" s="5"/>
      <c r="D50" s="5"/>
      <c r="E50" s="5"/>
      <c r="F50" s="5"/>
      <c r="G50" s="5"/>
      <c r="H50" s="5"/>
      <c r="I50" s="5"/>
      <c r="J50" s="5"/>
      <c r="K50" s="5"/>
      <c r="L50" s="5"/>
      <c r="M50" s="5"/>
      <c r="N50" s="5"/>
      <c r="O50" s="5"/>
      <c r="P50" s="5"/>
      <c r="Q50" s="5"/>
      <c r="R50"/>
      <c r="S50"/>
      <c r="T50" s="5"/>
      <c r="U50" s="5"/>
      <c r="V50" s="5"/>
      <c r="W50" s="5"/>
      <c r="X50" s="5"/>
      <c r="Y50" s="5"/>
      <c r="Z50" s="5"/>
      <c r="AA50" s="5"/>
      <c r="AB50" s="5"/>
      <c r="AC50" s="5"/>
      <c r="AD50" s="5"/>
    </row>
    <row r="54" spans="1:30" s="5" customFormat="1" x14ac:dyDescent="0.25"/>
    <row r="55" spans="1:30" s="5" customFormat="1" x14ac:dyDescent="0.25"/>
    <row r="56" spans="1:30" s="5" customFormat="1" x14ac:dyDescent="0.25">
      <c r="R56"/>
      <c r="S56"/>
    </row>
    <row r="59" spans="1:30" s="1" customFormat="1" x14ac:dyDescent="0.25">
      <c r="A59"/>
      <c r="B59"/>
      <c r="C59"/>
      <c r="D59"/>
      <c r="E59"/>
      <c r="F59"/>
      <c r="G59"/>
      <c r="H59"/>
      <c r="I59"/>
      <c r="J59"/>
      <c r="K59"/>
      <c r="L59"/>
      <c r="M59"/>
      <c r="N59"/>
      <c r="O59"/>
      <c r="P59"/>
      <c r="Q59"/>
      <c r="R59"/>
      <c r="S59"/>
      <c r="T59"/>
      <c r="U59"/>
      <c r="V59"/>
      <c r="W59"/>
      <c r="X59"/>
      <c r="Y59"/>
      <c r="Z59"/>
      <c r="AA59"/>
      <c r="AB59"/>
      <c r="AC59"/>
      <c r="AD59"/>
    </row>
    <row r="60" spans="1:30" x14ac:dyDescent="0.25">
      <c r="A60" t="s">
        <v>6</v>
      </c>
      <c r="B60">
        <v>1</v>
      </c>
      <c r="E60">
        <v>3970</v>
      </c>
      <c r="G60">
        <v>15690</v>
      </c>
      <c r="I60">
        <v>1160900</v>
      </c>
      <c r="K60">
        <v>810300</v>
      </c>
      <c r="L60">
        <f>(LN(K60/G60))/(LN(I60/E60))</f>
        <v>0.69465527381330128</v>
      </c>
      <c r="M60">
        <f>LOG((K60/I60)/(G60/E60),2)</f>
        <v>-2.5013500978573315</v>
      </c>
      <c r="N60">
        <f>(LN(K60/G60))-(LN(I60/E60))</f>
        <v>-1.7338037679231526</v>
      </c>
      <c r="P60">
        <f>L60/$U$62</f>
        <v>0.99154811130004306</v>
      </c>
      <c r="Q60" t="e">
        <f>L60/#REF!</f>
        <v>#REF!</v>
      </c>
    </row>
    <row r="61" spans="1:30" x14ac:dyDescent="0.25">
      <c r="A61" t="s">
        <v>6</v>
      </c>
      <c r="B61">
        <v>2</v>
      </c>
      <c r="E61">
        <v>4162</v>
      </c>
      <c r="G61">
        <v>15473</v>
      </c>
      <c r="I61">
        <v>1218300</v>
      </c>
      <c r="K61">
        <v>753900</v>
      </c>
      <c r="L61">
        <f>(LN(K61/G61))/(LN(I61/E61))</f>
        <v>0.68427810579231052</v>
      </c>
      <c r="M61">
        <f>LOG((K61/I61)/(G61/E61),2)</f>
        <v>-2.5868284283149161</v>
      </c>
      <c r="N61">
        <f>(LN(K61/G61))-(LN(I61/E61))</f>
        <v>-1.7930528316787981</v>
      </c>
      <c r="P61">
        <f>L61/$U$62</f>
        <v>0.97673578389140958</v>
      </c>
      <c r="Q61" t="e">
        <f>L61/#REF!</f>
        <v>#REF!</v>
      </c>
    </row>
    <row r="62" spans="1:30" x14ac:dyDescent="0.25">
      <c r="A62" t="s">
        <v>6</v>
      </c>
      <c r="B62">
        <v>3</v>
      </c>
      <c r="E62">
        <v>3803</v>
      </c>
      <c r="G62">
        <v>15825</v>
      </c>
      <c r="I62">
        <v>1048600</v>
      </c>
      <c r="K62">
        <v>919000</v>
      </c>
      <c r="L62">
        <f>(LN(K62/G62))/(LN(I62/E62))</f>
        <v>0.72279602483807681</v>
      </c>
      <c r="M62">
        <f>LOG((K62/I62)/(G62/E62),2)</f>
        <v>-2.2473233399124335</v>
      </c>
      <c r="N62">
        <f>(LN(K62/G62))-(LN(I62/E62))</f>
        <v>-1.5577258368668625</v>
      </c>
      <c r="O62">
        <f>AVERAGE(L60:L62)</f>
        <v>0.7005764681478962</v>
      </c>
      <c r="P62">
        <f>L62/$U$62</f>
        <v>1.0317161048085473</v>
      </c>
      <c r="Q62" t="e">
        <f>L62/#REF!</f>
        <v>#REF!</v>
      </c>
      <c r="R62" t="e">
        <f>O62/#REF!</f>
        <v>#REF!</v>
      </c>
      <c r="U62">
        <f>AVERAGE(L60:L62)</f>
        <v>0.7005764681478962</v>
      </c>
    </row>
    <row r="63" spans="1:30" x14ac:dyDescent="0.25">
      <c r="M63">
        <f>AVERAGE(M60:M62)</f>
        <v>-2.4451672886948939</v>
      </c>
      <c r="N63">
        <f>AVERAGE(N60:N62)</f>
        <v>-1.6948608121562712</v>
      </c>
      <c r="R63" t="e">
        <f>_xlfn.STDEV.S(Q60:Q62)</f>
        <v>#REF!</v>
      </c>
    </row>
    <row r="64" spans="1:30" x14ac:dyDescent="0.25">
      <c r="R64" t="e">
        <f>R63/SQRT(COUNT(Q60:Q62))</f>
        <v>#REF!</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E93BC-A75C-4810-86C3-7114098BD423}">
  <dimension ref="A1:Q11"/>
  <sheetViews>
    <sheetView workbookViewId="0">
      <selection activeCell="N25" sqref="N25"/>
    </sheetView>
  </sheetViews>
  <sheetFormatPr defaultRowHeight="15" x14ac:dyDescent="0.25"/>
  <sheetData>
    <row r="1" spans="1:17" x14ac:dyDescent="0.25">
      <c r="A1" t="s">
        <v>50</v>
      </c>
      <c r="B1" t="s">
        <v>47</v>
      </c>
      <c r="C1" t="s">
        <v>49</v>
      </c>
      <c r="D1" t="s">
        <v>48</v>
      </c>
      <c r="F1" t="s">
        <v>51</v>
      </c>
      <c r="K1" t="s">
        <v>52</v>
      </c>
      <c r="L1" t="s">
        <v>47</v>
      </c>
      <c r="M1" t="s">
        <v>54</v>
      </c>
      <c r="N1" t="s">
        <v>55</v>
      </c>
      <c r="O1" t="s">
        <v>53</v>
      </c>
      <c r="Q1" t="s">
        <v>57</v>
      </c>
    </row>
    <row r="2" spans="1:17" x14ac:dyDescent="0.25">
      <c r="B2">
        <v>100</v>
      </c>
      <c r="C2">
        <v>83</v>
      </c>
      <c r="D2">
        <v>17</v>
      </c>
      <c r="G2">
        <v>100</v>
      </c>
      <c r="H2">
        <v>83</v>
      </c>
      <c r="I2">
        <v>17</v>
      </c>
      <c r="L2">
        <v>10000</v>
      </c>
      <c r="M2">
        <v>5000</v>
      </c>
      <c r="N2">
        <v>5000</v>
      </c>
      <c r="O2">
        <v>99</v>
      </c>
      <c r="Q2">
        <f>17/83</f>
        <v>0.20481927710843373</v>
      </c>
    </row>
    <row r="6" spans="1:17" x14ac:dyDescent="0.25">
      <c r="A6" t="s">
        <v>59</v>
      </c>
      <c r="D6" t="s">
        <v>56</v>
      </c>
    </row>
    <row r="7" spans="1:17" x14ac:dyDescent="0.25">
      <c r="A7" s="4" t="s">
        <v>5</v>
      </c>
      <c r="B7" s="4" t="s">
        <v>25</v>
      </c>
      <c r="C7" s="4"/>
      <c r="D7" s="4">
        <f>C2</f>
        <v>83</v>
      </c>
      <c r="E7" s="4">
        <f>O2</f>
        <v>99</v>
      </c>
      <c r="F7" s="4">
        <f>M2</f>
        <v>5000</v>
      </c>
      <c r="G7" s="4">
        <f>N2-Q2*M2</f>
        <v>3975.9036144578313</v>
      </c>
      <c r="H7" s="4">
        <f>G7-F7*$J$21</f>
        <v>3975.9036144578313</v>
      </c>
      <c r="I7" s="4">
        <f t="shared" ref="I7" si="0">(LN(H7/E7))/(LN(F7/D7))</f>
        <v>0.90106631876214505</v>
      </c>
    </row>
    <row r="10" spans="1:17" x14ac:dyDescent="0.25">
      <c r="A10" t="s">
        <v>58</v>
      </c>
      <c r="B10" t="s">
        <v>60</v>
      </c>
    </row>
    <row r="11" spans="1:17" x14ac:dyDescent="0.25">
      <c r="A11" s="4" t="s">
        <v>5</v>
      </c>
      <c r="B11" s="4" t="s">
        <v>25</v>
      </c>
      <c r="C11" s="4"/>
      <c r="D11" s="4">
        <f>B2</f>
        <v>100</v>
      </c>
      <c r="E11" s="4">
        <f>O2</f>
        <v>99</v>
      </c>
      <c r="F11" s="4">
        <f>M2+Q2*M2</f>
        <v>6024.0963855421687</v>
      </c>
      <c r="G11" s="4">
        <f>N2-Q2*M2</f>
        <v>3975.9036144578313</v>
      </c>
      <c r="H11" s="4">
        <f>G11-F11*$J$21</f>
        <v>3975.9036144578313</v>
      </c>
      <c r="I11" s="4">
        <f t="shared" ref="I11" si="1">(LN(H11/E11))/(LN(F11/D11))</f>
        <v>0.90106631876214505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what if didnt correct</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2021-01-20T22:49:57Z</dcterms:modified>
</cp:coreProperties>
</file>