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xr:revisionPtr revIDLastSave="593" documentId="13_ncr:1_{1EE3FB85-C378-4B52-B350-B5724775AFE2}" xr6:coauthVersionLast="46" xr6:coauthVersionMax="46" xr10:uidLastSave="{1FA07C3E-F84B-40AA-BC61-17DF55975D35}"/>
  <bookViews>
    <workbookView xWindow="-120" yWindow="-120" windowWidth="29040" windowHeight="15840" xr2:uid="{00000000-000D-0000-FFFF-FFFF00000000}"/>
  </bookViews>
  <sheets>
    <sheet name="false neg PER COMPETN" sheetId="4" r:id="rId1"/>
    <sheet name="false neg AVERAGED" sheetId="1"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9" i="4" l="1"/>
  <c r="N19" i="4"/>
  <c r="O19" i="4"/>
  <c r="L19" i="4"/>
  <c r="L12" i="4" l="1"/>
  <c r="M18" i="4" s="1"/>
  <c r="N18" i="4" s="1"/>
  <c r="O18" i="4" s="1"/>
  <c r="K11" i="4"/>
  <c r="K16" i="4"/>
  <c r="K13" i="4"/>
  <c r="K15" i="4"/>
  <c r="K12" i="4"/>
  <c r="K14" i="4"/>
  <c r="N67" i="4"/>
  <c r="M67" i="4"/>
  <c r="L67" i="4"/>
  <c r="Q67" i="4" s="1"/>
  <c r="N66" i="4"/>
  <c r="M66" i="4"/>
  <c r="L66" i="4"/>
  <c r="Q66" i="4" s="1"/>
  <c r="Q65" i="4"/>
  <c r="R68" i="4" s="1"/>
  <c r="N65" i="4"/>
  <c r="M65" i="4"/>
  <c r="L65" i="4"/>
  <c r="K41" i="4"/>
  <c r="M41" i="4" s="1"/>
  <c r="I41" i="4"/>
  <c r="O35" i="4"/>
  <c r="I16" i="4"/>
  <c r="G16" i="4"/>
  <c r="E16" i="4"/>
  <c r="I15" i="4"/>
  <c r="G15" i="4"/>
  <c r="E15" i="4"/>
  <c r="I14" i="4"/>
  <c r="G14" i="4"/>
  <c r="E14" i="4"/>
  <c r="I13" i="4"/>
  <c r="G13" i="4"/>
  <c r="E13" i="4"/>
  <c r="I12" i="4"/>
  <c r="G12" i="4"/>
  <c r="E12" i="4"/>
  <c r="I11" i="4"/>
  <c r="G11" i="4"/>
  <c r="E11" i="4"/>
  <c r="I6" i="4"/>
  <c r="G6" i="4"/>
  <c r="I5" i="4"/>
  <c r="G5" i="4"/>
  <c r="I4" i="4"/>
  <c r="G4" i="4"/>
  <c r="G7" i="4" s="1"/>
  <c r="I13" i="1"/>
  <c r="K12" i="1"/>
  <c r="K13" i="1"/>
  <c r="K14" i="1"/>
  <c r="K15" i="1"/>
  <c r="K16" i="1"/>
  <c r="K17" i="1"/>
  <c r="K18" i="1"/>
  <c r="K19" i="1"/>
  <c r="K20" i="1"/>
  <c r="K21" i="1"/>
  <c r="K22" i="1"/>
  <c r="I12" i="1"/>
  <c r="I14" i="1"/>
  <c r="I15" i="1"/>
  <c r="I16" i="1"/>
  <c r="I17" i="1"/>
  <c r="I18" i="1"/>
  <c r="I19" i="1"/>
  <c r="I20" i="1"/>
  <c r="I21" i="1"/>
  <c r="I22" i="1"/>
  <c r="K11" i="1"/>
  <c r="I11" i="1"/>
  <c r="I7" i="1"/>
  <c r="I4" i="1"/>
  <c r="G4" i="1"/>
  <c r="E12" i="1"/>
  <c r="E13" i="1"/>
  <c r="E14" i="1"/>
  <c r="E15" i="1"/>
  <c r="E16" i="1"/>
  <c r="E17" i="1"/>
  <c r="E18" i="1"/>
  <c r="E19" i="1"/>
  <c r="E20" i="1"/>
  <c r="E21" i="1"/>
  <c r="E22" i="1"/>
  <c r="E11" i="1"/>
  <c r="G12" i="1"/>
  <c r="G13" i="1"/>
  <c r="G14" i="1"/>
  <c r="G15" i="1"/>
  <c r="G16" i="1"/>
  <c r="G17" i="1"/>
  <c r="G18" i="1"/>
  <c r="G19" i="1"/>
  <c r="G20" i="1"/>
  <c r="G21" i="1"/>
  <c r="G22" i="1"/>
  <c r="G11" i="1"/>
  <c r="L18" i="4" l="1"/>
  <c r="R69" i="4"/>
  <c r="I7" i="4"/>
  <c r="M68" i="4"/>
  <c r="N68" i="4"/>
  <c r="O67" i="4"/>
  <c r="R67" i="4" s="1"/>
  <c r="L41" i="4"/>
  <c r="U67" i="4"/>
  <c r="P67" i="4" s="1"/>
  <c r="I6" i="1"/>
  <c r="I5" i="1"/>
  <c r="G6" i="1"/>
  <c r="G7" i="1" s="1"/>
  <c r="G5" i="1"/>
  <c r="N14" i="4" l="1"/>
  <c r="M14" i="4"/>
  <c r="L14" i="4"/>
  <c r="N16" i="4"/>
  <c r="M16" i="4"/>
  <c r="L16" i="4"/>
  <c r="P66" i="4"/>
  <c r="L11" i="4"/>
  <c r="N11" i="4"/>
  <c r="M11" i="4"/>
  <c r="P65" i="4"/>
  <c r="M15" i="4"/>
  <c r="L15" i="4"/>
  <c r="N15" i="4"/>
  <c r="N13" i="4"/>
  <c r="M13" i="4"/>
  <c r="L13" i="4"/>
  <c r="N12" i="4"/>
  <c r="M12" i="4"/>
  <c r="L20" i="1"/>
  <c r="L21" i="1"/>
  <c r="N15" i="1"/>
  <c r="L17" i="1"/>
  <c r="M16" i="1"/>
  <c r="M18" i="1"/>
  <c r="M19" i="1"/>
  <c r="L11" i="1"/>
  <c r="R15" i="4" l="1"/>
  <c r="P15" i="4"/>
  <c r="O15" i="4"/>
  <c r="O16" i="4" s="1"/>
  <c r="L15" i="1"/>
  <c r="M15" i="1"/>
  <c r="N17" i="1"/>
  <c r="M17" i="1"/>
  <c r="N11" i="1"/>
  <c r="L13" i="1"/>
  <c r="M13" i="1"/>
  <c r="N13" i="1"/>
  <c r="M11" i="1"/>
  <c r="M20" i="1"/>
  <c r="L19" i="1"/>
  <c r="N19" i="1"/>
  <c r="L14" i="1"/>
  <c r="M14" i="1"/>
  <c r="N14" i="1"/>
  <c r="L22" i="1"/>
  <c r="M22" i="1"/>
  <c r="N22" i="1"/>
  <c r="N20" i="1"/>
  <c r="M21" i="1"/>
  <c r="N12" i="1"/>
  <c r="L12" i="1"/>
  <c r="M12" i="1"/>
  <c r="N16" i="1"/>
  <c r="L16" i="1"/>
  <c r="N21" i="1"/>
  <c r="N18" i="1"/>
  <c r="L18" i="1"/>
  <c r="P16" i="4" l="1"/>
  <c r="Q15" i="4"/>
  <c r="Q16" i="4" s="1"/>
  <c r="R21" i="1"/>
  <c r="O21" i="1"/>
  <c r="O22" i="1" s="1"/>
  <c r="P21" i="1"/>
  <c r="Q21" i="1" s="1"/>
  <c r="Q22" i="1" s="1"/>
  <c r="P22" i="1" l="1"/>
  <c r="K47" i="1"/>
  <c r="I47" i="1"/>
  <c r="M47" i="1" l="1"/>
  <c r="L47" i="1"/>
  <c r="O41" i="1" l="1"/>
  <c r="N71" i="1" l="1"/>
  <c r="L71" i="1" l="1"/>
  <c r="M71" i="1"/>
  <c r="N73" i="1"/>
  <c r="N72" i="1" l="1"/>
  <c r="N74" i="1" s="1"/>
  <c r="L72" i="1"/>
  <c r="M72" i="1"/>
  <c r="M73" i="1"/>
  <c r="L73" i="1"/>
  <c r="Q72" i="1" l="1"/>
  <c r="O73" i="1"/>
  <c r="M74" i="1"/>
  <c r="U73" i="1"/>
  <c r="Q71" i="1" l="1"/>
  <c r="R73" i="1"/>
  <c r="Q73" i="1"/>
  <c r="P73" i="1"/>
  <c r="P72" i="1"/>
  <c r="P71" i="1"/>
  <c r="R74" i="1" l="1"/>
  <c r="R75" i="1" s="1"/>
</calcChain>
</file>

<file path=xl/sharedStrings.xml><?xml version="1.0" encoding="utf-8"?>
<sst xmlns="http://schemas.openxmlformats.org/spreadsheetml/2006/main" count="117" uniqueCount="64">
  <si>
    <t>Replicate</t>
  </si>
  <si>
    <t>W_W</t>
  </si>
  <si>
    <t>Delaney</t>
  </si>
  <si>
    <t>line</t>
  </si>
  <si>
    <t>r_W</t>
  </si>
  <si>
    <t>syn3B_anc</t>
  </si>
  <si>
    <t>T0_mCherry</t>
  </si>
  <si>
    <t>T0_SOI</t>
  </si>
  <si>
    <t>T24_mCherry</t>
  </si>
  <si>
    <t>T24_SOI</t>
  </si>
  <si>
    <t>W div syn3B ancestor</t>
  </si>
  <si>
    <t>B_vs_mCherry</t>
  </si>
  <si>
    <t>1_vs_mCherry</t>
  </si>
  <si>
    <t>B_vs_B.anc</t>
  </si>
  <si>
    <t>1_vs_1.anc</t>
  </si>
  <si>
    <t>B_vs_1.anc</t>
  </si>
  <si>
    <t>1_vs_B.anc</t>
  </si>
  <si>
    <t>note</t>
  </si>
  <si>
    <t>standard deviation</t>
  </si>
  <si>
    <t>CV (%)</t>
  </si>
  <si>
    <t>Next set is 5 replicates, competitions started 20201226</t>
  </si>
  <si>
    <t>a</t>
  </si>
  <si>
    <t>b</t>
  </si>
  <si>
    <t>c</t>
  </si>
  <si>
    <t>d</t>
  </si>
  <si>
    <t>e</t>
  </si>
  <si>
    <t>Multiply 3/2 for mCherry, 2/3 for WT</t>
  </si>
  <si>
    <t>Note: There was a subpop of the mCherry strain not xprssing mCherry. I did not include it in the mCherry counts for T0.</t>
  </si>
  <si>
    <t>There is probably a good way to SUBTRACT the non-expressing mCherry cells out from the WT subpop in the T24 timepoints…</t>
  </si>
  <si>
    <t>here's the answer: Calculate the proportion of mCherry cells that appear as non-mCherry in the T24 axenic sample. Then, also calculate that proportion in each of the T24 samples, and subtract that amount from the WT cell counts.</t>
  </si>
  <si>
    <t>If you INCLUDED the non-xprssing mCherry cells in the axenic T0 and T24 counts, then you would ADD that amount to the mCherry mixed T24 total (instead of JUST subtracting it from the WT count).</t>
  </si>
  <si>
    <t>`</t>
  </si>
  <si>
    <t>Here is the calcn</t>
  </si>
  <si>
    <t>mCherry+</t>
  </si>
  <si>
    <t>mCherry-</t>
  </si>
  <si>
    <t>Neg as a proportion ofpos</t>
  </si>
  <si>
    <t>Neg as a proportion of tot</t>
  </si>
  <si>
    <t>So for each competition, I subtract from the observed WT count an amount equal to 0.167 of the observed mCherry+ count</t>
  </si>
  <si>
    <t>T24_SOI_raw</t>
  </si>
  <si>
    <t>Std dev</t>
  </si>
  <si>
    <t>SEM</t>
  </si>
  <si>
    <t>T0_mCherry_raw</t>
  </si>
  <si>
    <t>f</t>
  </si>
  <si>
    <t>T0_SOI_raw</t>
  </si>
  <si>
    <t>Multipled by e.g., 1.2 to represent that 12 μL were inocd in the mixed culture.</t>
  </si>
  <si>
    <t>g</t>
  </si>
  <si>
    <t>h</t>
  </si>
  <si>
    <t>i</t>
  </si>
  <si>
    <t>j</t>
  </si>
  <si>
    <t>k</t>
  </si>
  <si>
    <t>l</t>
  </si>
  <si>
    <t>T24_mCherry_raw</t>
  </si>
  <si>
    <t>In this case, by 4 or by 2 to represent 40 μL or 20 μL inoculum</t>
  </si>
  <si>
    <t>mCherry true positives</t>
  </si>
  <si>
    <t>mCherry false negs</t>
  </si>
  <si>
    <t>ratio false negs per true pos</t>
  </si>
  <si>
    <t>mCherry strain was totally outcompeted in these replicates. They are not usable</t>
  </si>
  <si>
    <t>b+ h</t>
  </si>
  <si>
    <t>e + k</t>
  </si>
  <si>
    <t>F + l</t>
  </si>
  <si>
    <t>mean</t>
  </si>
  <si>
    <t>STANDARD DEVIATION</t>
  </si>
  <si>
    <t>2 SEM</t>
  </si>
  <si>
    <t>syn1.0 anc fitness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</si>
</sst>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9C0006"/>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sz val="11"/>
      <color rgb="FF006100"/>
      <name val="Calibri"/>
      <family val="2"/>
      <scheme val="minor"/>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6" fillId="4" borderId="0" applyNumberFormat="0" applyBorder="0" applyAlignment="0" applyProtection="0"/>
  </cellStyleXfs>
  <cellXfs count="11">
    <xf numFmtId="0" fontId="0" fillId="0" borderId="0" xfId="0"/>
    <xf numFmtId="0" fontId="0" fillId="3" borderId="0" xfId="0" applyFill="1"/>
    <xf numFmtId="0" fontId="1" fillId="0" borderId="0" xfId="1" applyFill="1"/>
    <xf numFmtId="0" fontId="2" fillId="0" borderId="0" xfId="0" applyFont="1"/>
    <xf numFmtId="0" fontId="0" fillId="0" borderId="0" xfId="0" applyFill="1"/>
    <xf numFmtId="0" fontId="3" fillId="0" borderId="0" xfId="0" applyFont="1"/>
    <xf numFmtId="0" fontId="3" fillId="3" borderId="0" xfId="0" applyFont="1" applyFill="1"/>
    <xf numFmtId="0" fontId="4" fillId="0" borderId="0" xfId="0" applyFont="1"/>
    <xf numFmtId="0" fontId="5" fillId="0" borderId="0" xfId="0" applyFont="1"/>
    <xf numFmtId="0" fontId="6" fillId="4" borderId="0" xfId="2"/>
    <xf numFmtId="0" fontId="1" fillId="2" borderId="0" xfId="1"/>
  </cellXfs>
  <cellStyles count="3">
    <cellStyle name="Bad" xfId="1" builtinId="27"/>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01225_Lennon.FC.competition.pil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at if didnt correct"/>
      <sheetName val="Sheet1"/>
      <sheetName val="Sheet2"/>
    </sheetNames>
    <sheetDataSet>
      <sheetData sheetId="0"/>
      <sheetData sheetId="1">
        <row r="10">
          <cell r="J10">
            <v>1.188790922184471</v>
          </cell>
        </row>
        <row r="11">
          <cell r="J11">
            <v>1.1652544233932831</v>
          </cell>
        </row>
        <row r="12">
          <cell r="J12">
            <v>1.0237541161547665</v>
          </cell>
        </row>
        <row r="13">
          <cell r="J13">
            <v>1.0416114604177584</v>
          </cell>
        </row>
        <row r="14">
          <cell r="J14">
            <v>1.0928048510786788</v>
          </cell>
          <cell r="M14">
            <v>1.1024431546457916</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6D6FD-AD9A-42C4-8DAE-967A29A5D15B}">
  <dimension ref="A1:AD69"/>
  <sheetViews>
    <sheetView tabSelected="1" zoomScaleNormal="100" workbookViewId="0">
      <pane ySplit="1" topLeftCell="A2" activePane="bottomLeft" state="frozen"/>
      <selection pane="bottomLeft" activeCell="I11" sqref="I11"/>
    </sheetView>
  </sheetViews>
  <sheetFormatPr defaultRowHeight="15" x14ac:dyDescent="0.25"/>
  <cols>
    <col min="1" max="1" width="11.28515625" customWidth="1"/>
    <col min="2" max="3" width="9.28515625" customWidth="1"/>
    <col min="4" max="4" width="14.42578125" customWidth="1"/>
    <col min="5" max="5" width="13.5703125" customWidth="1"/>
    <col min="6" max="6" width="14.7109375" customWidth="1"/>
    <col min="7" max="7" width="6.7109375" customWidth="1"/>
    <col min="8" max="8" width="14.7109375" customWidth="1"/>
    <col min="9" max="9" width="14.42578125" customWidth="1"/>
    <col min="10" max="10" width="13.5703125" customWidth="1"/>
    <col min="14" max="17" width="12.28515625" customWidth="1"/>
    <col min="18" max="18" width="25" customWidth="1"/>
    <col min="19" max="19" width="12.28515625" customWidth="1"/>
    <col min="20" max="21" width="12.140625" customWidth="1"/>
    <col min="22" max="25" width="16" customWidth="1"/>
    <col min="26" max="26" width="14" customWidth="1"/>
    <col min="27" max="27" width="10.28515625" customWidth="1"/>
    <col min="28" max="28" width="9.28515625" customWidth="1"/>
  </cols>
  <sheetData>
    <row r="1" spans="1:30" x14ac:dyDescent="0.25">
      <c r="A1" t="s">
        <v>3</v>
      </c>
      <c r="B1" t="s">
        <v>0</v>
      </c>
      <c r="C1" t="s">
        <v>17</v>
      </c>
      <c r="D1" t="s">
        <v>41</v>
      </c>
      <c r="E1" t="s">
        <v>6</v>
      </c>
      <c r="F1" t="s">
        <v>43</v>
      </c>
      <c r="G1" t="s">
        <v>7</v>
      </c>
      <c r="H1" t="s">
        <v>51</v>
      </c>
      <c r="I1" t="s">
        <v>8</v>
      </c>
      <c r="J1" t="s">
        <v>38</v>
      </c>
      <c r="K1" t="s">
        <v>9</v>
      </c>
      <c r="L1" t="s">
        <v>1</v>
      </c>
      <c r="M1" t="s">
        <v>2</v>
      </c>
      <c r="N1" t="s">
        <v>4</v>
      </c>
      <c r="P1" t="s">
        <v>10</v>
      </c>
      <c r="R1" t="s">
        <v>18</v>
      </c>
      <c r="S1" t="s">
        <v>19</v>
      </c>
      <c r="T1" t="s">
        <v>11</v>
      </c>
      <c r="U1" t="s">
        <v>12</v>
      </c>
      <c r="V1" t="s">
        <v>13</v>
      </c>
      <c r="W1" t="s">
        <v>14</v>
      </c>
      <c r="X1" t="s">
        <v>15</v>
      </c>
      <c r="Y1" t="s">
        <v>16</v>
      </c>
    </row>
    <row r="2" spans="1:30" s="4" customFormat="1" x14ac:dyDescent="0.25">
      <c r="N2"/>
    </row>
    <row r="3" spans="1:30" x14ac:dyDescent="0.25">
      <c r="E3" t="s">
        <v>53</v>
      </c>
      <c r="F3" t="s">
        <v>54</v>
      </c>
      <c r="G3" t="s">
        <v>55</v>
      </c>
      <c r="AD3" s="2"/>
    </row>
    <row r="4" spans="1:30" x14ac:dyDescent="0.25">
      <c r="D4" t="s">
        <v>57</v>
      </c>
      <c r="E4">
        <v>47762</v>
      </c>
      <c r="F4">
        <v>12137</v>
      </c>
      <c r="G4" s="3">
        <f>F4/E4</f>
        <v>0.25411414932373017</v>
      </c>
      <c r="I4" s="3">
        <f>F4/(SUM(E4:F4))</f>
        <v>0.20262441776991269</v>
      </c>
      <c r="AD4" s="2"/>
    </row>
    <row r="5" spans="1:30" x14ac:dyDescent="0.25">
      <c r="D5" t="s">
        <v>58</v>
      </c>
      <c r="E5" s="3">
        <v>40990</v>
      </c>
      <c r="F5" s="3">
        <v>35708</v>
      </c>
      <c r="G5" s="3">
        <f>F5/E5</f>
        <v>0.87113930226884606</v>
      </c>
      <c r="H5" s="3"/>
      <c r="I5" s="3">
        <f>F5/(SUM(E5:F5))</f>
        <v>0.46556624683824871</v>
      </c>
      <c r="J5" s="3"/>
      <c r="K5" s="3"/>
    </row>
    <row r="6" spans="1:30" s="4" customFormat="1" x14ac:dyDescent="0.25">
      <c r="D6" s="4" t="s">
        <v>59</v>
      </c>
      <c r="E6" s="4">
        <v>73388</v>
      </c>
      <c r="F6" s="4">
        <v>26675</v>
      </c>
      <c r="G6" s="3">
        <f>F6/E6</f>
        <v>0.36347904289529626</v>
      </c>
      <c r="I6" s="3">
        <f>F6/(SUM(E6:F6))</f>
        <v>0.26658205330641693</v>
      </c>
      <c r="N6"/>
    </row>
    <row r="7" spans="1:30" s="5" customFormat="1" x14ac:dyDescent="0.25">
      <c r="G7" s="5">
        <f>AVERAGE(G4:G6)</f>
        <v>0.49624416482929085</v>
      </c>
      <c r="I7" s="5">
        <f>AVERAGE(I4:I6)</f>
        <v>0.31159090597152611</v>
      </c>
      <c r="R7" s="3"/>
      <c r="S7" s="3"/>
      <c r="T7" s="3"/>
      <c r="U7" s="3"/>
      <c r="V7" s="3"/>
      <c r="W7" s="3"/>
      <c r="X7" s="3"/>
      <c r="Y7" s="3"/>
      <c r="Z7" s="3"/>
      <c r="AA7" s="3"/>
      <c r="AB7" s="3"/>
    </row>
    <row r="8" spans="1:30" s="5" customFormat="1" x14ac:dyDescent="0.25">
      <c r="E8" s="5" t="s">
        <v>44</v>
      </c>
      <c r="R8"/>
      <c r="S8"/>
      <c r="T8" s="3"/>
      <c r="U8" s="3"/>
      <c r="V8" s="3"/>
      <c r="W8" s="3"/>
      <c r="X8" s="3"/>
      <c r="Y8" s="3"/>
      <c r="Z8" s="3"/>
      <c r="AA8" s="3"/>
      <c r="AB8" s="3"/>
    </row>
    <row r="9" spans="1:30" x14ac:dyDescent="0.25">
      <c r="E9" t="s">
        <v>52</v>
      </c>
    </row>
    <row r="10" spans="1:30" x14ac:dyDescent="0.25">
      <c r="A10" t="s">
        <v>20</v>
      </c>
    </row>
    <row r="11" spans="1:30" x14ac:dyDescent="0.25">
      <c r="A11">
        <v>17</v>
      </c>
      <c r="B11" t="s">
        <v>22</v>
      </c>
      <c r="D11">
        <v>52375</v>
      </c>
      <c r="E11">
        <f t="shared" ref="E11:E16" si="0">D11*1.5</f>
        <v>78562.5</v>
      </c>
      <c r="F11">
        <v>29529</v>
      </c>
      <c r="G11">
        <f t="shared" ref="G11:G16" si="1">13.5*F11</f>
        <v>398641.5</v>
      </c>
      <c r="H11">
        <v>45107</v>
      </c>
      <c r="I11">
        <f t="shared" ref="I11:I16" si="2">H11*1000</f>
        <v>45107000</v>
      </c>
      <c r="J11">
        <v>22372</v>
      </c>
      <c r="K11">
        <f>(J11-($G$4*H11))*1000</f>
        <v>10909673.066454504</v>
      </c>
      <c r="L11">
        <f t="shared" ref="L11:L16" si="3">(LN(K11/G11))/(LN(I11/E11))</f>
        <v>0.52091855895758887</v>
      </c>
      <c r="M11">
        <f t="shared" ref="M11:M16" si="4">LOG((K11/I11)/(G11/E11),2)</f>
        <v>-4.3909226321505139</v>
      </c>
      <c r="N11">
        <f t="shared" ref="N11:N16" si="5">(LN(K11/G11))-(LN(I11/E11))</f>
        <v>-3.0435556425319827</v>
      </c>
    </row>
    <row r="12" spans="1:30" x14ac:dyDescent="0.25">
      <c r="A12">
        <v>17</v>
      </c>
      <c r="B12" t="s">
        <v>25</v>
      </c>
      <c r="D12">
        <v>76820</v>
      </c>
      <c r="E12">
        <f t="shared" si="0"/>
        <v>115230</v>
      </c>
      <c r="F12">
        <v>26489</v>
      </c>
      <c r="G12">
        <f t="shared" si="1"/>
        <v>357601.5</v>
      </c>
      <c r="H12">
        <v>1865</v>
      </c>
      <c r="I12">
        <f t="shared" si="2"/>
        <v>1865000</v>
      </c>
      <c r="J12">
        <v>11693</v>
      </c>
      <c r="K12">
        <f>(J12-($G$5*H12))*1000</f>
        <v>10068325.201268602</v>
      </c>
      <c r="L12">
        <f t="shared" si="3"/>
        <v>1.1988603000275289</v>
      </c>
      <c r="M12">
        <f t="shared" si="4"/>
        <v>0.79873976663434088</v>
      </c>
      <c r="N12">
        <f t="shared" si="5"/>
        <v>0.55364421724370239</v>
      </c>
    </row>
    <row r="13" spans="1:30" x14ac:dyDescent="0.25">
      <c r="A13">
        <v>17</v>
      </c>
      <c r="B13" t="s">
        <v>42</v>
      </c>
      <c r="D13">
        <v>59689</v>
      </c>
      <c r="E13">
        <f t="shared" si="0"/>
        <v>89533.5</v>
      </c>
      <c r="F13">
        <v>30278</v>
      </c>
      <c r="G13">
        <f t="shared" si="1"/>
        <v>408753</v>
      </c>
      <c r="H13">
        <v>38409</v>
      </c>
      <c r="I13">
        <f t="shared" si="2"/>
        <v>38409000</v>
      </c>
      <c r="J13">
        <v>25396</v>
      </c>
      <c r="K13">
        <f>(J13-($G$6*H13))*1000</f>
        <v>11435133.441434566</v>
      </c>
      <c r="L13">
        <f t="shared" si="3"/>
        <v>0.54959512688811218</v>
      </c>
      <c r="M13">
        <f t="shared" si="4"/>
        <v>-3.9387010312432102</v>
      </c>
      <c r="N13">
        <f t="shared" si="5"/>
        <v>-2.7300995148747802</v>
      </c>
    </row>
    <row r="14" spans="1:30" x14ac:dyDescent="0.25">
      <c r="A14">
        <v>17</v>
      </c>
      <c r="B14" t="s">
        <v>46</v>
      </c>
      <c r="D14">
        <v>52375</v>
      </c>
      <c r="E14">
        <f t="shared" si="0"/>
        <v>78562.5</v>
      </c>
      <c r="F14">
        <v>28957</v>
      </c>
      <c r="G14">
        <f t="shared" si="1"/>
        <v>390919.5</v>
      </c>
      <c r="H14">
        <v>49132</v>
      </c>
      <c r="I14">
        <f t="shared" si="2"/>
        <v>49132000</v>
      </c>
      <c r="J14">
        <v>16912</v>
      </c>
      <c r="K14">
        <f>(J14-($G$4*H14))*1000</f>
        <v>4426863.6154264892</v>
      </c>
      <c r="L14">
        <f t="shared" si="3"/>
        <v>0.37695013813781775</v>
      </c>
      <c r="M14">
        <f t="shared" si="4"/>
        <v>-5.7872649423379361</v>
      </c>
      <c r="N14">
        <f t="shared" si="5"/>
        <v>-4.0114263779349546</v>
      </c>
    </row>
    <row r="15" spans="1:30" x14ac:dyDescent="0.25">
      <c r="A15">
        <v>17</v>
      </c>
      <c r="B15" t="s">
        <v>49</v>
      </c>
      <c r="D15">
        <v>76820</v>
      </c>
      <c r="E15">
        <f t="shared" si="0"/>
        <v>115230</v>
      </c>
      <c r="F15">
        <v>29679</v>
      </c>
      <c r="G15">
        <f t="shared" si="1"/>
        <v>400666.5</v>
      </c>
      <c r="H15">
        <v>29642</v>
      </c>
      <c r="I15">
        <f t="shared" si="2"/>
        <v>29642000</v>
      </c>
      <c r="J15">
        <v>27332</v>
      </c>
      <c r="K15">
        <f>(J15-($G$5*H15))*1000</f>
        <v>1509688.8021468658</v>
      </c>
      <c r="L15">
        <f t="shared" si="3"/>
        <v>0.23901355722714615</v>
      </c>
      <c r="M15">
        <f t="shared" si="4"/>
        <v>-6.0932052154592622</v>
      </c>
      <c r="N15">
        <f t="shared" si="5"/>
        <v>-4.2234880156687407</v>
      </c>
      <c r="O15">
        <f>AVERAGE(L12:L15)</f>
        <v>0.59110478057015126</v>
      </c>
      <c r="P15">
        <f>_xlfn.STDEV.S(L12:L15)</f>
        <v>0.42462542835233202</v>
      </c>
      <c r="Q15">
        <f>P15/SQRT(COUNT(L12:L15))</f>
        <v>0.21231271417616601</v>
      </c>
      <c r="R15">
        <f>_xlfn.T.TEST(L12:L15,[1]Sheet1!$J$10:$J$14,2,3)</f>
        <v>9.3653868611946897E-2</v>
      </c>
    </row>
    <row r="16" spans="1:30" x14ac:dyDescent="0.25">
      <c r="A16">
        <v>17</v>
      </c>
      <c r="B16" t="s">
        <v>50</v>
      </c>
      <c r="D16">
        <v>59689</v>
      </c>
      <c r="E16">
        <f t="shared" si="0"/>
        <v>89533.5</v>
      </c>
      <c r="F16">
        <v>30870</v>
      </c>
      <c r="G16">
        <f t="shared" si="1"/>
        <v>416745</v>
      </c>
      <c r="H16">
        <v>77831</v>
      </c>
      <c r="I16">
        <f t="shared" si="2"/>
        <v>77831000</v>
      </c>
      <c r="J16">
        <v>30380</v>
      </c>
      <c r="K16">
        <f>(J16-($G$6*H16))*1000</f>
        <v>2090062.6124161973</v>
      </c>
      <c r="L16">
        <f t="shared" si="3"/>
        <v>0.23826100627908028</v>
      </c>
      <c r="M16">
        <f t="shared" si="4"/>
        <v>-7.4373922269342865</v>
      </c>
      <c r="N16">
        <f t="shared" si="5"/>
        <v>-5.1552074528179546</v>
      </c>
      <c r="O16">
        <f>O15/[1]Sheet1!$M$14</f>
        <v>0.53617710634710203</v>
      </c>
      <c r="P16">
        <f>P15/[1]Sheet1!$M$14</f>
        <v>0.38516764022065303</v>
      </c>
      <c r="Q16">
        <f>Q15/[1]Sheet1!$M$14</f>
        <v>0.19258382011032651</v>
      </c>
    </row>
    <row r="17" spans="9:28" x14ac:dyDescent="0.25">
      <c r="L17" t="s">
        <v>60</v>
      </c>
      <c r="M17" t="s">
        <v>61</v>
      </c>
      <c r="N17" t="s">
        <v>40</v>
      </c>
      <c r="O17" t="s">
        <v>62</v>
      </c>
    </row>
    <row r="18" spans="9:28" x14ac:dyDescent="0.25">
      <c r="I18" t="s">
        <v>63</v>
      </c>
      <c r="L18">
        <f>AVERAGE(L11:L16)</f>
        <v>0.52059978125287898</v>
      </c>
      <c r="M18">
        <f>_xlfn.STDEV.S(L11:L16)</f>
        <v>0.35791601484092572</v>
      </c>
      <c r="N18">
        <f>M18/SQRT(COUNT(L11:L16))</f>
        <v>0.14611860118844655</v>
      </c>
      <c r="O18">
        <f>2*N18</f>
        <v>0.2922372023768931</v>
      </c>
    </row>
    <row r="19" spans="9:28" x14ac:dyDescent="0.25">
      <c r="I19">
        <v>1.1024431546457916</v>
      </c>
      <c r="L19">
        <f>L18/$I$19</f>
        <v>0.47222369612349274</v>
      </c>
      <c r="M19">
        <f t="shared" ref="M19:O19" si="6">M18/$I$19</f>
        <v>0.32465711572758782</v>
      </c>
      <c r="N19">
        <f t="shared" si="6"/>
        <v>0.13254071248271626</v>
      </c>
      <c r="O19">
        <f t="shared" si="6"/>
        <v>0.26508142496543252</v>
      </c>
    </row>
    <row r="28" spans="9:28" x14ac:dyDescent="0.25">
      <c r="P28" s="5"/>
      <c r="Q28" s="5"/>
    </row>
    <row r="29" spans="9:28" x14ac:dyDescent="0.25">
      <c r="R29" s="3"/>
      <c r="S29" s="3"/>
      <c r="T29" s="3"/>
      <c r="U29" s="3"/>
      <c r="V29" s="3"/>
      <c r="W29" s="3"/>
      <c r="X29" s="3"/>
      <c r="Y29" s="3"/>
      <c r="Z29" s="3"/>
      <c r="AA29" s="3"/>
      <c r="AB29" s="3"/>
    </row>
    <row r="35" spans="1:28" s="5" customFormat="1" x14ac:dyDescent="0.25">
      <c r="E35" s="5" t="s">
        <v>26</v>
      </c>
      <c r="O35" s="5">
        <f>1.03*O19</f>
        <v>0.27303386771439553</v>
      </c>
      <c r="R35" s="3"/>
      <c r="S35" s="3"/>
      <c r="T35" s="3"/>
      <c r="U35" s="3"/>
      <c r="V35" s="3"/>
      <c r="W35" s="3"/>
      <c r="X35" s="3"/>
      <c r="Y35" s="3"/>
      <c r="Z35" s="3"/>
      <c r="AA35" s="3"/>
      <c r="AB35" s="3"/>
    </row>
    <row r="36" spans="1:28" s="5" customFormat="1" x14ac:dyDescent="0.25">
      <c r="E36" s="5" t="s">
        <v>27</v>
      </c>
      <c r="R36"/>
      <c r="S36"/>
      <c r="T36" s="3"/>
      <c r="U36" s="3"/>
      <c r="V36" s="3"/>
      <c r="W36" s="3"/>
      <c r="X36" s="3"/>
      <c r="Y36" s="3"/>
      <c r="Z36" s="3"/>
      <c r="AA36" s="3"/>
      <c r="AB36" s="3"/>
    </row>
    <row r="37" spans="1:28" x14ac:dyDescent="0.25">
      <c r="E37" s="5" t="s">
        <v>28</v>
      </c>
      <c r="F37" s="5"/>
      <c r="R37" s="3"/>
      <c r="S37" s="3"/>
      <c r="T37" s="3"/>
      <c r="U37" s="3"/>
      <c r="V37" s="3"/>
      <c r="W37" s="3"/>
      <c r="X37" s="3"/>
      <c r="Y37" s="3"/>
      <c r="Z37" s="3"/>
      <c r="AA37" s="3"/>
      <c r="AB37" s="3"/>
    </row>
    <row r="38" spans="1:28" x14ac:dyDescent="0.25">
      <c r="E38" s="7" t="s">
        <v>29</v>
      </c>
      <c r="F38" s="7"/>
    </row>
    <row r="39" spans="1:28" x14ac:dyDescent="0.25">
      <c r="E39" s="5" t="s">
        <v>30</v>
      </c>
      <c r="F39" s="5"/>
    </row>
    <row r="40" spans="1:28" x14ac:dyDescent="0.25">
      <c r="C40" t="s">
        <v>32</v>
      </c>
      <c r="E40" s="5"/>
      <c r="F40" s="5"/>
      <c r="I40" t="s">
        <v>33</v>
      </c>
      <c r="K40" t="s">
        <v>34</v>
      </c>
      <c r="L40" t="s">
        <v>36</v>
      </c>
      <c r="M40" t="s">
        <v>35</v>
      </c>
    </row>
    <row r="41" spans="1:28" x14ac:dyDescent="0.25">
      <c r="E41" s="5"/>
      <c r="F41" s="5"/>
      <c r="I41">
        <f>59535</f>
        <v>59535</v>
      </c>
      <c r="K41">
        <f>9922</f>
        <v>9922</v>
      </c>
      <c r="L41">
        <f>K41/(I41+K41)</f>
        <v>0.14285097254416401</v>
      </c>
      <c r="M41" s="8">
        <f>K41/I41</f>
        <v>0.16665826824556984</v>
      </c>
    </row>
    <row r="42" spans="1:28" x14ac:dyDescent="0.25">
      <c r="C42" t="s">
        <v>37</v>
      </c>
      <c r="E42" s="5"/>
      <c r="F42" s="5"/>
    </row>
    <row r="43" spans="1:28" x14ac:dyDescent="0.25">
      <c r="E43" s="5"/>
      <c r="F43" s="5"/>
    </row>
    <row r="44" spans="1:28" x14ac:dyDescent="0.25">
      <c r="E44" s="5"/>
      <c r="F44" s="5"/>
    </row>
    <row r="45" spans="1:28" x14ac:dyDescent="0.25">
      <c r="A45" t="s">
        <v>31</v>
      </c>
    </row>
    <row r="53" spans="1:30" s="6" customFormat="1"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row>
    <row r="54" spans="1:30" s="6" customFormat="1"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row>
    <row r="55" spans="1:30" s="6" customFormat="1" x14ac:dyDescent="0.25">
      <c r="A55" s="5"/>
      <c r="B55" s="5"/>
      <c r="C55" s="5"/>
      <c r="D55" s="5"/>
      <c r="E55" s="5"/>
      <c r="F55" s="5"/>
      <c r="G55" s="5"/>
      <c r="H55" s="5"/>
      <c r="I55" s="5"/>
      <c r="J55" s="5"/>
      <c r="K55" s="5"/>
      <c r="L55" s="5"/>
      <c r="M55" s="5"/>
      <c r="N55" s="5"/>
      <c r="O55" s="5"/>
      <c r="P55" s="5"/>
      <c r="Q55" s="5"/>
      <c r="R55"/>
      <c r="S55"/>
      <c r="T55" s="5"/>
      <c r="U55" s="5"/>
      <c r="V55" s="5"/>
      <c r="W55" s="5"/>
      <c r="X55" s="5"/>
      <c r="Y55" s="5"/>
      <c r="Z55" s="5"/>
      <c r="AA55" s="5"/>
      <c r="AB55" s="5"/>
      <c r="AC55" s="5"/>
      <c r="AD55" s="5"/>
    </row>
    <row r="59" spans="1:30" s="5" customFormat="1" x14ac:dyDescent="0.25"/>
    <row r="60" spans="1:30" s="5" customFormat="1" x14ac:dyDescent="0.25"/>
    <row r="61" spans="1:30" s="5" customFormat="1" x14ac:dyDescent="0.25">
      <c r="R61"/>
      <c r="S61"/>
    </row>
    <row r="64" spans="1:30" s="1" customFormat="1" x14ac:dyDescent="0.25">
      <c r="A64"/>
      <c r="B64"/>
      <c r="C64"/>
      <c r="D64"/>
      <c r="E64"/>
      <c r="F64"/>
      <c r="G64"/>
      <c r="H64"/>
      <c r="I64"/>
      <c r="J64"/>
      <c r="K64"/>
      <c r="L64"/>
      <c r="M64"/>
      <c r="N64"/>
      <c r="O64"/>
      <c r="P64"/>
      <c r="Q64"/>
      <c r="R64"/>
      <c r="S64"/>
      <c r="T64"/>
      <c r="U64"/>
      <c r="V64"/>
      <c r="W64"/>
      <c r="X64"/>
      <c r="Y64"/>
      <c r="Z64"/>
      <c r="AA64"/>
      <c r="AB64"/>
      <c r="AC64"/>
      <c r="AD64"/>
    </row>
    <row r="65" spans="1:21" x14ac:dyDescent="0.25">
      <c r="A65" t="s">
        <v>5</v>
      </c>
      <c r="B65">
        <v>1</v>
      </c>
      <c r="E65">
        <v>3970</v>
      </c>
      <c r="G65">
        <v>15690</v>
      </c>
      <c r="I65">
        <v>1160900</v>
      </c>
      <c r="K65">
        <v>810300</v>
      </c>
      <c r="L65">
        <f>(LN(K65/G65))/(LN(I65/E65))</f>
        <v>0.69465527381330128</v>
      </c>
      <c r="M65">
        <f>LOG((K65/I65)/(G65/E65),2)</f>
        <v>-2.5013500978573315</v>
      </c>
      <c r="N65">
        <f>(LN(K65/G65))-(LN(I65/E65))</f>
        <v>-1.7338037679231526</v>
      </c>
      <c r="P65">
        <f>L65/$U$67</f>
        <v>0.99154811130004306</v>
      </c>
      <c r="Q65" t="e">
        <f>L65/#REF!</f>
        <v>#REF!</v>
      </c>
    </row>
    <row r="66" spans="1:21" x14ac:dyDescent="0.25">
      <c r="A66" t="s">
        <v>5</v>
      </c>
      <c r="B66">
        <v>2</v>
      </c>
      <c r="E66">
        <v>4162</v>
      </c>
      <c r="G66">
        <v>15473</v>
      </c>
      <c r="I66">
        <v>1218300</v>
      </c>
      <c r="K66">
        <v>753900</v>
      </c>
      <c r="L66">
        <f>(LN(K66/G66))/(LN(I66/E66))</f>
        <v>0.68427810579231052</v>
      </c>
      <c r="M66">
        <f>LOG((K66/I66)/(G66/E66),2)</f>
        <v>-2.5868284283149161</v>
      </c>
      <c r="N66">
        <f>(LN(K66/G66))-(LN(I66/E66))</f>
        <v>-1.7930528316787981</v>
      </c>
      <c r="P66">
        <f>L66/$U$67</f>
        <v>0.97673578389140958</v>
      </c>
      <c r="Q66" t="e">
        <f>L66/#REF!</f>
        <v>#REF!</v>
      </c>
    </row>
    <row r="67" spans="1:21" x14ac:dyDescent="0.25">
      <c r="A67" t="s">
        <v>5</v>
      </c>
      <c r="B67">
        <v>3</v>
      </c>
      <c r="E67">
        <v>3803</v>
      </c>
      <c r="G67">
        <v>15825</v>
      </c>
      <c r="I67">
        <v>1048600</v>
      </c>
      <c r="K67">
        <v>919000</v>
      </c>
      <c r="L67">
        <f>(LN(K67/G67))/(LN(I67/E67))</f>
        <v>0.72279602483807681</v>
      </c>
      <c r="M67">
        <f>LOG((K67/I67)/(G67/E67),2)</f>
        <v>-2.2473233399124335</v>
      </c>
      <c r="N67">
        <f>(LN(K67/G67))-(LN(I67/E67))</f>
        <v>-1.5577258368668625</v>
      </c>
      <c r="O67">
        <f>AVERAGE(L65:L67)</f>
        <v>0.7005764681478962</v>
      </c>
      <c r="P67">
        <f>L67/$U$67</f>
        <v>1.0317161048085473</v>
      </c>
      <c r="Q67" t="e">
        <f>L67/#REF!</f>
        <v>#REF!</v>
      </c>
      <c r="R67" t="e">
        <f>O67/#REF!</f>
        <v>#REF!</v>
      </c>
      <c r="U67">
        <f>AVERAGE(L65:L67)</f>
        <v>0.7005764681478962</v>
      </c>
    </row>
    <row r="68" spans="1:21" x14ac:dyDescent="0.25">
      <c r="M68">
        <f>AVERAGE(M65:M67)</f>
        <v>-2.4451672886948939</v>
      </c>
      <c r="N68">
        <f>AVERAGE(N65:N67)</f>
        <v>-1.6948608121562712</v>
      </c>
      <c r="R68" t="e">
        <f>_xlfn.STDEV.S(Q65:Q67)</f>
        <v>#REF!</v>
      </c>
    </row>
    <row r="69" spans="1:21" x14ac:dyDescent="0.25">
      <c r="R69" t="e">
        <f>R68/SQRT(COUNT(Q65:Q67))</f>
        <v>#REF!</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5"/>
  <sheetViews>
    <sheetView zoomScaleNormal="100" workbookViewId="0">
      <pane ySplit="1" topLeftCell="A2" activePane="bottomLeft" state="frozen"/>
      <selection pane="bottomLeft" activeCell="M31" sqref="M31"/>
    </sheetView>
  </sheetViews>
  <sheetFormatPr defaultRowHeight="15" x14ac:dyDescent="0.25"/>
  <cols>
    <col min="1" max="1" width="11.28515625" customWidth="1"/>
    <col min="2" max="3" width="9.28515625" customWidth="1"/>
    <col min="4" max="4" width="14.42578125" customWidth="1"/>
    <col min="5" max="5" width="13.5703125" customWidth="1"/>
    <col min="6" max="6" width="14.7109375" customWidth="1"/>
    <col min="8" max="8" width="14.7109375" customWidth="1"/>
    <col min="9" max="9" width="14.42578125" customWidth="1"/>
    <col min="10" max="10" width="13.5703125" customWidth="1"/>
    <col min="14" max="17" width="12.28515625" customWidth="1"/>
    <col min="18" max="18" width="25" customWidth="1"/>
    <col min="19" max="19" width="12.28515625" customWidth="1"/>
    <col min="20" max="21" width="12.140625" customWidth="1"/>
    <col min="22" max="25" width="16" customWidth="1"/>
    <col min="26" max="26" width="14" customWidth="1"/>
    <col min="27" max="27" width="10.28515625" customWidth="1"/>
    <col min="28" max="28" width="9.28515625" customWidth="1"/>
  </cols>
  <sheetData>
    <row r="1" spans="1:30" x14ac:dyDescent="0.25">
      <c r="A1" t="s">
        <v>3</v>
      </c>
      <c r="B1" t="s">
        <v>0</v>
      </c>
      <c r="C1" t="s">
        <v>17</v>
      </c>
      <c r="D1" t="s">
        <v>41</v>
      </c>
      <c r="E1" t="s">
        <v>6</v>
      </c>
      <c r="F1" t="s">
        <v>43</v>
      </c>
      <c r="G1" t="s">
        <v>7</v>
      </c>
      <c r="H1" t="s">
        <v>51</v>
      </c>
      <c r="I1" t="s">
        <v>8</v>
      </c>
      <c r="J1" t="s">
        <v>38</v>
      </c>
      <c r="K1" t="s">
        <v>9</v>
      </c>
      <c r="L1" t="s">
        <v>1</v>
      </c>
      <c r="M1" t="s">
        <v>2</v>
      </c>
      <c r="N1" t="s">
        <v>4</v>
      </c>
      <c r="P1" t="s">
        <v>10</v>
      </c>
      <c r="R1" t="s">
        <v>18</v>
      </c>
      <c r="S1" t="s">
        <v>19</v>
      </c>
      <c r="T1" t="s">
        <v>11</v>
      </c>
      <c r="U1" t="s">
        <v>12</v>
      </c>
      <c r="V1" t="s">
        <v>13</v>
      </c>
      <c r="W1" t="s">
        <v>14</v>
      </c>
      <c r="X1" t="s">
        <v>15</v>
      </c>
      <c r="Y1" t="s">
        <v>16</v>
      </c>
    </row>
    <row r="2" spans="1:30" s="4" customFormat="1" x14ac:dyDescent="0.25">
      <c r="N2"/>
    </row>
    <row r="3" spans="1:30" x14ac:dyDescent="0.25">
      <c r="E3" t="s">
        <v>53</v>
      </c>
      <c r="F3" t="s">
        <v>54</v>
      </c>
      <c r="G3" t="s">
        <v>55</v>
      </c>
      <c r="AD3" s="2"/>
    </row>
    <row r="4" spans="1:30" x14ac:dyDescent="0.25">
      <c r="E4">
        <v>47762</v>
      </c>
      <c r="F4">
        <v>12137</v>
      </c>
      <c r="G4" s="3">
        <f>F4/E4</f>
        <v>0.25411414932373017</v>
      </c>
      <c r="I4" s="3">
        <f>F4/(SUM(E4:F4))</f>
        <v>0.20262441776991269</v>
      </c>
      <c r="AD4" s="2"/>
    </row>
    <row r="5" spans="1:30" x14ac:dyDescent="0.25">
      <c r="E5" s="3">
        <v>40990</v>
      </c>
      <c r="F5" s="3">
        <v>35708</v>
      </c>
      <c r="G5" s="3">
        <f>F5/E5</f>
        <v>0.87113930226884606</v>
      </c>
      <c r="H5" s="3"/>
      <c r="I5" s="3">
        <f>F5/(SUM(E5:F5))</f>
        <v>0.46556624683824871</v>
      </c>
      <c r="J5" s="3"/>
      <c r="K5" s="3"/>
    </row>
    <row r="6" spans="1:30" s="4" customFormat="1" x14ac:dyDescent="0.25">
      <c r="E6" s="4">
        <v>73388</v>
      </c>
      <c r="F6" s="4">
        <v>26675</v>
      </c>
      <c r="G6" s="3">
        <f>F6/E6</f>
        <v>0.36347904289529626</v>
      </c>
      <c r="I6" s="3">
        <f>F6/(SUM(E6:F6))</f>
        <v>0.26658205330641693</v>
      </c>
      <c r="N6"/>
    </row>
    <row r="7" spans="1:30" s="5" customFormat="1" x14ac:dyDescent="0.25">
      <c r="G7" s="5">
        <f>AVERAGE(G4:G6)</f>
        <v>0.49624416482929085</v>
      </c>
      <c r="I7" s="5">
        <f>AVERAGE(I4:I6)</f>
        <v>0.31159090597152611</v>
      </c>
      <c r="R7" s="3"/>
      <c r="S7" s="3"/>
      <c r="T7" s="3"/>
      <c r="U7" s="3"/>
      <c r="V7" s="3"/>
      <c r="W7" s="3"/>
      <c r="X7" s="3"/>
      <c r="Y7" s="3"/>
      <c r="Z7" s="3"/>
      <c r="AA7" s="3"/>
      <c r="AB7" s="3"/>
    </row>
    <row r="8" spans="1:30" s="5" customFormat="1" x14ac:dyDescent="0.25">
      <c r="E8" s="5" t="s">
        <v>44</v>
      </c>
      <c r="R8"/>
      <c r="S8"/>
      <c r="T8" s="3"/>
      <c r="U8" s="3"/>
      <c r="V8" s="3"/>
      <c r="W8" s="3"/>
      <c r="X8" s="3"/>
      <c r="Y8" s="3"/>
      <c r="Z8" s="3"/>
      <c r="AA8" s="3"/>
      <c r="AB8" s="3"/>
    </row>
    <row r="9" spans="1:30" x14ac:dyDescent="0.25">
      <c r="E9" t="s">
        <v>52</v>
      </c>
    </row>
    <row r="10" spans="1:30" x14ac:dyDescent="0.25">
      <c r="A10" t="s">
        <v>20</v>
      </c>
    </row>
    <row r="11" spans="1:30" x14ac:dyDescent="0.25">
      <c r="A11">
        <v>17</v>
      </c>
      <c r="B11" t="s">
        <v>21</v>
      </c>
      <c r="D11">
        <v>67171</v>
      </c>
      <c r="E11">
        <f>D11*1.5</f>
        <v>100756.5</v>
      </c>
      <c r="F11">
        <v>31174</v>
      </c>
      <c r="G11">
        <f>13.5*F11</f>
        <v>420849</v>
      </c>
      <c r="H11">
        <v>59651</v>
      </c>
      <c r="I11">
        <f>H11*1000</f>
        <v>59651000</v>
      </c>
      <c r="J11">
        <v>30603</v>
      </c>
      <c r="K11">
        <f>(J11-($G$7*H11))*1000</f>
        <v>1001539.3237679709</v>
      </c>
      <c r="L11">
        <f>(LN(K11/G11))/(LN(I11/E11))</f>
        <v>0.13582066914585528</v>
      </c>
      <c r="M11">
        <f t="shared" ref="M11" si="0">LOG((K11/I11)/(G11/E11),2)</f>
        <v>-7.958685127766457</v>
      </c>
      <c r="N11">
        <f t="shared" ref="N11" si="1">(LN(K11/G11))-(LN(I11/E11))</f>
        <v>-5.5165401572756885</v>
      </c>
    </row>
    <row r="12" spans="1:30" s="9" customFormat="1" x14ac:dyDescent="0.25">
      <c r="A12" s="9">
        <v>17</v>
      </c>
      <c r="B12" s="9" t="s">
        <v>22</v>
      </c>
      <c r="D12" s="9">
        <v>52375</v>
      </c>
      <c r="E12" s="9">
        <f t="shared" ref="E12:E22" si="2">D12*1.5</f>
        <v>78562.5</v>
      </c>
      <c r="F12" s="9">
        <v>29529</v>
      </c>
      <c r="G12" s="9">
        <f t="shared" ref="G12:G22" si="3">13.5*F12</f>
        <v>398641.5</v>
      </c>
      <c r="H12" s="9">
        <v>45107</v>
      </c>
      <c r="I12" s="9">
        <f t="shared" ref="I12:I22" si="4">H12*1000</f>
        <v>45107000</v>
      </c>
      <c r="J12" s="9">
        <v>22372</v>
      </c>
      <c r="K12" s="9">
        <f t="shared" ref="K12:K22" si="5">(J12-($G$7*H12))*1000</f>
        <v>-12085.542954820994</v>
      </c>
      <c r="L12" s="9" t="e">
        <f t="shared" ref="L12:L22" si="6">(LN(K12/G12))/(LN(I12/E12))</f>
        <v>#NUM!</v>
      </c>
      <c r="M12" s="9" t="e">
        <f t="shared" ref="M12:M22" si="7">LOG((K12/I12)/(G12/E12),2)</f>
        <v>#NUM!</v>
      </c>
      <c r="N12" s="9" t="e">
        <f t="shared" ref="N12:N22" si="8">(LN(K12/G12))-(LN(I12/E12))</f>
        <v>#NUM!</v>
      </c>
    </row>
    <row r="13" spans="1:30" s="10" customFormat="1" x14ac:dyDescent="0.25">
      <c r="A13" s="10">
        <v>17</v>
      </c>
      <c r="B13" s="10" t="s">
        <v>23</v>
      </c>
      <c r="D13" s="10">
        <v>72329</v>
      </c>
      <c r="E13" s="10">
        <f t="shared" si="2"/>
        <v>108493.5</v>
      </c>
      <c r="F13" s="10">
        <v>25365</v>
      </c>
      <c r="G13" s="10">
        <f t="shared" si="3"/>
        <v>342427.5</v>
      </c>
      <c r="I13" s="10">
        <f t="shared" si="4"/>
        <v>0</v>
      </c>
      <c r="K13" s="10">
        <f t="shared" si="5"/>
        <v>0</v>
      </c>
      <c r="L13" s="10" t="e">
        <f t="shared" si="6"/>
        <v>#NUM!</v>
      </c>
      <c r="M13" s="10" t="e">
        <f t="shared" si="7"/>
        <v>#DIV/0!</v>
      </c>
      <c r="N13" s="10" t="e">
        <f t="shared" si="8"/>
        <v>#NUM!</v>
      </c>
    </row>
    <row r="14" spans="1:30" x14ac:dyDescent="0.25">
      <c r="A14">
        <v>17</v>
      </c>
      <c r="B14" t="s">
        <v>24</v>
      </c>
      <c r="D14">
        <v>86416</v>
      </c>
      <c r="E14">
        <f t="shared" si="2"/>
        <v>129624</v>
      </c>
      <c r="F14">
        <v>28953</v>
      </c>
      <c r="G14">
        <f t="shared" si="3"/>
        <v>390865.5</v>
      </c>
      <c r="H14">
        <v>40573</v>
      </c>
      <c r="I14">
        <f t="shared" si="4"/>
        <v>40573000</v>
      </c>
      <c r="J14">
        <v>38424</v>
      </c>
      <c r="K14">
        <f t="shared" si="5"/>
        <v>18289885.500381183</v>
      </c>
      <c r="L14">
        <f t="shared" si="6"/>
        <v>0.66926429395281706</v>
      </c>
      <c r="M14">
        <f t="shared" si="7"/>
        <v>-2.7418133276415984</v>
      </c>
      <c r="N14">
        <f t="shared" si="8"/>
        <v>-1.9004801776764553</v>
      </c>
      <c r="O14" t="s">
        <v>56</v>
      </c>
    </row>
    <row r="15" spans="1:30" s="9" customFormat="1" x14ac:dyDescent="0.25">
      <c r="A15" s="9">
        <v>17</v>
      </c>
      <c r="B15" s="9" t="s">
        <v>25</v>
      </c>
      <c r="D15" s="9">
        <v>76820</v>
      </c>
      <c r="E15" s="9">
        <f t="shared" si="2"/>
        <v>115230</v>
      </c>
      <c r="F15" s="9">
        <v>26489</v>
      </c>
      <c r="G15" s="9">
        <f t="shared" si="3"/>
        <v>357601.5</v>
      </c>
      <c r="H15" s="9">
        <v>1865</v>
      </c>
      <c r="I15" s="9">
        <f t="shared" si="4"/>
        <v>1865000</v>
      </c>
      <c r="J15" s="9">
        <v>11693</v>
      </c>
      <c r="K15" s="9">
        <f t="shared" si="5"/>
        <v>10767504.632593373</v>
      </c>
      <c r="L15" s="9">
        <f t="shared" si="6"/>
        <v>1.2229753546994011</v>
      </c>
      <c r="M15" s="9">
        <f t="shared" si="7"/>
        <v>0.89559999031055593</v>
      </c>
      <c r="N15" s="9">
        <f t="shared" si="8"/>
        <v>0.62078260819327635</v>
      </c>
    </row>
    <row r="16" spans="1:30" s="9" customFormat="1" x14ac:dyDescent="0.25">
      <c r="A16" s="9">
        <v>17</v>
      </c>
      <c r="B16" s="9" t="s">
        <v>42</v>
      </c>
      <c r="D16" s="9">
        <v>59689</v>
      </c>
      <c r="E16" s="9">
        <f t="shared" si="2"/>
        <v>89533.5</v>
      </c>
      <c r="F16" s="9">
        <v>30278</v>
      </c>
      <c r="G16" s="9">
        <f t="shared" si="3"/>
        <v>408753</v>
      </c>
      <c r="H16" s="9">
        <v>38409</v>
      </c>
      <c r="I16" s="9">
        <f t="shared" si="4"/>
        <v>38409000</v>
      </c>
      <c r="J16" s="9">
        <v>25396</v>
      </c>
      <c r="K16" s="9">
        <f t="shared" si="5"/>
        <v>6335757.8730717683</v>
      </c>
      <c r="L16" s="9">
        <f t="shared" si="6"/>
        <v>0.45217906406592301</v>
      </c>
      <c r="M16" s="9">
        <f t="shared" si="7"/>
        <v>-4.7905851248731084</v>
      </c>
      <c r="N16" s="9">
        <f t="shared" si="8"/>
        <v>-3.3205805725382085</v>
      </c>
    </row>
    <row r="17" spans="1:18" x14ac:dyDescent="0.25">
      <c r="A17">
        <v>17</v>
      </c>
      <c r="B17" t="s">
        <v>45</v>
      </c>
      <c r="D17">
        <v>67171</v>
      </c>
      <c r="E17">
        <f t="shared" si="2"/>
        <v>100756.5</v>
      </c>
      <c r="F17">
        <v>27351</v>
      </c>
      <c r="G17">
        <f t="shared" si="3"/>
        <v>369238.5</v>
      </c>
      <c r="H17">
        <v>50469</v>
      </c>
      <c r="I17">
        <f t="shared" si="4"/>
        <v>50469000</v>
      </c>
      <c r="J17">
        <v>21856</v>
      </c>
      <c r="K17">
        <f t="shared" si="5"/>
        <v>-3188946.7547694803</v>
      </c>
      <c r="L17" t="e">
        <f t="shared" si="6"/>
        <v>#NUM!</v>
      </c>
      <c r="M17" t="e">
        <f t="shared" si="7"/>
        <v>#NUM!</v>
      </c>
      <c r="N17" t="e">
        <f t="shared" si="8"/>
        <v>#NUM!</v>
      </c>
    </row>
    <row r="18" spans="1:18" s="9" customFormat="1" x14ac:dyDescent="0.25">
      <c r="A18" s="9">
        <v>17</v>
      </c>
      <c r="B18" s="9" t="s">
        <v>46</v>
      </c>
      <c r="D18" s="9">
        <v>52375</v>
      </c>
      <c r="E18" s="9">
        <f t="shared" si="2"/>
        <v>78562.5</v>
      </c>
      <c r="F18" s="9">
        <v>28957</v>
      </c>
      <c r="G18" s="9">
        <f t="shared" si="3"/>
        <v>390919.5</v>
      </c>
      <c r="H18" s="9">
        <v>49132</v>
      </c>
      <c r="I18" s="9">
        <f t="shared" si="4"/>
        <v>49132000</v>
      </c>
      <c r="J18" s="9">
        <v>16912</v>
      </c>
      <c r="K18" s="9">
        <f t="shared" si="5"/>
        <v>-7469468.306392719</v>
      </c>
      <c r="L18" s="9" t="e">
        <f t="shared" si="6"/>
        <v>#NUM!</v>
      </c>
      <c r="M18" s="9" t="e">
        <f t="shared" si="7"/>
        <v>#NUM!</v>
      </c>
      <c r="N18" s="9" t="e">
        <f t="shared" si="8"/>
        <v>#NUM!</v>
      </c>
    </row>
    <row r="19" spans="1:18" x14ac:dyDescent="0.25">
      <c r="A19">
        <v>17</v>
      </c>
      <c r="B19" t="s">
        <v>47</v>
      </c>
      <c r="D19">
        <v>72329</v>
      </c>
      <c r="E19">
        <f t="shared" si="2"/>
        <v>108493.5</v>
      </c>
      <c r="F19">
        <v>27148</v>
      </c>
      <c r="G19">
        <f t="shared" si="3"/>
        <v>366498</v>
      </c>
      <c r="H19">
        <v>14380</v>
      </c>
      <c r="I19">
        <f t="shared" si="4"/>
        <v>14380000</v>
      </c>
      <c r="J19">
        <v>43561</v>
      </c>
      <c r="K19">
        <f t="shared" si="5"/>
        <v>36425008.909754798</v>
      </c>
      <c r="L19">
        <f t="shared" si="6"/>
        <v>0.94109039306366504</v>
      </c>
      <c r="M19">
        <f t="shared" si="7"/>
        <v>-0.4153310647641138</v>
      </c>
      <c r="N19">
        <f t="shared" si="8"/>
        <v>-0.2878855565402052</v>
      </c>
    </row>
    <row r="20" spans="1:18" x14ac:dyDescent="0.25">
      <c r="A20">
        <v>17</v>
      </c>
      <c r="B20" t="s">
        <v>48</v>
      </c>
      <c r="D20">
        <v>86416</v>
      </c>
      <c r="E20">
        <f t="shared" si="2"/>
        <v>129624</v>
      </c>
      <c r="F20">
        <v>32745</v>
      </c>
      <c r="G20">
        <f t="shared" si="3"/>
        <v>442057.5</v>
      </c>
      <c r="H20">
        <v>69078</v>
      </c>
      <c r="I20">
        <f t="shared" si="4"/>
        <v>69078000</v>
      </c>
      <c r="J20">
        <v>49786</v>
      </c>
      <c r="K20">
        <f t="shared" si="5"/>
        <v>15506445.58192225</v>
      </c>
      <c r="L20">
        <f t="shared" si="6"/>
        <v>0.56664076399187135</v>
      </c>
      <c r="M20">
        <f t="shared" si="7"/>
        <v>-3.9252594656683444</v>
      </c>
      <c r="N20">
        <f t="shared" si="8"/>
        <v>-2.7207825315942498</v>
      </c>
      <c r="P20" t="s">
        <v>39</v>
      </c>
      <c r="Q20" t="s">
        <v>40</v>
      </c>
    </row>
    <row r="21" spans="1:18" s="9" customFormat="1" x14ac:dyDescent="0.25">
      <c r="A21" s="9">
        <v>17</v>
      </c>
      <c r="B21" s="9" t="s">
        <v>49</v>
      </c>
      <c r="D21" s="9">
        <v>76820</v>
      </c>
      <c r="E21" s="9">
        <f t="shared" si="2"/>
        <v>115230</v>
      </c>
      <c r="F21" s="9">
        <v>29679</v>
      </c>
      <c r="G21" s="9">
        <f t="shared" si="3"/>
        <v>400666.5</v>
      </c>
      <c r="H21" s="9">
        <v>29642</v>
      </c>
      <c r="I21" s="9">
        <f t="shared" si="4"/>
        <v>29642000</v>
      </c>
      <c r="J21" s="9">
        <v>27332</v>
      </c>
      <c r="K21" s="9">
        <f t="shared" si="5"/>
        <v>12622330.466130162</v>
      </c>
      <c r="L21" s="9">
        <f t="shared" si="6"/>
        <v>0.62163649417083844</v>
      </c>
      <c r="M21" s="9">
        <f t="shared" si="7"/>
        <v>-3.0295500122935151</v>
      </c>
      <c r="N21" s="9">
        <f t="shared" si="8"/>
        <v>-2.0999240493865976</v>
      </c>
      <c r="O21" s="9" t="e">
        <f>AVERAGE(L15:L21)</f>
        <v>#NUM!</v>
      </c>
      <c r="P21" s="9" t="e">
        <f>_xlfn.STDEV.S(L15:L21)</f>
        <v>#NUM!</v>
      </c>
      <c r="Q21" s="9" t="e">
        <f>P21/SQRT(COUNT(L15:L21))</f>
        <v>#NUM!</v>
      </c>
      <c r="R21" s="9" t="e">
        <f>_xlfn.T.TEST(L15:L21,[1]Sheet1!$J$10:$J$14,2,3)</f>
        <v>#NUM!</v>
      </c>
    </row>
    <row r="22" spans="1:18" s="9" customFormat="1" x14ac:dyDescent="0.25">
      <c r="A22" s="9">
        <v>17</v>
      </c>
      <c r="B22" s="9" t="s">
        <v>50</v>
      </c>
      <c r="D22" s="9">
        <v>59689</v>
      </c>
      <c r="E22" s="9">
        <f t="shared" si="2"/>
        <v>89533.5</v>
      </c>
      <c r="F22" s="9">
        <v>30870</v>
      </c>
      <c r="G22" s="9">
        <f t="shared" si="3"/>
        <v>416745</v>
      </c>
      <c r="H22" s="9">
        <v>77831</v>
      </c>
      <c r="I22" s="9">
        <f t="shared" si="4"/>
        <v>77831000</v>
      </c>
      <c r="J22" s="9">
        <v>30380</v>
      </c>
      <c r="K22" s="9">
        <f t="shared" si="5"/>
        <v>-8243179.5928285355</v>
      </c>
      <c r="L22" s="9" t="e">
        <f t="shared" si="6"/>
        <v>#NUM!</v>
      </c>
      <c r="M22" s="9" t="e">
        <f t="shared" si="7"/>
        <v>#NUM!</v>
      </c>
      <c r="N22" s="9" t="e">
        <f t="shared" si="8"/>
        <v>#NUM!</v>
      </c>
      <c r="O22" s="9" t="e">
        <f>O21/[1]Sheet1!$M$14</f>
        <v>#NUM!</v>
      </c>
      <c r="P22" s="9" t="e">
        <f>P21/[1]Sheet1!$M$14</f>
        <v>#NUM!</v>
      </c>
      <c r="Q22" s="9" t="e">
        <f>Q21/[1]Sheet1!$M$14</f>
        <v>#NUM!</v>
      </c>
    </row>
    <row r="34" spans="3:28" x14ac:dyDescent="0.25">
      <c r="P34" s="5"/>
      <c r="Q34" s="5"/>
    </row>
    <row r="35" spans="3:28" x14ac:dyDescent="0.25">
      <c r="R35" s="3"/>
      <c r="S35" s="3"/>
      <c r="T35" s="3"/>
      <c r="U35" s="3"/>
      <c r="V35" s="3"/>
      <c r="W35" s="3"/>
      <c r="X35" s="3"/>
      <c r="Y35" s="3"/>
      <c r="Z35" s="3"/>
      <c r="AA35" s="3"/>
      <c r="AB35" s="3"/>
    </row>
    <row r="41" spans="3:28" s="5" customFormat="1" x14ac:dyDescent="0.25">
      <c r="E41" s="5" t="s">
        <v>26</v>
      </c>
      <c r="O41" s="5">
        <f>1.03*O25</f>
        <v>0</v>
      </c>
      <c r="R41" s="3"/>
      <c r="S41" s="3"/>
      <c r="T41" s="3"/>
      <c r="U41" s="3"/>
      <c r="V41" s="3"/>
      <c r="W41" s="3"/>
      <c r="X41" s="3"/>
      <c r="Y41" s="3"/>
      <c r="Z41" s="3"/>
      <c r="AA41" s="3"/>
      <c r="AB41" s="3"/>
    </row>
    <row r="42" spans="3:28" s="5" customFormat="1" x14ac:dyDescent="0.25">
      <c r="E42" s="5" t="s">
        <v>27</v>
      </c>
      <c r="R42"/>
      <c r="S42"/>
      <c r="T42" s="3"/>
      <c r="U42" s="3"/>
      <c r="V42" s="3"/>
      <c r="W42" s="3"/>
      <c r="X42" s="3"/>
      <c r="Y42" s="3"/>
      <c r="Z42" s="3"/>
      <c r="AA42" s="3"/>
      <c r="AB42" s="3"/>
    </row>
    <row r="43" spans="3:28" x14ac:dyDescent="0.25">
      <c r="E43" s="5" t="s">
        <v>28</v>
      </c>
      <c r="F43" s="5"/>
      <c r="R43" s="3"/>
      <c r="S43" s="3"/>
      <c r="T43" s="3"/>
      <c r="U43" s="3"/>
      <c r="V43" s="3"/>
      <c r="W43" s="3"/>
      <c r="X43" s="3"/>
      <c r="Y43" s="3"/>
      <c r="Z43" s="3"/>
      <c r="AA43" s="3"/>
      <c r="AB43" s="3"/>
    </row>
    <row r="44" spans="3:28" x14ac:dyDescent="0.25">
      <c r="E44" s="7" t="s">
        <v>29</v>
      </c>
      <c r="F44" s="7"/>
    </row>
    <row r="45" spans="3:28" x14ac:dyDescent="0.25">
      <c r="E45" s="5" t="s">
        <v>30</v>
      </c>
      <c r="F45" s="5"/>
    </row>
    <row r="46" spans="3:28" x14ac:dyDescent="0.25">
      <c r="C46" t="s">
        <v>32</v>
      </c>
      <c r="E46" s="5"/>
      <c r="F46" s="5"/>
      <c r="I46" t="s">
        <v>33</v>
      </c>
      <c r="K46" t="s">
        <v>34</v>
      </c>
      <c r="L46" t="s">
        <v>36</v>
      </c>
      <c r="M46" t="s">
        <v>35</v>
      </c>
    </row>
    <row r="47" spans="3:28" x14ac:dyDescent="0.25">
      <c r="E47" s="5"/>
      <c r="F47" s="5"/>
      <c r="I47">
        <f>59535</f>
        <v>59535</v>
      </c>
      <c r="K47">
        <f>9922</f>
        <v>9922</v>
      </c>
      <c r="L47">
        <f>K47/(I47+K47)</f>
        <v>0.14285097254416401</v>
      </c>
      <c r="M47" s="8">
        <f>K47/I47</f>
        <v>0.16665826824556984</v>
      </c>
    </row>
    <row r="48" spans="3:28" x14ac:dyDescent="0.25">
      <c r="C48" t="s">
        <v>37</v>
      </c>
      <c r="E48" s="5"/>
      <c r="F48" s="5"/>
    </row>
    <row r="49" spans="1:30" x14ac:dyDescent="0.25">
      <c r="E49" s="5"/>
      <c r="F49" s="5"/>
    </row>
    <row r="50" spans="1:30" x14ac:dyDescent="0.25">
      <c r="E50" s="5"/>
      <c r="F50" s="5"/>
    </row>
    <row r="51" spans="1:30" x14ac:dyDescent="0.25">
      <c r="A51" t="s">
        <v>31</v>
      </c>
    </row>
    <row r="59" spans="1:30" s="6" customForma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spans="1:30" s="6" customFormat="1"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spans="1:30" s="6" customFormat="1" x14ac:dyDescent="0.25">
      <c r="A61" s="5"/>
      <c r="B61" s="5"/>
      <c r="C61" s="5"/>
      <c r="D61" s="5"/>
      <c r="E61" s="5"/>
      <c r="F61" s="5"/>
      <c r="G61" s="5"/>
      <c r="H61" s="5"/>
      <c r="I61" s="5"/>
      <c r="J61" s="5"/>
      <c r="K61" s="5"/>
      <c r="L61" s="5"/>
      <c r="M61" s="5"/>
      <c r="N61" s="5"/>
      <c r="O61" s="5"/>
      <c r="P61" s="5"/>
      <c r="Q61" s="5"/>
      <c r="R61"/>
      <c r="S61"/>
      <c r="T61" s="5"/>
      <c r="U61" s="5"/>
      <c r="V61" s="5"/>
      <c r="W61" s="5"/>
      <c r="X61" s="5"/>
      <c r="Y61" s="5"/>
      <c r="Z61" s="5"/>
      <c r="AA61" s="5"/>
      <c r="AB61" s="5"/>
      <c r="AC61" s="5"/>
      <c r="AD61" s="5"/>
    </row>
    <row r="65" spans="1:30" s="5" customFormat="1" x14ac:dyDescent="0.25"/>
    <row r="66" spans="1:30" s="5" customFormat="1" x14ac:dyDescent="0.25"/>
    <row r="67" spans="1:30" s="5" customFormat="1" x14ac:dyDescent="0.25">
      <c r="R67"/>
      <c r="S67"/>
    </row>
    <row r="70" spans="1:30" s="1" customFormat="1" x14ac:dyDescent="0.25">
      <c r="A70"/>
      <c r="B70"/>
      <c r="C70"/>
      <c r="D70"/>
      <c r="E70"/>
      <c r="F70"/>
      <c r="G70"/>
      <c r="H70"/>
      <c r="I70"/>
      <c r="J70"/>
      <c r="K70"/>
      <c r="L70"/>
      <c r="M70"/>
      <c r="N70"/>
      <c r="O70"/>
      <c r="P70"/>
      <c r="Q70"/>
      <c r="R70"/>
      <c r="S70"/>
      <c r="T70"/>
      <c r="U70"/>
      <c r="V70"/>
      <c r="W70"/>
      <c r="X70"/>
      <c r="Y70"/>
      <c r="Z70"/>
      <c r="AA70"/>
      <c r="AB70"/>
      <c r="AC70"/>
      <c r="AD70"/>
    </row>
    <row r="71" spans="1:30" x14ac:dyDescent="0.25">
      <c r="A71" t="s">
        <v>5</v>
      </c>
      <c r="B71">
        <v>1</v>
      </c>
      <c r="E71">
        <v>3970</v>
      </c>
      <c r="G71">
        <v>15690</v>
      </c>
      <c r="I71">
        <v>1160900</v>
      </c>
      <c r="K71">
        <v>810300</v>
      </c>
      <c r="L71">
        <f>(LN(K71/G71))/(LN(I71/E71))</f>
        <v>0.69465527381330128</v>
      </c>
      <c r="M71">
        <f>LOG((K71/I71)/(G71/E71),2)</f>
        <v>-2.5013500978573315</v>
      </c>
      <c r="N71">
        <f>(LN(K71/G71))-(LN(I71/E71))</f>
        <v>-1.7338037679231526</v>
      </c>
      <c r="P71">
        <f>L71/$U$73</f>
        <v>0.99154811130004306</v>
      </c>
      <c r="Q71" t="e">
        <f>L71/#REF!</f>
        <v>#REF!</v>
      </c>
    </row>
    <row r="72" spans="1:30" x14ac:dyDescent="0.25">
      <c r="A72" t="s">
        <v>5</v>
      </c>
      <c r="B72">
        <v>2</v>
      </c>
      <c r="E72">
        <v>4162</v>
      </c>
      <c r="G72">
        <v>15473</v>
      </c>
      <c r="I72">
        <v>1218300</v>
      </c>
      <c r="K72">
        <v>753900</v>
      </c>
      <c r="L72">
        <f>(LN(K72/G72))/(LN(I72/E72))</f>
        <v>0.68427810579231052</v>
      </c>
      <c r="M72">
        <f>LOG((K72/I72)/(G72/E72),2)</f>
        <v>-2.5868284283149161</v>
      </c>
      <c r="N72">
        <f>(LN(K72/G72))-(LN(I72/E72))</f>
        <v>-1.7930528316787981</v>
      </c>
      <c r="P72">
        <f>L72/$U$73</f>
        <v>0.97673578389140958</v>
      </c>
      <c r="Q72" t="e">
        <f>L72/#REF!</f>
        <v>#REF!</v>
      </c>
    </row>
    <row r="73" spans="1:30" x14ac:dyDescent="0.25">
      <c r="A73" t="s">
        <v>5</v>
      </c>
      <c r="B73">
        <v>3</v>
      </c>
      <c r="E73">
        <v>3803</v>
      </c>
      <c r="G73">
        <v>15825</v>
      </c>
      <c r="I73">
        <v>1048600</v>
      </c>
      <c r="K73">
        <v>919000</v>
      </c>
      <c r="L73">
        <f>(LN(K73/G73))/(LN(I73/E73))</f>
        <v>0.72279602483807681</v>
      </c>
      <c r="M73">
        <f>LOG((K73/I73)/(G73/E73),2)</f>
        <v>-2.2473233399124335</v>
      </c>
      <c r="N73">
        <f>(LN(K73/G73))-(LN(I73/E73))</f>
        <v>-1.5577258368668625</v>
      </c>
      <c r="O73">
        <f>AVERAGE(L71:L73)</f>
        <v>0.7005764681478962</v>
      </c>
      <c r="P73">
        <f>L73/$U$73</f>
        <v>1.0317161048085473</v>
      </c>
      <c r="Q73" t="e">
        <f>L73/#REF!</f>
        <v>#REF!</v>
      </c>
      <c r="R73" t="e">
        <f>O73/#REF!</f>
        <v>#REF!</v>
      </c>
      <c r="U73">
        <f>AVERAGE(L71:L73)</f>
        <v>0.7005764681478962</v>
      </c>
    </row>
    <row r="74" spans="1:30" x14ac:dyDescent="0.25">
      <c r="M74">
        <f>AVERAGE(M71:M73)</f>
        <v>-2.4451672886948939</v>
      </c>
      <c r="N74">
        <f>AVERAGE(N71:N73)</f>
        <v>-1.6948608121562712</v>
      </c>
      <c r="R74" t="e">
        <f>_xlfn.STDEV.S(Q71:Q73)</f>
        <v>#REF!</v>
      </c>
    </row>
    <row r="75" spans="1:30" x14ac:dyDescent="0.25">
      <c r="R75" t="e">
        <f>R74/SQRT(COUNT(Q71:Q73))</f>
        <v>#REF!</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false neg PER COMPETN</vt:lpstr>
      <vt:lpstr>false neg AVERAGED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2021-03-30T15:39:35Z</dcterms:modified>
</cp:coreProperties>
</file>