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618" documentId="13_ncr:1_{1EE3FB85-C378-4B52-B350-B5724775AFE2}" xr6:coauthVersionLast="46" xr6:coauthVersionMax="46" xr10:uidLastSave="{2A1BC36C-3348-46D5-9D71-9D2D789202EE}"/>
  <bookViews>
    <workbookView xWindow="-120" yWindow="-120" windowWidth="38640" windowHeight="21240" activeTab="1" xr2:uid="{00000000-000D-0000-FFFF-FFFF00000000}"/>
  </bookViews>
  <sheets>
    <sheet name="Carefully drawing mCherry gate" sheetId="4" r:id="rId1"/>
    <sheet name="Copy-pasting mCherry+ gat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2" i="1" l="1"/>
  <c r="T35" i="1" l="1"/>
  <c r="Q35" i="1"/>
  <c r="R35" i="1"/>
  <c r="P35" i="1"/>
  <c r="Q22" i="1"/>
  <c r="R22" i="1"/>
  <c r="P22" i="1"/>
  <c r="P37" i="1" l="1"/>
  <c r="S74" i="4"/>
  <c r="S75" i="4" s="1"/>
  <c r="O74" i="4"/>
  <c r="O73" i="4"/>
  <c r="N73" i="4"/>
  <c r="M73" i="4"/>
  <c r="R73" i="4" s="1"/>
  <c r="O72" i="4"/>
  <c r="N72" i="4"/>
  <c r="M72" i="4"/>
  <c r="R72" i="4" s="1"/>
  <c r="R71" i="4"/>
  <c r="O71" i="4"/>
  <c r="N71" i="4"/>
  <c r="N74" i="4" s="1"/>
  <c r="M71" i="4"/>
  <c r="V73" i="4" s="1"/>
  <c r="L47" i="4"/>
  <c r="N47" i="4" s="1"/>
  <c r="J47" i="4"/>
  <c r="J34" i="4"/>
  <c r="H34" i="4"/>
  <c r="L34" i="4" s="1"/>
  <c r="G34" i="4"/>
  <c r="E34" i="4"/>
  <c r="J33" i="4"/>
  <c r="H33" i="4"/>
  <c r="L33" i="4" s="1"/>
  <c r="G33" i="4"/>
  <c r="E33" i="4"/>
  <c r="J32" i="4"/>
  <c r="H32" i="4"/>
  <c r="L32" i="4" s="1"/>
  <c r="G32" i="4"/>
  <c r="E32" i="4"/>
  <c r="J31" i="4"/>
  <c r="H31" i="4"/>
  <c r="L31" i="4" s="1"/>
  <c r="G31" i="4"/>
  <c r="E31" i="4"/>
  <c r="J30" i="4"/>
  <c r="H30" i="4"/>
  <c r="L30" i="4" s="1"/>
  <c r="G30" i="4"/>
  <c r="E30" i="4"/>
  <c r="J29" i="4"/>
  <c r="H29" i="4"/>
  <c r="L29" i="4" s="1"/>
  <c r="G29" i="4"/>
  <c r="E29" i="4"/>
  <c r="J28" i="4"/>
  <c r="H28" i="4"/>
  <c r="L28" i="4" s="1"/>
  <c r="G28" i="4"/>
  <c r="E28" i="4"/>
  <c r="J27" i="4"/>
  <c r="H27" i="4"/>
  <c r="L27" i="4" s="1"/>
  <c r="G27" i="4"/>
  <c r="E27" i="4"/>
  <c r="J26" i="4"/>
  <c r="H26" i="4"/>
  <c r="L26" i="4" s="1"/>
  <c r="G26" i="4"/>
  <c r="E26" i="4"/>
  <c r="J25" i="4"/>
  <c r="H25" i="4"/>
  <c r="L25" i="4" s="1"/>
  <c r="G25" i="4"/>
  <c r="E25" i="4"/>
  <c r="J24" i="4"/>
  <c r="H24" i="4"/>
  <c r="L24" i="4" s="1"/>
  <c r="G24" i="4"/>
  <c r="E24" i="4"/>
  <c r="J23" i="4"/>
  <c r="H23" i="4"/>
  <c r="L23" i="4" s="1"/>
  <c r="G23" i="4"/>
  <c r="E23" i="4"/>
  <c r="J21" i="4"/>
  <c r="H21" i="4"/>
  <c r="L21" i="4" s="1"/>
  <c r="G21" i="4"/>
  <c r="E21" i="4"/>
  <c r="J20" i="4"/>
  <c r="H20" i="4"/>
  <c r="L20" i="4" s="1"/>
  <c r="G20" i="4"/>
  <c r="E20" i="4"/>
  <c r="J19" i="4"/>
  <c r="H19" i="4"/>
  <c r="L19" i="4" s="1"/>
  <c r="G19" i="4"/>
  <c r="E19" i="4"/>
  <c r="J18" i="4"/>
  <c r="H18" i="4"/>
  <c r="L18" i="4" s="1"/>
  <c r="G18" i="4"/>
  <c r="E18" i="4"/>
  <c r="J17" i="4"/>
  <c r="H17" i="4"/>
  <c r="L17" i="4" s="1"/>
  <c r="G17" i="4"/>
  <c r="E17" i="4"/>
  <c r="J16" i="4"/>
  <c r="H16" i="4"/>
  <c r="L16" i="4" s="1"/>
  <c r="G16" i="4"/>
  <c r="E16" i="4"/>
  <c r="J15" i="4"/>
  <c r="H15" i="4"/>
  <c r="L15" i="4" s="1"/>
  <c r="G15" i="4"/>
  <c r="E15" i="4"/>
  <c r="J14" i="4"/>
  <c r="H14" i="4"/>
  <c r="L14" i="4" s="1"/>
  <c r="G14" i="4"/>
  <c r="E14" i="4"/>
  <c r="J13" i="4"/>
  <c r="H13" i="4"/>
  <c r="L13" i="4" s="1"/>
  <c r="G13" i="4"/>
  <c r="E13" i="4"/>
  <c r="J12" i="4"/>
  <c r="H12" i="4"/>
  <c r="L12" i="4" s="1"/>
  <c r="G12" i="4"/>
  <c r="E12" i="4"/>
  <c r="J11" i="4"/>
  <c r="H11" i="4"/>
  <c r="L11" i="4" s="1"/>
  <c r="G11" i="4"/>
  <c r="E11" i="4"/>
  <c r="J10" i="4"/>
  <c r="H10" i="4"/>
  <c r="L10" i="4" s="1"/>
  <c r="G10" i="4"/>
  <c r="E10" i="4"/>
  <c r="G5" i="4"/>
  <c r="O5" i="4" s="1"/>
  <c r="E5" i="4"/>
  <c r="N5" i="4" s="1"/>
  <c r="O2" i="4"/>
  <c r="N2" i="4"/>
  <c r="G2" i="4"/>
  <c r="M2" i="4" s="1"/>
  <c r="E2" i="4"/>
  <c r="L23" i="1"/>
  <c r="L24" i="1"/>
  <c r="M24" i="1" s="1"/>
  <c r="L25" i="1"/>
  <c r="L26" i="1"/>
  <c r="L27" i="1"/>
  <c r="M27" i="1" s="1"/>
  <c r="L28" i="1"/>
  <c r="M28" i="1" s="1"/>
  <c r="L29" i="1"/>
  <c r="M29" i="1" s="1"/>
  <c r="L30" i="1"/>
  <c r="M30" i="1" s="1"/>
  <c r="L31" i="1"/>
  <c r="L32" i="1"/>
  <c r="M32" i="1" s="1"/>
  <c r="L33" i="1"/>
  <c r="M33" i="1" s="1"/>
  <c r="L34" i="1"/>
  <c r="J23" i="1"/>
  <c r="J24" i="1"/>
  <c r="J25" i="1"/>
  <c r="J26" i="1"/>
  <c r="J27" i="1"/>
  <c r="J28" i="1"/>
  <c r="J29" i="1"/>
  <c r="J30" i="1"/>
  <c r="J31" i="1"/>
  <c r="J32" i="1"/>
  <c r="J33" i="1"/>
  <c r="J34" i="1"/>
  <c r="J21" i="1"/>
  <c r="H34" i="1"/>
  <c r="H33" i="1"/>
  <c r="H32" i="1"/>
  <c r="H31" i="1"/>
  <c r="H30" i="1"/>
  <c r="H29" i="1"/>
  <c r="H28" i="1"/>
  <c r="H27" i="1"/>
  <c r="H26" i="1"/>
  <c r="H25" i="1"/>
  <c r="H24" i="1"/>
  <c r="H23" i="1"/>
  <c r="L10" i="1"/>
  <c r="L11" i="1"/>
  <c r="N11" i="1" s="1"/>
  <c r="L12" i="1"/>
  <c r="L13" i="1"/>
  <c r="M13" i="1" s="1"/>
  <c r="L14" i="1"/>
  <c r="L15" i="1"/>
  <c r="O15" i="1" s="1"/>
  <c r="L16" i="1"/>
  <c r="O16" i="1" s="1"/>
  <c r="L17" i="1"/>
  <c r="L18" i="1"/>
  <c r="L19" i="1"/>
  <c r="L20" i="1"/>
  <c r="M20" i="1" s="1"/>
  <c r="J10" i="1"/>
  <c r="J11" i="1"/>
  <c r="J12" i="1"/>
  <c r="J13" i="1"/>
  <c r="J14" i="1"/>
  <c r="J15" i="1"/>
  <c r="N15" i="1" s="1"/>
  <c r="J16" i="1"/>
  <c r="H20" i="1"/>
  <c r="H19" i="1"/>
  <c r="H17" i="1"/>
  <c r="H15" i="1"/>
  <c r="H16" i="1"/>
  <c r="H14" i="1"/>
  <c r="H21" i="1"/>
  <c r="L21" i="1" s="1"/>
  <c r="M21" i="1" s="1"/>
  <c r="H18" i="1"/>
  <c r="H13" i="1"/>
  <c r="H12" i="1"/>
  <c r="H11" i="1"/>
  <c r="H10" i="1"/>
  <c r="G10" i="1"/>
  <c r="G11" i="1"/>
  <c r="G12" i="1"/>
  <c r="G13" i="1"/>
  <c r="G14" i="1"/>
  <c r="G15" i="1"/>
  <c r="G16" i="1"/>
  <c r="G18" i="1"/>
  <c r="G19" i="1"/>
  <c r="G20" i="1"/>
  <c r="G21" i="1"/>
  <c r="G17" i="1"/>
  <c r="E10" i="1"/>
  <c r="E11" i="1"/>
  <c r="E12" i="1"/>
  <c r="E13" i="1"/>
  <c r="E14" i="1"/>
  <c r="E15" i="1"/>
  <c r="E16" i="1"/>
  <c r="E17" i="1"/>
  <c r="E18" i="1"/>
  <c r="E19" i="1"/>
  <c r="E20" i="1"/>
  <c r="E21" i="1"/>
  <c r="E23" i="1"/>
  <c r="E24" i="1"/>
  <c r="E25" i="1"/>
  <c r="E26" i="1"/>
  <c r="E27" i="1"/>
  <c r="G23" i="1"/>
  <c r="G24" i="1"/>
  <c r="G25" i="1"/>
  <c r="G26" i="1"/>
  <c r="G28" i="1"/>
  <c r="G29" i="1"/>
  <c r="G30" i="1"/>
  <c r="G31" i="1"/>
  <c r="G32" i="1"/>
  <c r="G33" i="1"/>
  <c r="G34" i="1"/>
  <c r="G27" i="1"/>
  <c r="J19" i="1"/>
  <c r="J18" i="1"/>
  <c r="J20" i="1"/>
  <c r="J17" i="1"/>
  <c r="E28" i="1"/>
  <c r="E29" i="1"/>
  <c r="E30" i="1"/>
  <c r="E31" i="1"/>
  <c r="E32" i="1"/>
  <c r="E33" i="1"/>
  <c r="E34" i="1"/>
  <c r="N26" i="1" l="1"/>
  <c r="M25" i="1"/>
  <c r="N19" i="1"/>
  <c r="M18" i="1"/>
  <c r="M17" i="1"/>
  <c r="N12" i="1"/>
  <c r="M34" i="1"/>
  <c r="N31" i="1"/>
  <c r="O23" i="1"/>
  <c r="N23" i="1"/>
  <c r="M23" i="1"/>
  <c r="M16" i="1"/>
  <c r="N16" i="1"/>
  <c r="M14" i="1"/>
  <c r="O10" i="1"/>
  <c r="O11" i="4"/>
  <c r="N11" i="4"/>
  <c r="M11" i="4"/>
  <c r="O15" i="4"/>
  <c r="N15" i="4"/>
  <c r="M15" i="4"/>
  <c r="O21" i="4"/>
  <c r="N21" i="4"/>
  <c r="M21" i="4"/>
  <c r="M26" i="4"/>
  <c r="N26" i="4"/>
  <c r="O26" i="4"/>
  <c r="M32" i="4"/>
  <c r="O32" i="4"/>
  <c r="N32" i="4"/>
  <c r="O34" i="4"/>
  <c r="N34" i="4"/>
  <c r="M34" i="4"/>
  <c r="O17" i="4"/>
  <c r="N17" i="4"/>
  <c r="M17" i="4"/>
  <c r="N28" i="4"/>
  <c r="M28" i="4"/>
  <c r="O28" i="4"/>
  <c r="O13" i="4"/>
  <c r="N13" i="4"/>
  <c r="M13" i="4"/>
  <c r="O19" i="4"/>
  <c r="N19" i="4"/>
  <c r="M19" i="4"/>
  <c r="M24" i="4"/>
  <c r="N24" i="4"/>
  <c r="O24" i="4"/>
  <c r="O30" i="4"/>
  <c r="N30" i="4"/>
  <c r="M30" i="4"/>
  <c r="O10" i="4"/>
  <c r="N10" i="4"/>
  <c r="M10" i="4"/>
  <c r="O12" i="4"/>
  <c r="N12" i="4"/>
  <c r="M12" i="4"/>
  <c r="O14" i="4"/>
  <c r="N14" i="4"/>
  <c r="M14" i="4"/>
  <c r="O16" i="4"/>
  <c r="N16" i="4"/>
  <c r="M16" i="4"/>
  <c r="O18" i="4"/>
  <c r="N18" i="4"/>
  <c r="M18" i="4"/>
  <c r="O20" i="4"/>
  <c r="N20" i="4"/>
  <c r="M20" i="4"/>
  <c r="M23" i="4"/>
  <c r="O23" i="4"/>
  <c r="N23" i="4"/>
  <c r="O25" i="4"/>
  <c r="N25" i="4"/>
  <c r="M25" i="4"/>
  <c r="N27" i="4"/>
  <c r="O27" i="4"/>
  <c r="M27" i="4"/>
  <c r="M29" i="4"/>
  <c r="O29" i="4"/>
  <c r="N29" i="4"/>
  <c r="M31" i="4"/>
  <c r="O31" i="4"/>
  <c r="N31" i="4"/>
  <c r="M33" i="4"/>
  <c r="O33" i="4"/>
  <c r="N33" i="4"/>
  <c r="Q73" i="4"/>
  <c r="Q71" i="4"/>
  <c r="P73" i="4"/>
  <c r="S73" i="4" s="1"/>
  <c r="M47" i="4"/>
  <c r="M5" i="4"/>
  <c r="Q72" i="4"/>
  <c r="O34" i="1"/>
  <c r="N34" i="1"/>
  <c r="O33" i="1"/>
  <c r="N33" i="1"/>
  <c r="O32" i="1"/>
  <c r="N32" i="1"/>
  <c r="M31" i="1"/>
  <c r="O31" i="1"/>
  <c r="N30" i="1"/>
  <c r="O30" i="1"/>
  <c r="O29" i="1"/>
  <c r="N29" i="1"/>
  <c r="O28" i="1"/>
  <c r="N28" i="1"/>
  <c r="O27" i="1"/>
  <c r="N27" i="1"/>
  <c r="O26" i="1"/>
  <c r="M26" i="1"/>
  <c r="O25" i="1"/>
  <c r="N25" i="1"/>
  <c r="O24" i="1"/>
  <c r="N24" i="1"/>
  <c r="O20" i="1"/>
  <c r="N20" i="1"/>
  <c r="M19" i="1"/>
  <c r="O19" i="1"/>
  <c r="N18" i="1"/>
  <c r="O18" i="1"/>
  <c r="O17" i="1"/>
  <c r="N17" i="1"/>
  <c r="M15" i="1"/>
  <c r="N14" i="1"/>
  <c r="O14" i="1"/>
  <c r="O13" i="1"/>
  <c r="N13" i="1"/>
  <c r="M12" i="1"/>
  <c r="O12" i="1"/>
  <c r="M11" i="1"/>
  <c r="O11" i="1"/>
  <c r="N10" i="1"/>
  <c r="M10" i="1"/>
  <c r="N21" i="1"/>
  <c r="P34" i="1" l="1"/>
  <c r="Q34" i="4"/>
  <c r="P34" i="4"/>
  <c r="P37" i="4"/>
  <c r="P21" i="4"/>
  <c r="P41" i="4" s="1"/>
  <c r="Q21" i="4"/>
  <c r="Q34" i="1"/>
  <c r="R34" i="1" s="1"/>
  <c r="O21" i="1"/>
  <c r="R21" i="4" l="1"/>
  <c r="S21" i="4"/>
  <c r="S34" i="4"/>
  <c r="R34" i="4"/>
  <c r="S34" i="1"/>
  <c r="Q21" i="1"/>
  <c r="R21" i="1" s="1"/>
  <c r="P21" i="1"/>
  <c r="L47" i="1" l="1"/>
  <c r="J47" i="1"/>
  <c r="N47" i="1" l="1"/>
  <c r="M47" i="1"/>
  <c r="G5" i="1" l="1"/>
  <c r="E5" i="1"/>
  <c r="G2" i="1"/>
  <c r="E2" i="1"/>
  <c r="M2" i="1" s="1"/>
  <c r="P41" i="1" l="1"/>
  <c r="M5" i="1"/>
  <c r="N5" i="1"/>
  <c r="O5" i="1"/>
  <c r="N2" i="1"/>
  <c r="O2" i="1"/>
  <c r="S21" i="1" l="1"/>
  <c r="O71" i="1"/>
  <c r="M71" i="1" l="1"/>
  <c r="N71" i="1"/>
  <c r="O73" i="1"/>
  <c r="O72" i="1" l="1"/>
  <c r="O74" i="1" s="1"/>
  <c r="M72" i="1"/>
  <c r="N72" i="1"/>
  <c r="N73" i="1"/>
  <c r="M73" i="1"/>
  <c r="R72" i="1" l="1"/>
  <c r="P73" i="1"/>
  <c r="N74" i="1"/>
  <c r="V73" i="1"/>
  <c r="R71" i="1" l="1"/>
  <c r="S73" i="1"/>
  <c r="R73" i="1"/>
  <c r="Q73" i="1"/>
  <c r="Q72" i="1"/>
  <c r="Q71" i="1"/>
  <c r="S74" i="1" l="1"/>
  <c r="S75" i="1" s="1"/>
</calcChain>
</file>

<file path=xl/sharedStrings.xml><?xml version="1.0" encoding="utf-8"?>
<sst xmlns="http://schemas.openxmlformats.org/spreadsheetml/2006/main" count="154" uniqueCount="60">
  <si>
    <t>Replicate</t>
  </si>
  <si>
    <t>W_W</t>
  </si>
  <si>
    <t>Delaney</t>
  </si>
  <si>
    <t>line</t>
  </si>
  <si>
    <t>r_W</t>
  </si>
  <si>
    <t>syn1.0_anc</t>
  </si>
  <si>
    <t>syn3B_anc</t>
  </si>
  <si>
    <t>T0_mCherry</t>
  </si>
  <si>
    <t>T0_SOI</t>
  </si>
  <si>
    <t>T24_mCherry</t>
  </si>
  <si>
    <t>T24_SOI</t>
  </si>
  <si>
    <t>W div syn3B ancestor</t>
  </si>
  <si>
    <t>B_vs_mCherry</t>
  </si>
  <si>
    <t>1_vs_mCherry</t>
  </si>
  <si>
    <t>B_vs_B.anc</t>
  </si>
  <si>
    <t>1_vs_1.anc</t>
  </si>
  <si>
    <t>B_vs_1.anc</t>
  </si>
  <si>
    <t>1_vs_B.anc</t>
  </si>
  <si>
    <t>note</t>
  </si>
  <si>
    <t>standard deviation</t>
  </si>
  <si>
    <t>CV (%)</t>
  </si>
  <si>
    <t>test</t>
  </si>
  <si>
    <t>a</t>
  </si>
  <si>
    <t>b</t>
  </si>
  <si>
    <t>c</t>
  </si>
  <si>
    <t>d</t>
  </si>
  <si>
    <t>e</t>
  </si>
  <si>
    <t>Multiply 3/2 for mCherry, 2/3 for WT</t>
  </si>
  <si>
    <t>Note: There was a subpop of the mCherry strain not xprssing mCherry. I did not include it in the mCherry counts for T0.</t>
  </si>
  <si>
    <t>There is probably a good way to SUBTRACT the non-expressing mCherry cells out from the WT subpop in the T24 timepoints…</t>
  </si>
  <si>
    <t>here's the answer: Calculate the proportion of mCherry cells that appear as non-mCherry in the T24 axenic sample. Then, also calculate that proportion in each of the T24 samples, and subtract that amount from the WT cell counts.</t>
  </si>
  <si>
    <t>If you INCLUDED the non-xprssing mCherry cells in the axenic T0 and T24 counts, then you would ADD that amount to the mCherry mixed T24 total (instead of JUST subtracting it from the WT count).</t>
  </si>
  <si>
    <t>`</t>
  </si>
  <si>
    <t>Here is the calcn</t>
  </si>
  <si>
    <t>mCherry+</t>
  </si>
  <si>
    <t>mCherry-</t>
  </si>
  <si>
    <t>Neg as a proportion ofpos</t>
  </si>
  <si>
    <t>Neg as a proportion of tot</t>
  </si>
  <si>
    <t>So for each competition, I subtract from the observed WT count an amount equal to 0.167 of the observed mCherry+ count</t>
  </si>
  <si>
    <t>T24_SOI_raw</t>
  </si>
  <si>
    <t>Mean</t>
  </si>
  <si>
    <t>Std dev</t>
  </si>
  <si>
    <t>SEM</t>
  </si>
  <si>
    <t>CV</t>
  </si>
  <si>
    <t>T0_mCherry_raw</t>
  </si>
  <si>
    <t>f</t>
  </si>
  <si>
    <t>T0_SOI_raw</t>
  </si>
  <si>
    <t>Multipled by e.g., 1.2 to represent that 12 μL were inocd in the mixed culture.</t>
  </si>
  <si>
    <t>g</t>
  </si>
  <si>
    <t>h</t>
  </si>
  <si>
    <t>i</t>
  </si>
  <si>
    <t>j</t>
  </si>
  <si>
    <t>k</t>
  </si>
  <si>
    <t>l</t>
  </si>
  <si>
    <t>T24_mCherry_raw</t>
  </si>
  <si>
    <t>Number of false negatives to subtract as a proportion of the true positive mCherry cells</t>
  </si>
  <si>
    <t>mCherry false negatives proporionate to mCherry true positives</t>
  </si>
  <si>
    <t>Variances are not different by F test</t>
  </si>
  <si>
    <t>Fitness of syn1.0 relative to mCherry:</t>
  </si>
  <si>
    <t>mCherry false negatives proportional to mCherry true positives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</si>
</sst>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3" borderId="0" xfId="0" applyFill="1"/>
    <xf numFmtId="0" fontId="1" fillId="0" borderId="0" xfId="1" applyFill="1"/>
    <xf numFmtId="0" fontId="2" fillId="0" borderId="0" xfId="0" applyFont="1"/>
    <xf numFmtId="0" fontId="0" fillId="0" borderId="0" xfId="0" applyFill="1"/>
    <xf numFmtId="0" fontId="3" fillId="0" borderId="0" xfId="0" applyFont="1"/>
    <xf numFmtId="0" fontId="3" fillId="3" borderId="0" xfId="0" applyFont="1" applyFill="1"/>
    <xf numFmtId="0" fontId="4" fillId="0" borderId="0" xfId="0" applyFont="1"/>
    <xf numFmtId="0" fontId="5" fillId="0" borderId="0" xfId="0" applyFont="1"/>
    <xf numFmtId="0" fontId="2" fillId="3" borderId="0" xfId="0" applyFont="1" applyFill="1"/>
    <xf numFmtId="0" fontId="2" fillId="0" borderId="0" xfId="0" applyFont="1" applyFill="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7596A-595A-4A9E-B336-07E78C99598E}">
  <dimension ref="A1:AE75"/>
  <sheetViews>
    <sheetView zoomScaleNormal="100" workbookViewId="0">
      <pane ySplit="1" topLeftCell="A4" activePane="bottomLeft" state="frozen"/>
      <selection pane="bottomLeft" activeCell="M21" sqref="M21"/>
    </sheetView>
  </sheetViews>
  <sheetFormatPr defaultRowHeight="15" x14ac:dyDescent="0.25"/>
  <cols>
    <col min="1" max="1" width="11.28515625" customWidth="1"/>
    <col min="2" max="4" width="9.28515625" customWidth="1"/>
    <col min="5" max="6" width="11.85546875" customWidth="1"/>
    <col min="10" max="10" width="14.42578125" customWidth="1"/>
    <col min="11" max="11" width="13.5703125" customWidth="1"/>
    <col min="12" max="12" width="12.7109375" bestFit="1" customWidth="1"/>
    <col min="15" max="18" width="12.28515625" customWidth="1"/>
    <col min="19" max="19" width="25" customWidth="1"/>
    <col min="20" max="20" width="12.28515625" customWidth="1"/>
    <col min="21" max="22" width="12.140625" customWidth="1"/>
    <col min="23" max="26" width="16" customWidth="1"/>
    <col min="27" max="27" width="14" customWidth="1"/>
    <col min="28" max="28" width="10.28515625" customWidth="1"/>
    <col min="29" max="29" width="9.28515625" customWidth="1"/>
  </cols>
  <sheetData>
    <row r="1" spans="1:31" x14ac:dyDescent="0.25">
      <c r="A1" t="s">
        <v>3</v>
      </c>
      <c r="B1" t="s">
        <v>0</v>
      </c>
      <c r="C1" t="s">
        <v>18</v>
      </c>
      <c r="D1" t="s">
        <v>44</v>
      </c>
      <c r="E1" t="s">
        <v>7</v>
      </c>
      <c r="F1" t="s">
        <v>46</v>
      </c>
      <c r="G1" t="s">
        <v>8</v>
      </c>
      <c r="H1" s="4" t="s">
        <v>56</v>
      </c>
      <c r="I1" t="s">
        <v>54</v>
      </c>
      <c r="J1" t="s">
        <v>9</v>
      </c>
      <c r="K1" t="s">
        <v>39</v>
      </c>
      <c r="L1" t="s">
        <v>10</v>
      </c>
      <c r="M1" t="s">
        <v>1</v>
      </c>
      <c r="N1" t="s">
        <v>2</v>
      </c>
      <c r="O1" t="s">
        <v>4</v>
      </c>
      <c r="Q1" t="s">
        <v>11</v>
      </c>
      <c r="S1" t="s">
        <v>19</v>
      </c>
      <c r="T1" t="s">
        <v>20</v>
      </c>
      <c r="U1" t="s">
        <v>12</v>
      </c>
      <c r="V1" t="s">
        <v>13</v>
      </c>
      <c r="W1" t="s">
        <v>14</v>
      </c>
      <c r="X1" t="s">
        <v>15</v>
      </c>
      <c r="Y1" t="s">
        <v>16</v>
      </c>
      <c r="Z1" t="s">
        <v>17</v>
      </c>
    </row>
    <row r="2" spans="1:31" s="4" customFormat="1" x14ac:dyDescent="0.25">
      <c r="A2" s="4" t="s">
        <v>5</v>
      </c>
      <c r="B2" s="4">
        <v>1</v>
      </c>
      <c r="E2" s="4">
        <f>2*17517</f>
        <v>35034</v>
      </c>
      <c r="G2" s="4">
        <f>34741</f>
        <v>34741</v>
      </c>
      <c r="J2" s="4">
        <v>6803600</v>
      </c>
      <c r="L2" s="4">
        <v>2375700</v>
      </c>
      <c r="M2" s="4">
        <f t="shared" ref="M2" si="0">(LN(L2/G2))/(LN(J2/E2))</f>
        <v>0.8019010365187369</v>
      </c>
      <c r="N2" s="4">
        <f t="shared" ref="N2" si="1">LOG((L2/J2)/(G2/E2),2)</f>
        <v>-1.5058292226528853</v>
      </c>
      <c r="O2">
        <f t="shared" ref="O2" si="2">(LN(L2/G2))-(LN(J2/E2))</f>
        <v>-1.0437612800866223</v>
      </c>
    </row>
    <row r="3" spans="1:31" x14ac:dyDescent="0.25">
      <c r="AE3" s="2"/>
    </row>
    <row r="4" spans="1:31" x14ac:dyDescent="0.25">
      <c r="A4" t="s">
        <v>21</v>
      </c>
      <c r="E4" s="3"/>
      <c r="F4" s="3"/>
      <c r="G4" s="3"/>
      <c r="H4" s="3"/>
      <c r="I4" s="3"/>
      <c r="J4" s="3"/>
      <c r="K4" s="3"/>
      <c r="L4" s="3"/>
    </row>
    <row r="5" spans="1:31" s="4" customFormat="1" x14ac:dyDescent="0.25">
      <c r="A5" s="4" t="s">
        <v>5</v>
      </c>
      <c r="B5" s="4">
        <v>1</v>
      </c>
      <c r="E5" s="4">
        <f>2*17517</f>
        <v>35034</v>
      </c>
      <c r="G5" s="4">
        <f>34741</f>
        <v>34741</v>
      </c>
      <c r="J5" s="4">
        <v>3180400</v>
      </c>
      <c r="L5" s="4">
        <v>2310000</v>
      </c>
      <c r="M5" s="4">
        <f t="shared" ref="M5" si="3">(LN(L5/G5))/(LN(J5/E5))</f>
        <v>0.93093825043839862</v>
      </c>
      <c r="N5" s="4">
        <f t="shared" ref="N5" si="4">LOG((L5/J5)/(G5/E5),2)</f>
        <v>-0.44919893837139152</v>
      </c>
      <c r="O5">
        <f t="shared" ref="O5" si="5">(LN(L5/G5))-(LN(J5/E5))</f>
        <v>-0.31136097764265003</v>
      </c>
    </row>
    <row r="6" spans="1:31" s="5" customFormat="1" x14ac:dyDescent="0.25">
      <c r="H6" s="5" t="s">
        <v>55</v>
      </c>
      <c r="S6" s="3"/>
      <c r="T6" s="3"/>
      <c r="U6" s="3"/>
      <c r="V6" s="3"/>
      <c r="W6" s="3"/>
      <c r="X6" s="3"/>
      <c r="Y6" s="3"/>
      <c r="Z6" s="3"/>
      <c r="AA6" s="3"/>
      <c r="AB6" s="3"/>
      <c r="AC6" s="3"/>
    </row>
    <row r="7" spans="1:31" s="5" customFormat="1" x14ac:dyDescent="0.25">
      <c r="E7" s="5" t="s">
        <v>47</v>
      </c>
      <c r="S7"/>
      <c r="T7"/>
      <c r="U7" s="3"/>
      <c r="V7" s="3"/>
      <c r="W7" s="3"/>
      <c r="X7" s="3"/>
      <c r="Y7" s="3"/>
      <c r="Z7" s="3"/>
      <c r="AA7" s="3"/>
      <c r="AB7" s="3"/>
      <c r="AC7" s="3"/>
    </row>
    <row r="8" spans="1:31" x14ac:dyDescent="0.25">
      <c r="E8" s="3"/>
      <c r="F8" s="3"/>
      <c r="G8" s="3"/>
      <c r="H8" s="3"/>
      <c r="I8" s="3"/>
      <c r="J8" s="3"/>
      <c r="K8" s="3"/>
      <c r="L8" s="3"/>
      <c r="S8" s="3"/>
      <c r="T8" s="3"/>
      <c r="U8" s="3"/>
      <c r="V8" s="3"/>
      <c r="W8" s="3"/>
      <c r="X8" s="3"/>
      <c r="Y8" s="3"/>
      <c r="Z8" s="3"/>
      <c r="AA8" s="3"/>
      <c r="AB8" s="3"/>
      <c r="AC8" s="3"/>
    </row>
    <row r="9" spans="1:31" x14ac:dyDescent="0.25">
      <c r="E9" s="3"/>
      <c r="F9" s="3"/>
      <c r="G9" s="3"/>
      <c r="H9" s="3"/>
      <c r="I9" s="3"/>
      <c r="J9" s="3"/>
      <c r="K9" s="3"/>
      <c r="L9" s="3"/>
      <c r="S9" s="3"/>
      <c r="T9" s="3"/>
      <c r="U9" s="3"/>
      <c r="V9" s="3"/>
      <c r="W9" s="3"/>
      <c r="X9" s="3"/>
      <c r="Y9" s="3"/>
      <c r="Z9" s="3"/>
      <c r="AA9" s="3"/>
      <c r="AB9" s="3"/>
      <c r="AC9" s="3"/>
    </row>
    <row r="10" spans="1:31" x14ac:dyDescent="0.25">
      <c r="A10" s="4">
        <v>16</v>
      </c>
      <c r="B10" s="4" t="s">
        <v>22</v>
      </c>
      <c r="D10">
        <v>43530</v>
      </c>
      <c r="E10" s="4">
        <f t="shared" ref="E10:E20" si="6">D10*1.5</f>
        <v>65295</v>
      </c>
      <c r="F10" s="3">
        <v>54405</v>
      </c>
      <c r="G10" s="4">
        <f t="shared" ref="G10:G16" si="7">F10*28.5</f>
        <v>1550542.5</v>
      </c>
      <c r="H10" s="4">
        <f>59952/58387</f>
        <v>1.0268039118296881</v>
      </c>
      <c r="I10" s="3">
        <v>22068</v>
      </c>
      <c r="J10" s="4">
        <f t="shared" ref="J10:J16" si="8">I10*100</f>
        <v>2206800</v>
      </c>
      <c r="K10" s="3">
        <v>54312</v>
      </c>
      <c r="L10" s="4">
        <f>(K10-H10*I10)*100</f>
        <v>3165249.1273742444</v>
      </c>
      <c r="M10">
        <f t="shared" ref="M10:M21" si="9">(LN(L10/G10))/(LN(J10/E10))</f>
        <v>0.20271283880937427</v>
      </c>
      <c r="N10">
        <f t="shared" ref="N10:N21" si="10">LOG((L10/J10)/(G10/E10),2)</f>
        <v>-4.0492935705590565</v>
      </c>
      <c r="O10">
        <f t="shared" ref="O10:O21" si="11">(LN(L10/G10))-(LN(J10/E10))</f>
        <v>-2.8067564216925236</v>
      </c>
      <c r="S10" s="3"/>
      <c r="T10" s="3"/>
      <c r="U10" s="3"/>
      <c r="V10" s="3"/>
      <c r="W10" s="3"/>
      <c r="X10" s="3"/>
      <c r="Y10" s="3"/>
      <c r="Z10" s="3"/>
      <c r="AA10" s="3"/>
      <c r="AB10" s="3"/>
      <c r="AC10" s="3"/>
    </row>
    <row r="11" spans="1:31" x14ac:dyDescent="0.25">
      <c r="A11" s="4">
        <v>16</v>
      </c>
      <c r="B11" s="4" t="s">
        <v>23</v>
      </c>
      <c r="D11">
        <v>41359</v>
      </c>
      <c r="E11" s="4">
        <f t="shared" si="6"/>
        <v>62038.5</v>
      </c>
      <c r="F11" s="3">
        <v>56865</v>
      </c>
      <c r="G11" s="4">
        <f t="shared" si="7"/>
        <v>1620652.5</v>
      </c>
      <c r="H11" s="4">
        <f>47204/50176</f>
        <v>0.94076849489795922</v>
      </c>
      <c r="I11" s="3">
        <v>20757</v>
      </c>
      <c r="J11" s="4">
        <f t="shared" si="8"/>
        <v>2075700</v>
      </c>
      <c r="K11" s="3">
        <v>53027</v>
      </c>
      <c r="L11" s="4">
        <f t="shared" ref="L11:L20" si="12">(K11-H11*I11)*100</f>
        <v>3349946.835140306</v>
      </c>
      <c r="M11">
        <f t="shared" si="9"/>
        <v>0.20685295458700073</v>
      </c>
      <c r="N11">
        <f t="shared" si="10"/>
        <v>-4.0167269138750514</v>
      </c>
      <c r="O11">
        <f t="shared" si="11"/>
        <v>-2.7841829354317413</v>
      </c>
      <c r="S11" s="3"/>
      <c r="T11" s="3"/>
      <c r="U11" s="3"/>
      <c r="V11" s="3"/>
      <c r="W11" s="3"/>
      <c r="X11" s="3"/>
      <c r="Y11" s="3"/>
      <c r="Z11" s="3"/>
      <c r="AA11" s="3"/>
      <c r="AB11" s="3"/>
      <c r="AC11" s="3"/>
    </row>
    <row r="12" spans="1:31" x14ac:dyDescent="0.25">
      <c r="A12" s="4">
        <v>16</v>
      </c>
      <c r="B12" t="s">
        <v>24</v>
      </c>
      <c r="D12">
        <v>42057</v>
      </c>
      <c r="E12" s="4">
        <f t="shared" si="6"/>
        <v>63085.5</v>
      </c>
      <c r="F12" s="3">
        <v>53511</v>
      </c>
      <c r="G12" s="4">
        <f t="shared" si="7"/>
        <v>1525063.5</v>
      </c>
      <c r="H12" s="4">
        <f>53969/52067</f>
        <v>1.0365298557627671</v>
      </c>
      <c r="I12" s="3">
        <v>17484</v>
      </c>
      <c r="J12" s="4">
        <f t="shared" si="8"/>
        <v>1748400</v>
      </c>
      <c r="K12" s="3">
        <v>49081</v>
      </c>
      <c r="L12" s="4">
        <f t="shared" si="12"/>
        <v>3095831.2001843778</v>
      </c>
      <c r="M12">
        <f t="shared" si="9"/>
        <v>0.21313297870387599</v>
      </c>
      <c r="N12">
        <f t="shared" si="10"/>
        <v>-3.7711255319754309</v>
      </c>
      <c r="O12">
        <f t="shared" si="11"/>
        <v>-2.6139450300263931</v>
      </c>
      <c r="S12" s="3"/>
      <c r="T12" s="3"/>
      <c r="U12" s="3"/>
      <c r="V12" s="3"/>
      <c r="W12" s="3"/>
      <c r="X12" s="3"/>
      <c r="Y12" s="3"/>
      <c r="Z12" s="3"/>
      <c r="AA12" s="3"/>
      <c r="AB12" s="3"/>
      <c r="AC12" s="3"/>
    </row>
    <row r="13" spans="1:31" x14ac:dyDescent="0.25">
      <c r="A13" s="4">
        <v>16</v>
      </c>
      <c r="B13" t="s">
        <v>25</v>
      </c>
      <c r="D13">
        <v>43789</v>
      </c>
      <c r="E13" s="4">
        <f t="shared" si="6"/>
        <v>65683.5</v>
      </c>
      <c r="F13" s="3">
        <v>55752</v>
      </c>
      <c r="G13" s="4">
        <f t="shared" si="7"/>
        <v>1588932</v>
      </c>
      <c r="H13" s="4">
        <f>51950/54669</f>
        <v>0.95026431798642741</v>
      </c>
      <c r="I13" s="3">
        <v>23670</v>
      </c>
      <c r="J13" s="4">
        <f t="shared" si="8"/>
        <v>2367000</v>
      </c>
      <c r="K13" s="3">
        <v>48074</v>
      </c>
      <c r="L13" s="4">
        <f t="shared" si="12"/>
        <v>2558124.3593261265</v>
      </c>
      <c r="M13">
        <f t="shared" si="9"/>
        <v>0.13285203681357852</v>
      </c>
      <c r="N13">
        <f t="shared" si="10"/>
        <v>-4.4843558754969006</v>
      </c>
      <c r="O13">
        <f t="shared" si="11"/>
        <v>-3.108318631728102</v>
      </c>
      <c r="S13" s="3"/>
      <c r="T13" s="3"/>
      <c r="U13" s="3"/>
      <c r="V13" s="3"/>
      <c r="W13" s="3"/>
      <c r="X13" s="3"/>
      <c r="Y13" s="3"/>
      <c r="Z13" s="3"/>
      <c r="AA13" s="3"/>
      <c r="AB13" s="3"/>
      <c r="AC13" s="3"/>
    </row>
    <row r="14" spans="1:31" x14ac:dyDescent="0.25">
      <c r="A14">
        <v>16</v>
      </c>
      <c r="B14" s="4" t="s">
        <v>26</v>
      </c>
      <c r="D14">
        <v>42015</v>
      </c>
      <c r="E14" s="4">
        <f t="shared" si="6"/>
        <v>63022.5</v>
      </c>
      <c r="F14" s="3">
        <v>54562</v>
      </c>
      <c r="G14" s="4">
        <f t="shared" si="7"/>
        <v>1555017</v>
      </c>
      <c r="H14" s="4">
        <f>50012/50218</f>
        <v>0.99589788522043887</v>
      </c>
      <c r="I14" s="3">
        <v>19587</v>
      </c>
      <c r="J14" s="4">
        <f t="shared" si="8"/>
        <v>1958700</v>
      </c>
      <c r="K14" s="3">
        <v>57672</v>
      </c>
      <c r="L14" s="4">
        <f t="shared" si="12"/>
        <v>3816534.8122187266</v>
      </c>
      <c r="M14">
        <f t="shared" si="9"/>
        <v>0.2612672193720364</v>
      </c>
      <c r="N14">
        <f t="shared" si="10"/>
        <v>-3.6625526538972508</v>
      </c>
      <c r="O14">
        <f t="shared" si="11"/>
        <v>-2.5386880457012246</v>
      </c>
      <c r="S14" s="3"/>
      <c r="T14" s="3"/>
      <c r="U14" s="3"/>
      <c r="V14" s="3"/>
      <c r="W14" s="3"/>
      <c r="X14" s="3"/>
      <c r="Y14" s="3"/>
      <c r="Z14" s="3"/>
      <c r="AA14" s="3"/>
      <c r="AB14" s="3"/>
      <c r="AC14" s="3"/>
    </row>
    <row r="15" spans="1:31" x14ac:dyDescent="0.25">
      <c r="A15" s="4">
        <v>16</v>
      </c>
      <c r="B15" s="4" t="s">
        <v>45</v>
      </c>
      <c r="D15">
        <v>39698</v>
      </c>
      <c r="E15" s="4">
        <f t="shared" si="6"/>
        <v>59547</v>
      </c>
      <c r="F15" s="3">
        <v>55233</v>
      </c>
      <c r="G15" s="4">
        <f t="shared" si="7"/>
        <v>1574140.5</v>
      </c>
      <c r="H15" s="4">
        <f>53443/51227</f>
        <v>1.0432584379331211</v>
      </c>
      <c r="I15" s="3">
        <v>18485</v>
      </c>
      <c r="J15" s="4">
        <f t="shared" si="8"/>
        <v>1848500</v>
      </c>
      <c r="K15" s="3">
        <v>58326</v>
      </c>
      <c r="L15" s="4">
        <f t="shared" si="12"/>
        <v>3904136.7774806255</v>
      </c>
      <c r="M15">
        <f t="shared" si="9"/>
        <v>0.26440497446261679</v>
      </c>
      <c r="N15">
        <f t="shared" si="10"/>
        <v>-3.6457431241658016</v>
      </c>
      <c r="O15">
        <f t="shared" si="11"/>
        <v>-2.527036567561332</v>
      </c>
      <c r="S15" s="3"/>
      <c r="T15" s="3"/>
      <c r="U15" s="3"/>
      <c r="V15" s="3"/>
      <c r="W15" s="3"/>
      <c r="X15" s="3"/>
      <c r="Y15" s="3"/>
      <c r="Z15" s="3"/>
      <c r="AA15" s="3"/>
      <c r="AB15" s="3"/>
      <c r="AC15" s="3"/>
    </row>
    <row r="16" spans="1:31" x14ac:dyDescent="0.25">
      <c r="A16" s="4">
        <v>16</v>
      </c>
      <c r="B16" s="4" t="s">
        <v>48</v>
      </c>
      <c r="D16">
        <v>50176</v>
      </c>
      <c r="E16" s="4">
        <f t="shared" si="6"/>
        <v>75264</v>
      </c>
      <c r="F16" s="3">
        <v>52700</v>
      </c>
      <c r="G16" s="4">
        <f t="shared" si="7"/>
        <v>1501950</v>
      </c>
      <c r="H16" s="4">
        <f>46727/44205</f>
        <v>1.0570523696414433</v>
      </c>
      <c r="I16" s="3">
        <v>20370</v>
      </c>
      <c r="J16" s="4">
        <f t="shared" si="8"/>
        <v>2037000</v>
      </c>
      <c r="K16" s="3">
        <v>59570</v>
      </c>
      <c r="L16" s="4">
        <f t="shared" si="12"/>
        <v>3803784.3230403801</v>
      </c>
      <c r="M16">
        <f t="shared" si="9"/>
        <v>0.2817364962108625</v>
      </c>
      <c r="N16">
        <f t="shared" si="10"/>
        <v>-3.4177435442413517</v>
      </c>
      <c r="O16">
        <f t="shared" si="11"/>
        <v>-2.3689993015678477</v>
      </c>
      <c r="S16" s="3"/>
      <c r="T16" s="3"/>
      <c r="U16" s="3"/>
      <c r="V16" s="3"/>
      <c r="W16" s="3"/>
      <c r="X16" s="3"/>
      <c r="Y16" s="3"/>
      <c r="Z16" s="3"/>
      <c r="AA16" s="3"/>
      <c r="AB16" s="3"/>
      <c r="AC16" s="3"/>
    </row>
    <row r="17" spans="1:29" x14ac:dyDescent="0.25">
      <c r="A17" s="4">
        <v>16</v>
      </c>
      <c r="B17" s="4" t="s">
        <v>49</v>
      </c>
      <c r="C17" s="4"/>
      <c r="D17" s="4">
        <v>44392</v>
      </c>
      <c r="E17" s="4">
        <f t="shared" si="6"/>
        <v>66588</v>
      </c>
      <c r="F17" s="10">
        <v>47776</v>
      </c>
      <c r="G17" s="4">
        <f>F17*28.5</f>
        <v>1361616</v>
      </c>
      <c r="H17" s="4">
        <f>48352/45772</f>
        <v>1.0563663374989076</v>
      </c>
      <c r="I17" s="4">
        <v>16286</v>
      </c>
      <c r="J17" s="4">
        <f>I17*100</f>
        <v>1628600</v>
      </c>
      <c r="K17" s="4">
        <v>49557</v>
      </c>
      <c r="L17" s="4">
        <f t="shared" si="12"/>
        <v>3235301.7827492789</v>
      </c>
      <c r="M17">
        <f t="shared" si="9"/>
        <v>0.27071100099551537</v>
      </c>
      <c r="N17">
        <f t="shared" si="10"/>
        <v>-3.3636458930413515</v>
      </c>
      <c r="O17">
        <f t="shared" si="11"/>
        <v>-2.3315016671636521</v>
      </c>
      <c r="U17" s="3"/>
      <c r="V17" s="3"/>
      <c r="W17" s="3"/>
      <c r="X17" s="3"/>
      <c r="Y17" s="3"/>
      <c r="Z17" s="3"/>
      <c r="AA17" s="3"/>
      <c r="AB17" s="3"/>
      <c r="AC17" s="3"/>
    </row>
    <row r="18" spans="1:29" x14ac:dyDescent="0.25">
      <c r="A18" s="4">
        <v>16</v>
      </c>
      <c r="B18" s="4" t="s">
        <v>50</v>
      </c>
      <c r="C18" s="4"/>
      <c r="D18" s="4">
        <v>44550</v>
      </c>
      <c r="E18" s="4">
        <f t="shared" si="6"/>
        <v>66825</v>
      </c>
      <c r="F18" s="10">
        <v>52394</v>
      </c>
      <c r="G18" s="4">
        <f t="shared" ref="G18:G21" si="13">F18*28.5</f>
        <v>1493229</v>
      </c>
      <c r="H18" s="4">
        <f>52474/49580</f>
        <v>1.0583703106091167</v>
      </c>
      <c r="I18" s="4">
        <v>14442</v>
      </c>
      <c r="J18" s="4">
        <f t="shared" ref="J18:J34" si="14">I18*100</f>
        <v>1444200</v>
      </c>
      <c r="K18" s="4">
        <v>57228</v>
      </c>
      <c r="L18" s="4">
        <f t="shared" si="12"/>
        <v>4194301.5974183138</v>
      </c>
      <c r="M18">
        <f t="shared" si="9"/>
        <v>0.33605840064390086</v>
      </c>
      <c r="N18">
        <f t="shared" si="10"/>
        <v>-2.9437436332874127</v>
      </c>
      <c r="O18">
        <f t="shared" si="11"/>
        <v>-2.0404475997044593</v>
      </c>
      <c r="S18" s="3"/>
      <c r="T18" s="3"/>
      <c r="U18" s="3"/>
      <c r="V18" s="3"/>
      <c r="W18" s="3"/>
      <c r="X18" s="3"/>
      <c r="Y18" s="3"/>
      <c r="Z18" s="3"/>
      <c r="AA18" s="3"/>
      <c r="AB18" s="3"/>
      <c r="AC18" s="3"/>
    </row>
    <row r="19" spans="1:29" x14ac:dyDescent="0.25">
      <c r="A19">
        <v>16</v>
      </c>
      <c r="B19" s="4" t="s">
        <v>51</v>
      </c>
      <c r="D19" s="4">
        <v>44116</v>
      </c>
      <c r="E19" s="4">
        <f t="shared" si="6"/>
        <v>66174</v>
      </c>
      <c r="F19" s="10">
        <v>51503</v>
      </c>
      <c r="G19" s="4">
        <f t="shared" si="13"/>
        <v>1467835.5</v>
      </c>
      <c r="H19" s="4">
        <f>50861/48686</f>
        <v>1.0446740336030891</v>
      </c>
      <c r="I19">
        <v>14781</v>
      </c>
      <c r="J19">
        <f t="shared" si="14"/>
        <v>1478100</v>
      </c>
      <c r="K19">
        <v>55408</v>
      </c>
      <c r="L19" s="4">
        <f t="shared" si="12"/>
        <v>3996667.3109312737</v>
      </c>
      <c r="M19">
        <f t="shared" si="9"/>
        <v>0.32247243378864399</v>
      </c>
      <c r="N19">
        <f t="shared" si="10"/>
        <v>-3.0362283881567413</v>
      </c>
      <c r="O19">
        <f t="shared" si="11"/>
        <v>-2.1045531467869125</v>
      </c>
    </row>
    <row r="20" spans="1:29" x14ac:dyDescent="0.25">
      <c r="A20" s="4">
        <v>16</v>
      </c>
      <c r="B20" s="4" t="s">
        <v>52</v>
      </c>
      <c r="C20" s="4"/>
      <c r="D20" s="4">
        <v>44751</v>
      </c>
      <c r="E20" s="4">
        <f t="shared" si="6"/>
        <v>67126.5</v>
      </c>
      <c r="F20" s="10">
        <v>50853</v>
      </c>
      <c r="G20" s="4">
        <f t="shared" si="13"/>
        <v>1449310.5</v>
      </c>
      <c r="H20" s="4">
        <f>51847/54008</f>
        <v>0.95998740927270032</v>
      </c>
      <c r="I20" s="4">
        <v>12360</v>
      </c>
      <c r="J20" s="4">
        <f t="shared" si="14"/>
        <v>1236000</v>
      </c>
      <c r="K20" s="4">
        <v>56200</v>
      </c>
      <c r="L20" s="4">
        <f t="shared" si="12"/>
        <v>4433455.5621389421</v>
      </c>
      <c r="M20">
        <f t="shared" si="9"/>
        <v>0.38382067039552892</v>
      </c>
      <c r="N20">
        <f t="shared" si="10"/>
        <v>-2.5895876069634243</v>
      </c>
      <c r="O20">
        <f t="shared" si="11"/>
        <v>-1.7949653485796735</v>
      </c>
      <c r="P20" t="s">
        <v>40</v>
      </c>
      <c r="Q20" t="s">
        <v>41</v>
      </c>
      <c r="R20" t="s">
        <v>42</v>
      </c>
      <c r="S20" t="s">
        <v>43</v>
      </c>
      <c r="U20" s="3"/>
      <c r="V20" s="3"/>
      <c r="W20" s="3"/>
      <c r="X20" s="3"/>
      <c r="Y20" s="3"/>
      <c r="Z20" s="3"/>
      <c r="AA20" s="3"/>
      <c r="AB20" s="3"/>
      <c r="AC20" s="3"/>
    </row>
    <row r="21" spans="1:29" s="5" customFormat="1" x14ac:dyDescent="0.25">
      <c r="A21" s="4">
        <v>16</v>
      </c>
      <c r="B21" s="4" t="s">
        <v>53</v>
      </c>
      <c r="C21" s="4"/>
      <c r="D21">
        <v>44614</v>
      </c>
      <c r="E21" s="4">
        <f>D21*1.5</f>
        <v>66921</v>
      </c>
      <c r="F21" s="10">
        <v>50089</v>
      </c>
      <c r="G21" s="4">
        <f t="shared" si="13"/>
        <v>1427536.5</v>
      </c>
      <c r="H21" s="4">
        <f>39440/35806</f>
        <v>1.1014913701614255</v>
      </c>
      <c r="I21" s="4">
        <v>8874</v>
      </c>
      <c r="J21" s="4">
        <f t="shared" si="14"/>
        <v>887400</v>
      </c>
      <c r="K21" s="4">
        <v>50062</v>
      </c>
      <c r="L21" s="4">
        <f>(K21-H21*I21)*100</f>
        <v>4028736.5581187508</v>
      </c>
      <c r="M21">
        <f t="shared" si="9"/>
        <v>0.40138865751531749</v>
      </c>
      <c r="N21">
        <f t="shared" si="10"/>
        <v>-2.2322538082279877</v>
      </c>
      <c r="O21">
        <f t="shared" si="11"/>
        <v>-1.5472804334674306</v>
      </c>
      <c r="P21" s="5">
        <f>AVERAGE(M10:M21)</f>
        <v>0.27311755519152098</v>
      </c>
      <c r="Q21" s="5">
        <f>_xlfn.STDEV.S(M10:M21)</f>
        <v>7.8637784746715539E-2</v>
      </c>
      <c r="R21" s="5">
        <f>Q21/SQRT(COUNT(M10:M21))</f>
        <v>2.2700773095996035E-2</v>
      </c>
      <c r="S21" s="3">
        <f>Q21/P21</f>
        <v>0.28792651095449201</v>
      </c>
      <c r="T21" s="3"/>
      <c r="U21" s="3"/>
      <c r="V21" s="3"/>
      <c r="W21" s="3"/>
      <c r="X21" s="3"/>
      <c r="Y21" s="3"/>
      <c r="Z21" s="3"/>
      <c r="AA21" s="3"/>
      <c r="AB21" s="3"/>
      <c r="AC21" s="3"/>
    </row>
    <row r="22" spans="1:29" s="1" customFormat="1" x14ac:dyDescent="0.25">
      <c r="E22" s="9"/>
      <c r="F22" s="9"/>
      <c r="G22" s="9"/>
      <c r="H22" s="9"/>
      <c r="I22" s="9"/>
      <c r="J22" s="4"/>
      <c r="K22" s="9"/>
      <c r="L22" s="4"/>
      <c r="M22"/>
      <c r="N22"/>
      <c r="O22"/>
      <c r="S22" s="9"/>
      <c r="T22" s="9"/>
      <c r="U22" s="9"/>
      <c r="V22" s="9"/>
      <c r="W22" s="9"/>
      <c r="X22" s="9"/>
      <c r="Y22" s="9"/>
      <c r="Z22" s="9"/>
      <c r="AA22" s="9"/>
      <c r="AB22" s="9"/>
      <c r="AC22" s="9"/>
    </row>
    <row r="23" spans="1:29" x14ac:dyDescent="0.25">
      <c r="A23">
        <v>17</v>
      </c>
      <c r="B23" s="4" t="s">
        <v>22</v>
      </c>
      <c r="D23">
        <v>43530</v>
      </c>
      <c r="E23" s="3">
        <f t="shared" ref="E23:E34" si="15">1.5*D23</f>
        <v>65295</v>
      </c>
      <c r="F23" s="3">
        <v>62837</v>
      </c>
      <c r="G23">
        <f t="shared" ref="G23:G26" si="16">F23*16.5</f>
        <v>1036810.5</v>
      </c>
      <c r="H23">
        <f>60150/58387</f>
        <v>1.0301950776713995</v>
      </c>
      <c r="I23" s="3">
        <v>15168</v>
      </c>
      <c r="J23" s="4">
        <f t="shared" si="14"/>
        <v>1516800</v>
      </c>
      <c r="K23" s="3">
        <v>38207</v>
      </c>
      <c r="L23" s="4">
        <f t="shared" ref="L23:L34" si="17">(K23-H23*I23)*100</f>
        <v>2258100.1061880211</v>
      </c>
      <c r="M23">
        <f t="shared" ref="M23:M34" si="18">(LN(L23/G23))/(LN(J23/E23))</f>
        <v>0.24746107529908506</v>
      </c>
      <c r="N23">
        <f t="shared" ref="N23:N34" si="19">LOG((L23/J23)/(G23/E23),2)</f>
        <v>-3.414957327019295</v>
      </c>
      <c r="O23">
        <f t="shared" ref="O23:O34" si="20">(LN(L23/G23))-(LN(J23/E23))</f>
        <v>-2.3670680429559514</v>
      </c>
      <c r="S23" s="3"/>
      <c r="T23" s="3"/>
      <c r="U23" s="3"/>
      <c r="V23" s="3"/>
      <c r="W23" s="3"/>
      <c r="X23" s="3"/>
      <c r="Y23" s="3"/>
      <c r="Z23" s="3"/>
      <c r="AA23" s="3"/>
      <c r="AB23" s="3"/>
      <c r="AC23" s="3"/>
    </row>
    <row r="24" spans="1:29" x14ac:dyDescent="0.25">
      <c r="A24">
        <v>17</v>
      </c>
      <c r="B24" s="4" t="s">
        <v>23</v>
      </c>
      <c r="D24">
        <v>41359</v>
      </c>
      <c r="E24" s="3">
        <f t="shared" si="15"/>
        <v>62038.5</v>
      </c>
      <c r="F24" s="3">
        <v>60297</v>
      </c>
      <c r="G24">
        <f t="shared" si="16"/>
        <v>994900.5</v>
      </c>
      <c r="H24">
        <f>47292/50176</f>
        <v>0.9425223214285714</v>
      </c>
      <c r="I24" s="3">
        <v>17174</v>
      </c>
      <c r="J24" s="4">
        <f t="shared" si="14"/>
        <v>1717400</v>
      </c>
      <c r="K24" s="3">
        <v>40198</v>
      </c>
      <c r="L24" s="4">
        <f t="shared" si="17"/>
        <v>2401112.1651785718</v>
      </c>
      <c r="M24">
        <f t="shared" si="18"/>
        <v>0.26531001303129292</v>
      </c>
      <c r="N24">
        <f t="shared" si="19"/>
        <v>-3.5198398371947999</v>
      </c>
      <c r="O24">
        <f t="shared" si="20"/>
        <v>-2.4397670591741525</v>
      </c>
      <c r="S24" s="3"/>
      <c r="T24" s="3"/>
      <c r="U24" s="3"/>
      <c r="V24" s="3"/>
      <c r="W24" s="3"/>
      <c r="X24" s="3"/>
      <c r="Y24" s="3"/>
      <c r="Z24" s="3"/>
      <c r="AA24" s="3"/>
      <c r="AB24" s="3"/>
      <c r="AC24" s="3"/>
    </row>
    <row r="25" spans="1:29" x14ac:dyDescent="0.25">
      <c r="A25">
        <v>17</v>
      </c>
      <c r="B25" t="s">
        <v>24</v>
      </c>
      <c r="D25">
        <v>42057</v>
      </c>
      <c r="E25" s="3">
        <f t="shared" si="15"/>
        <v>63085.5</v>
      </c>
      <c r="F25" s="3">
        <v>65088</v>
      </c>
      <c r="G25">
        <f t="shared" si="16"/>
        <v>1073952</v>
      </c>
      <c r="H25">
        <f>54780/52067</f>
        <v>1.0521059404229167</v>
      </c>
      <c r="I25" s="3">
        <v>17202</v>
      </c>
      <c r="J25" s="4">
        <f t="shared" si="14"/>
        <v>1720200</v>
      </c>
      <c r="K25" s="3">
        <v>43083</v>
      </c>
      <c r="L25" s="4">
        <f t="shared" si="17"/>
        <v>2498467.3612844991</v>
      </c>
      <c r="M25">
        <f t="shared" si="18"/>
        <v>0.25541668521034494</v>
      </c>
      <c r="N25">
        <f t="shared" si="19"/>
        <v>-3.5510101980422482</v>
      </c>
      <c r="O25">
        <f t="shared" si="20"/>
        <v>-2.4613727069125968</v>
      </c>
      <c r="S25" s="3"/>
      <c r="T25" s="3"/>
      <c r="U25" s="3"/>
      <c r="V25" s="3"/>
      <c r="W25" s="3"/>
      <c r="X25" s="3"/>
      <c r="Y25" s="3"/>
      <c r="Z25" s="3"/>
      <c r="AA25" s="3"/>
      <c r="AB25" s="3"/>
      <c r="AC25" s="3"/>
    </row>
    <row r="26" spans="1:29" x14ac:dyDescent="0.25">
      <c r="A26">
        <v>17</v>
      </c>
      <c r="B26" t="s">
        <v>25</v>
      </c>
      <c r="D26">
        <v>43789</v>
      </c>
      <c r="E26" s="3">
        <f t="shared" si="15"/>
        <v>65683.5</v>
      </c>
      <c r="F26" s="3">
        <v>64780</v>
      </c>
      <c r="G26">
        <f t="shared" si="16"/>
        <v>1068870</v>
      </c>
      <c r="H26">
        <f>52520/54669</f>
        <v>0.96069070222612452</v>
      </c>
      <c r="I26" s="3">
        <v>18658</v>
      </c>
      <c r="J26" s="4">
        <f t="shared" si="14"/>
        <v>1865800</v>
      </c>
      <c r="K26" s="3">
        <v>44103</v>
      </c>
      <c r="L26" s="4">
        <f t="shared" si="17"/>
        <v>2617843.2877864968</v>
      </c>
      <c r="M26">
        <f t="shared" si="18"/>
        <v>0.26765955750629233</v>
      </c>
      <c r="N26">
        <f t="shared" si="19"/>
        <v>-3.5358271956585301</v>
      </c>
      <c r="O26">
        <f t="shared" si="20"/>
        <v>-2.4508486516178882</v>
      </c>
      <c r="S26" s="3"/>
      <c r="T26" s="3"/>
      <c r="U26" s="3"/>
      <c r="V26" s="3"/>
      <c r="W26" s="3"/>
      <c r="X26" s="3"/>
      <c r="Y26" s="3"/>
      <c r="Z26" s="3"/>
      <c r="AA26" s="3"/>
      <c r="AB26" s="3"/>
      <c r="AC26" s="3"/>
    </row>
    <row r="27" spans="1:29" x14ac:dyDescent="0.25">
      <c r="A27">
        <v>17</v>
      </c>
      <c r="B27" t="s">
        <v>26</v>
      </c>
      <c r="D27">
        <v>42015</v>
      </c>
      <c r="E27" s="3">
        <f t="shared" si="15"/>
        <v>63022.5</v>
      </c>
      <c r="F27" s="3">
        <v>64430</v>
      </c>
      <c r="G27">
        <f>F27*16.5</f>
        <v>1063095</v>
      </c>
      <c r="H27">
        <f>50619/50218</f>
        <v>1.0079851845951651</v>
      </c>
      <c r="I27" s="3">
        <v>15363</v>
      </c>
      <c r="J27" s="4">
        <f t="shared" si="14"/>
        <v>1536300</v>
      </c>
      <c r="K27">
        <v>43105</v>
      </c>
      <c r="L27" s="4">
        <f t="shared" si="17"/>
        <v>2761932.3609064477</v>
      </c>
      <c r="M27">
        <f t="shared" si="18"/>
        <v>0.29895228653399936</v>
      </c>
      <c r="N27">
        <f t="shared" si="19"/>
        <v>-3.230041705427571</v>
      </c>
      <c r="O27">
        <f t="shared" si="20"/>
        <v>-2.2388943012081581</v>
      </c>
    </row>
    <row r="28" spans="1:29" x14ac:dyDescent="0.25">
      <c r="A28">
        <v>17</v>
      </c>
      <c r="B28" s="4" t="s">
        <v>45</v>
      </c>
      <c r="D28">
        <v>39698</v>
      </c>
      <c r="E28" s="3">
        <f t="shared" si="15"/>
        <v>59547</v>
      </c>
      <c r="F28" s="3">
        <v>58828</v>
      </c>
      <c r="G28">
        <f t="shared" ref="G28:G34" si="21">F28*16.5</f>
        <v>970662</v>
      </c>
      <c r="H28">
        <f>54202/51227</f>
        <v>1.0580748433443301</v>
      </c>
      <c r="I28" s="3">
        <v>16560</v>
      </c>
      <c r="J28" s="4">
        <f t="shared" si="14"/>
        <v>1656000</v>
      </c>
      <c r="K28" s="3">
        <v>41911</v>
      </c>
      <c r="L28" s="4">
        <f t="shared" si="17"/>
        <v>2438928.0594217894</v>
      </c>
      <c r="M28">
        <f t="shared" si="18"/>
        <v>0.27706054471278674</v>
      </c>
      <c r="N28">
        <f t="shared" si="19"/>
        <v>-3.4683237510975724</v>
      </c>
      <c r="O28">
        <f t="shared" si="20"/>
        <v>-2.4040588293423761</v>
      </c>
      <c r="S28" s="3"/>
      <c r="T28" s="3"/>
      <c r="U28" s="3"/>
      <c r="V28" s="3"/>
      <c r="W28" s="3"/>
      <c r="X28" s="3"/>
      <c r="Y28" s="3"/>
      <c r="Z28" s="3"/>
      <c r="AA28" s="3"/>
      <c r="AB28" s="3"/>
      <c r="AC28" s="3"/>
    </row>
    <row r="29" spans="1:29" x14ac:dyDescent="0.25">
      <c r="A29">
        <v>17</v>
      </c>
      <c r="B29" s="4" t="s">
        <v>48</v>
      </c>
      <c r="D29">
        <v>50176</v>
      </c>
      <c r="E29" s="3">
        <f t="shared" si="15"/>
        <v>75264</v>
      </c>
      <c r="F29" s="3">
        <v>59127</v>
      </c>
      <c r="G29">
        <f t="shared" si="21"/>
        <v>975595.5</v>
      </c>
      <c r="H29">
        <f>47662/44205</f>
        <v>1.0782038230969346</v>
      </c>
      <c r="I29" s="3">
        <v>16247</v>
      </c>
      <c r="J29" s="4">
        <f t="shared" si="14"/>
        <v>1624700</v>
      </c>
      <c r="K29" s="3">
        <v>48255</v>
      </c>
      <c r="L29" s="4">
        <f t="shared" si="17"/>
        <v>3073742.2486144104</v>
      </c>
      <c r="M29">
        <f t="shared" si="18"/>
        <v>0.37355938464470051</v>
      </c>
      <c r="N29">
        <f t="shared" si="19"/>
        <v>-2.7764283914473302</v>
      </c>
      <c r="O29">
        <f t="shared" si="20"/>
        <v>-1.9244735115583007</v>
      </c>
      <c r="S29" s="3"/>
      <c r="T29" s="3"/>
      <c r="U29" s="3"/>
      <c r="V29" s="3"/>
      <c r="W29" s="3"/>
      <c r="X29" s="3"/>
      <c r="Y29" s="3"/>
      <c r="Z29" s="3"/>
      <c r="AA29" s="3"/>
      <c r="AB29" s="3"/>
      <c r="AC29" s="3"/>
    </row>
    <row r="30" spans="1:29" x14ac:dyDescent="0.25">
      <c r="A30">
        <v>17</v>
      </c>
      <c r="B30" s="4" t="s">
        <v>49</v>
      </c>
      <c r="D30" s="4">
        <v>44392</v>
      </c>
      <c r="E30" s="3">
        <f t="shared" si="15"/>
        <v>66588</v>
      </c>
      <c r="F30" s="3">
        <v>58643</v>
      </c>
      <c r="G30">
        <f t="shared" si="21"/>
        <v>967609.5</v>
      </c>
      <c r="H30">
        <f>49079/45772</f>
        <v>1.0722494101197237</v>
      </c>
      <c r="I30" s="3">
        <v>16566</v>
      </c>
      <c r="J30" s="4">
        <f t="shared" si="14"/>
        <v>1656600</v>
      </c>
      <c r="K30" s="3">
        <v>41091</v>
      </c>
      <c r="L30" s="4">
        <f t="shared" si="17"/>
        <v>2332811.6271956656</v>
      </c>
      <c r="M30">
        <f t="shared" si="18"/>
        <v>0.27380255760728367</v>
      </c>
      <c r="N30">
        <f t="shared" si="19"/>
        <v>-3.3672462981328595</v>
      </c>
      <c r="O30">
        <f t="shared" si="20"/>
        <v>-2.3339972778017044</v>
      </c>
      <c r="S30" s="3"/>
      <c r="T30" s="3"/>
      <c r="U30" s="3"/>
      <c r="V30" s="3"/>
      <c r="W30" s="3"/>
      <c r="X30" s="3"/>
      <c r="Y30" s="3"/>
      <c r="Z30" s="3"/>
      <c r="AA30" s="3"/>
      <c r="AB30" s="3"/>
      <c r="AC30" s="3"/>
    </row>
    <row r="31" spans="1:29" x14ac:dyDescent="0.25">
      <c r="A31">
        <v>17</v>
      </c>
      <c r="B31" s="4" t="s">
        <v>50</v>
      </c>
      <c r="D31" s="4">
        <v>44550</v>
      </c>
      <c r="E31" s="3">
        <f t="shared" si="15"/>
        <v>66825</v>
      </c>
      <c r="F31" s="3">
        <v>59409</v>
      </c>
      <c r="G31">
        <f t="shared" si="21"/>
        <v>980248.5</v>
      </c>
      <c r="H31">
        <f>52424/49580</f>
        <v>1.0573618394513917</v>
      </c>
      <c r="I31" s="3">
        <v>13108</v>
      </c>
      <c r="J31" s="4">
        <f t="shared" si="14"/>
        <v>1310800</v>
      </c>
      <c r="K31" s="3">
        <v>37246</v>
      </c>
      <c r="L31" s="4">
        <f t="shared" si="17"/>
        <v>2338610.1008471157</v>
      </c>
      <c r="M31">
        <f t="shared" si="18"/>
        <v>0.29214171068541611</v>
      </c>
      <c r="N31">
        <f t="shared" si="19"/>
        <v>-3.0394839176360353</v>
      </c>
      <c r="O31">
        <f t="shared" si="20"/>
        <v>-2.1068097078667147</v>
      </c>
      <c r="S31" s="3"/>
      <c r="T31" s="3"/>
      <c r="U31" s="3"/>
      <c r="V31" s="3"/>
      <c r="W31" s="3"/>
      <c r="X31" s="3"/>
      <c r="Y31" s="3"/>
      <c r="Z31" s="3"/>
      <c r="AA31" s="3"/>
      <c r="AB31" s="3"/>
      <c r="AC31" s="3"/>
    </row>
    <row r="32" spans="1:29" x14ac:dyDescent="0.25">
      <c r="A32">
        <v>17</v>
      </c>
      <c r="B32" s="4" t="s">
        <v>51</v>
      </c>
      <c r="D32" s="4">
        <v>44116</v>
      </c>
      <c r="E32" s="3">
        <f t="shared" si="15"/>
        <v>66174</v>
      </c>
      <c r="F32" s="3">
        <v>59084</v>
      </c>
      <c r="G32">
        <f t="shared" si="21"/>
        <v>974886</v>
      </c>
      <c r="H32">
        <f>51722/48686</f>
        <v>1.0623587889742432</v>
      </c>
      <c r="I32" s="3">
        <v>15232</v>
      </c>
      <c r="J32" s="4">
        <f t="shared" si="14"/>
        <v>1523200</v>
      </c>
      <c r="K32" s="3">
        <v>42033</v>
      </c>
      <c r="L32" s="4">
        <f t="shared" si="17"/>
        <v>2585115.0926344329</v>
      </c>
      <c r="M32">
        <f t="shared" si="18"/>
        <v>0.31094304355479191</v>
      </c>
      <c r="N32">
        <f t="shared" si="19"/>
        <v>-3.1177740023553238</v>
      </c>
      <c r="O32">
        <f t="shared" si="20"/>
        <v>-2.1610762593556889</v>
      </c>
      <c r="S32" s="3"/>
      <c r="T32" s="3"/>
      <c r="U32" s="3"/>
      <c r="V32" s="3"/>
      <c r="W32" s="3"/>
      <c r="X32" s="3"/>
      <c r="Y32" s="3"/>
      <c r="Z32" s="3"/>
      <c r="AA32" s="3"/>
      <c r="AB32" s="3"/>
      <c r="AC32" s="3"/>
    </row>
    <row r="33" spans="1:29" x14ac:dyDescent="0.25">
      <c r="A33">
        <v>17</v>
      </c>
      <c r="B33" s="4" t="s">
        <v>52</v>
      </c>
      <c r="D33" s="4">
        <v>44751</v>
      </c>
      <c r="E33" s="3">
        <f t="shared" si="15"/>
        <v>67126.5</v>
      </c>
      <c r="F33" s="3">
        <v>63690</v>
      </c>
      <c r="G33">
        <f t="shared" si="21"/>
        <v>1050885</v>
      </c>
      <c r="H33">
        <f>52558/53500</f>
        <v>0.98239252336448601</v>
      </c>
      <c r="I33" s="3">
        <v>15173</v>
      </c>
      <c r="J33" s="4">
        <f t="shared" si="14"/>
        <v>1517300</v>
      </c>
      <c r="K33" s="3">
        <v>43458</v>
      </c>
      <c r="L33" s="4">
        <f t="shared" si="17"/>
        <v>2855215.8242990654</v>
      </c>
      <c r="M33">
        <f t="shared" si="18"/>
        <v>0.32055159937549288</v>
      </c>
      <c r="N33">
        <f t="shared" si="19"/>
        <v>-3.0564851302251013</v>
      </c>
      <c r="O33">
        <f t="shared" si="20"/>
        <v>-2.1185940504389262</v>
      </c>
      <c r="P33" t="s">
        <v>40</v>
      </c>
      <c r="Q33" t="s">
        <v>41</v>
      </c>
      <c r="R33" t="s">
        <v>42</v>
      </c>
      <c r="S33" t="s">
        <v>43</v>
      </c>
      <c r="T33" s="3"/>
      <c r="U33" s="3"/>
      <c r="V33" s="3"/>
      <c r="W33" s="3"/>
      <c r="X33" s="3"/>
      <c r="Y33" s="3"/>
      <c r="Z33" s="3"/>
      <c r="AA33" s="3"/>
      <c r="AB33" s="3"/>
      <c r="AC33" s="3"/>
    </row>
    <row r="34" spans="1:29" x14ac:dyDescent="0.25">
      <c r="A34">
        <v>17</v>
      </c>
      <c r="B34" s="4" t="s">
        <v>53</v>
      </c>
      <c r="D34">
        <v>44614</v>
      </c>
      <c r="E34" s="3">
        <f t="shared" si="15"/>
        <v>66921</v>
      </c>
      <c r="F34" s="3">
        <v>64886</v>
      </c>
      <c r="G34">
        <f t="shared" si="21"/>
        <v>1070619</v>
      </c>
      <c r="H34">
        <f>40003/35806</f>
        <v>1.1172149919007988</v>
      </c>
      <c r="I34" s="3">
        <v>12359</v>
      </c>
      <c r="J34" s="4">
        <f t="shared" si="14"/>
        <v>1235900</v>
      </c>
      <c r="K34" s="3">
        <v>37899</v>
      </c>
      <c r="L34" s="4">
        <f t="shared" si="17"/>
        <v>2409133.9915098026</v>
      </c>
      <c r="M34">
        <f t="shared" si="18"/>
        <v>0.27812712664309225</v>
      </c>
      <c r="N34">
        <f t="shared" si="19"/>
        <v>-3.0368897270096555</v>
      </c>
      <c r="O34">
        <f t="shared" si="20"/>
        <v>-2.1050115519482042</v>
      </c>
      <c r="P34" s="5">
        <f>AVERAGE(M23:M34)</f>
        <v>0.2884154654003816</v>
      </c>
      <c r="Q34" s="5">
        <f>_xlfn.STDEV.S(M23:M34)</f>
        <v>3.4501372553516353E-2</v>
      </c>
      <c r="R34" s="5">
        <f>Q34/SQRT(COUNT(M23:M34))</f>
        <v>9.9596883655921169E-3</v>
      </c>
      <c r="S34" s="3">
        <f>Q34/P34</f>
        <v>0.11962386450262354</v>
      </c>
      <c r="T34" s="3"/>
      <c r="U34" s="3"/>
      <c r="V34" s="3"/>
      <c r="W34" s="3"/>
      <c r="X34" s="3"/>
      <c r="Y34" s="3"/>
      <c r="Z34" s="3"/>
      <c r="AA34" s="3"/>
      <c r="AB34" s="3"/>
      <c r="AC34" s="3"/>
    </row>
    <row r="35" spans="1:29" x14ac:dyDescent="0.25">
      <c r="E35" s="3"/>
      <c r="F35" s="3"/>
      <c r="G35" s="3"/>
      <c r="H35" s="3"/>
      <c r="I35" s="3"/>
      <c r="J35" s="3"/>
      <c r="K35" s="3"/>
      <c r="L35" s="3"/>
      <c r="S35" s="3"/>
      <c r="T35" s="3"/>
      <c r="U35" s="3"/>
      <c r="V35" s="3"/>
      <c r="W35" s="3"/>
      <c r="X35" s="3"/>
      <c r="Y35" s="3"/>
      <c r="Z35" s="3"/>
      <c r="AA35" s="3"/>
      <c r="AB35" s="3"/>
      <c r="AC35" s="3"/>
    </row>
    <row r="37" spans="1:29" x14ac:dyDescent="0.25">
      <c r="P37">
        <f>_xlfn.T.TEST(M10:M21,M23:M34,2,2)</f>
        <v>0.54349561046360229</v>
      </c>
    </row>
    <row r="41" spans="1:29" s="5" customFormat="1" x14ac:dyDescent="0.25">
      <c r="E41" s="5" t="s">
        <v>27</v>
      </c>
      <c r="P41" s="5">
        <f>1.03*P21</f>
        <v>0.28131108184726661</v>
      </c>
      <c r="S41" s="3"/>
      <c r="T41" s="3"/>
      <c r="U41" s="3"/>
      <c r="V41" s="3"/>
      <c r="W41" s="3"/>
      <c r="X41" s="3"/>
      <c r="Y41" s="3"/>
      <c r="Z41" s="3"/>
      <c r="AA41" s="3"/>
      <c r="AB41" s="3"/>
      <c r="AC41" s="3"/>
    </row>
    <row r="42" spans="1:29" s="5" customFormat="1" x14ac:dyDescent="0.25">
      <c r="E42" s="5" t="s">
        <v>28</v>
      </c>
      <c r="S42"/>
      <c r="T42"/>
      <c r="U42" s="3"/>
      <c r="V42" s="3"/>
      <c r="W42" s="3"/>
      <c r="X42" s="3"/>
      <c r="Y42" s="3"/>
      <c r="Z42" s="3"/>
      <c r="AA42" s="3"/>
      <c r="AB42" s="3"/>
      <c r="AC42" s="3"/>
    </row>
    <row r="43" spans="1:29" x14ac:dyDescent="0.25">
      <c r="E43" s="5" t="s">
        <v>29</v>
      </c>
      <c r="F43" s="5"/>
      <c r="S43" s="3"/>
      <c r="T43" s="3"/>
      <c r="U43" s="3"/>
      <c r="V43" s="3"/>
      <c r="W43" s="3"/>
      <c r="X43" s="3"/>
      <c r="Y43" s="3"/>
      <c r="Z43" s="3"/>
      <c r="AA43" s="3"/>
      <c r="AB43" s="3"/>
      <c r="AC43" s="3"/>
    </row>
    <row r="44" spans="1:29" x14ac:dyDescent="0.25">
      <c r="E44" s="7" t="s">
        <v>30</v>
      </c>
      <c r="F44" s="7"/>
    </row>
    <row r="45" spans="1:29" x14ac:dyDescent="0.25">
      <c r="E45" s="5" t="s">
        <v>31</v>
      </c>
      <c r="F45" s="5"/>
    </row>
    <row r="46" spans="1:29" x14ac:dyDescent="0.25">
      <c r="C46" t="s">
        <v>33</v>
      </c>
      <c r="E46" s="5"/>
      <c r="F46" s="5"/>
      <c r="J46" t="s">
        <v>34</v>
      </c>
      <c r="L46" t="s">
        <v>35</v>
      </c>
      <c r="M46" t="s">
        <v>37</v>
      </c>
      <c r="N46" t="s">
        <v>36</v>
      </c>
    </row>
    <row r="47" spans="1:29" x14ac:dyDescent="0.25">
      <c r="E47" s="5"/>
      <c r="F47" s="5"/>
      <c r="J47">
        <f>59535</f>
        <v>59535</v>
      </c>
      <c r="L47">
        <f>9922</f>
        <v>9922</v>
      </c>
      <c r="M47">
        <f>L47/(J47+L47)</f>
        <v>0.14285097254416401</v>
      </c>
      <c r="N47" s="8">
        <f>L47/J47</f>
        <v>0.16665826824556984</v>
      </c>
    </row>
    <row r="48" spans="1:29" x14ac:dyDescent="0.25">
      <c r="C48" t="s">
        <v>38</v>
      </c>
      <c r="E48" s="5"/>
      <c r="F48" s="5"/>
    </row>
    <row r="49" spans="1:31" x14ac:dyDescent="0.25">
      <c r="E49" s="5"/>
      <c r="F49" s="5"/>
    </row>
    <row r="50" spans="1:31" x14ac:dyDescent="0.25">
      <c r="E50" s="5"/>
      <c r="F50" s="5"/>
    </row>
    <row r="51" spans="1:31" x14ac:dyDescent="0.25">
      <c r="A51" t="s">
        <v>32</v>
      </c>
    </row>
    <row r="59" spans="1:31" s="6" customForma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s="6" customForma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s="6" customFormat="1" x14ac:dyDescent="0.25">
      <c r="A61" s="5"/>
      <c r="B61" s="5"/>
      <c r="C61" s="5"/>
      <c r="D61" s="5"/>
      <c r="E61" s="5"/>
      <c r="F61" s="5"/>
      <c r="G61" s="5"/>
      <c r="H61" s="5"/>
      <c r="I61" s="5"/>
      <c r="J61" s="5"/>
      <c r="K61" s="5"/>
      <c r="L61" s="5"/>
      <c r="M61" s="5"/>
      <c r="N61" s="5"/>
      <c r="O61" s="5"/>
      <c r="P61" s="5"/>
      <c r="Q61" s="5"/>
      <c r="R61" s="5"/>
      <c r="S61"/>
      <c r="T61"/>
      <c r="U61" s="5"/>
      <c r="V61" s="5"/>
      <c r="W61" s="5"/>
      <c r="X61" s="5"/>
      <c r="Y61" s="5"/>
      <c r="Z61" s="5"/>
      <c r="AA61" s="5"/>
      <c r="AB61" s="5"/>
      <c r="AC61" s="5"/>
      <c r="AD61" s="5"/>
      <c r="AE61" s="5"/>
    </row>
    <row r="65" spans="1:31" s="5" customFormat="1" x14ac:dyDescent="0.25"/>
    <row r="66" spans="1:31" s="5" customFormat="1" x14ac:dyDescent="0.25"/>
    <row r="67" spans="1:31" s="5" customFormat="1" x14ac:dyDescent="0.25">
      <c r="S67"/>
      <c r="T67"/>
    </row>
    <row r="70" spans="1:31" s="1" customFormat="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t="s">
        <v>6</v>
      </c>
      <c r="B71">
        <v>1</v>
      </c>
      <c r="E71">
        <v>3970</v>
      </c>
      <c r="G71">
        <v>15690</v>
      </c>
      <c r="J71">
        <v>1160900</v>
      </c>
      <c r="L71">
        <v>810300</v>
      </c>
      <c r="M71">
        <f>(LN(L71/G71))/(LN(J71/E71))</f>
        <v>0.69465527381330128</v>
      </c>
      <c r="N71">
        <f>LOG((L71/J71)/(G71/E71),2)</f>
        <v>-2.5013500978573315</v>
      </c>
      <c r="O71">
        <f>(LN(L71/G71))-(LN(J71/E71))</f>
        <v>-1.7338037679231526</v>
      </c>
      <c r="Q71">
        <f>M71/$V$73</f>
        <v>0.99154811130004306</v>
      </c>
      <c r="R71" t="e">
        <f>M71/#REF!</f>
        <v>#REF!</v>
      </c>
    </row>
    <row r="72" spans="1:31" x14ac:dyDescent="0.25">
      <c r="A72" t="s">
        <v>6</v>
      </c>
      <c r="B72">
        <v>2</v>
      </c>
      <c r="E72">
        <v>4162</v>
      </c>
      <c r="G72">
        <v>15473</v>
      </c>
      <c r="J72">
        <v>1218300</v>
      </c>
      <c r="L72">
        <v>753900</v>
      </c>
      <c r="M72">
        <f>(LN(L72/G72))/(LN(J72/E72))</f>
        <v>0.68427810579231052</v>
      </c>
      <c r="N72">
        <f>LOG((L72/J72)/(G72/E72),2)</f>
        <v>-2.5868284283149161</v>
      </c>
      <c r="O72">
        <f>(LN(L72/G72))-(LN(J72/E72))</f>
        <v>-1.7930528316787981</v>
      </c>
      <c r="Q72">
        <f>M72/$V$73</f>
        <v>0.97673578389140958</v>
      </c>
      <c r="R72" t="e">
        <f>M72/#REF!</f>
        <v>#REF!</v>
      </c>
    </row>
    <row r="73" spans="1:31" x14ac:dyDescent="0.25">
      <c r="A73" t="s">
        <v>6</v>
      </c>
      <c r="B73">
        <v>3</v>
      </c>
      <c r="E73">
        <v>3803</v>
      </c>
      <c r="G73">
        <v>15825</v>
      </c>
      <c r="J73">
        <v>1048600</v>
      </c>
      <c r="L73">
        <v>919000</v>
      </c>
      <c r="M73">
        <f>(LN(L73/G73))/(LN(J73/E73))</f>
        <v>0.72279602483807681</v>
      </c>
      <c r="N73">
        <f>LOG((L73/J73)/(G73/E73),2)</f>
        <v>-2.2473233399124335</v>
      </c>
      <c r="O73">
        <f>(LN(L73/G73))-(LN(J73/E73))</f>
        <v>-1.5577258368668625</v>
      </c>
      <c r="P73">
        <f>AVERAGE(M71:M73)</f>
        <v>0.7005764681478962</v>
      </c>
      <c r="Q73">
        <f>M73/$V$73</f>
        <v>1.0317161048085473</v>
      </c>
      <c r="R73" t="e">
        <f>M73/#REF!</f>
        <v>#REF!</v>
      </c>
      <c r="S73" t="e">
        <f>P73/#REF!</f>
        <v>#REF!</v>
      </c>
      <c r="V73">
        <f>AVERAGE(M71:M73)</f>
        <v>0.7005764681478962</v>
      </c>
    </row>
    <row r="74" spans="1:31" x14ac:dyDescent="0.25">
      <c r="N74">
        <f>AVERAGE(N71:N73)</f>
        <v>-2.4451672886948939</v>
      </c>
      <c r="O74">
        <f>AVERAGE(O71:O73)</f>
        <v>-1.6948608121562712</v>
      </c>
      <c r="S74" t="e">
        <f>_xlfn.STDEV.S(R71:R73)</f>
        <v>#REF!</v>
      </c>
    </row>
    <row r="75" spans="1:31" x14ac:dyDescent="0.25">
      <c r="S75" t="e">
        <f>S74/SQRT(COUNT(R71:R73))</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abSelected="1" zoomScaleNormal="100" workbookViewId="0">
      <pane ySplit="1" topLeftCell="A14" activePane="bottomLeft" state="frozen"/>
      <selection pane="bottomLeft" activeCell="H1" sqref="H1"/>
    </sheetView>
  </sheetViews>
  <sheetFormatPr defaultRowHeight="15" x14ac:dyDescent="0.25"/>
  <cols>
    <col min="1" max="1" width="11.28515625" customWidth="1"/>
    <col min="2" max="4" width="9.28515625" customWidth="1"/>
    <col min="5" max="6" width="11.85546875" customWidth="1"/>
    <col min="10" max="10" width="14.42578125" customWidth="1"/>
    <col min="11" max="11" width="13.5703125" customWidth="1"/>
    <col min="12" max="12" width="12.7109375" bestFit="1" customWidth="1"/>
    <col min="15" max="18" width="12.28515625" customWidth="1"/>
    <col min="19" max="19" width="25" customWidth="1"/>
    <col min="20" max="20" width="12.28515625" customWidth="1"/>
    <col min="21" max="22" width="12.140625" customWidth="1"/>
    <col min="23" max="26" width="16" customWidth="1"/>
    <col min="27" max="27" width="14" customWidth="1"/>
    <col min="28" max="28" width="10.28515625" customWidth="1"/>
    <col min="29" max="29" width="9.28515625" customWidth="1"/>
  </cols>
  <sheetData>
    <row r="1" spans="1:31" x14ac:dyDescent="0.25">
      <c r="A1" t="s">
        <v>3</v>
      </c>
      <c r="B1" t="s">
        <v>0</v>
      </c>
      <c r="C1" t="s">
        <v>18</v>
      </c>
      <c r="D1" t="s">
        <v>44</v>
      </c>
      <c r="E1" t="s">
        <v>7</v>
      </c>
      <c r="F1" t="s">
        <v>46</v>
      </c>
      <c r="G1" t="s">
        <v>8</v>
      </c>
      <c r="H1" s="4" t="s">
        <v>59</v>
      </c>
      <c r="I1" t="s">
        <v>54</v>
      </c>
      <c r="J1" t="s">
        <v>9</v>
      </c>
      <c r="K1" t="s">
        <v>39</v>
      </c>
      <c r="L1" t="s">
        <v>10</v>
      </c>
      <c r="M1" t="s">
        <v>1</v>
      </c>
      <c r="N1" t="s">
        <v>2</v>
      </c>
      <c r="O1" t="s">
        <v>4</v>
      </c>
      <c r="Q1" t="s">
        <v>11</v>
      </c>
      <c r="S1" t="s">
        <v>19</v>
      </c>
      <c r="T1" t="s">
        <v>20</v>
      </c>
      <c r="U1" t="s">
        <v>12</v>
      </c>
      <c r="V1" t="s">
        <v>13</v>
      </c>
      <c r="W1" t="s">
        <v>14</v>
      </c>
      <c r="X1" t="s">
        <v>15</v>
      </c>
      <c r="Y1" t="s">
        <v>16</v>
      </c>
      <c r="Z1" t="s">
        <v>17</v>
      </c>
    </row>
    <row r="2" spans="1:31" s="4" customFormat="1" x14ac:dyDescent="0.25">
      <c r="A2" s="4" t="s">
        <v>5</v>
      </c>
      <c r="B2" s="4">
        <v>1</v>
      </c>
      <c r="E2" s="4">
        <f>2*17517</f>
        <v>35034</v>
      </c>
      <c r="G2" s="4">
        <f>34741</f>
        <v>34741</v>
      </c>
      <c r="J2" s="4">
        <v>6803600</v>
      </c>
      <c r="L2" s="4">
        <v>2375700</v>
      </c>
      <c r="M2" s="4">
        <f t="shared" ref="M2" si="0">(LN(L2/G2))/(LN(J2/E2))</f>
        <v>0.8019010365187369</v>
      </c>
      <c r="N2" s="4">
        <f t="shared" ref="N2" si="1">LOG((L2/J2)/(G2/E2),2)</f>
        <v>-1.5058292226528853</v>
      </c>
      <c r="O2">
        <f t="shared" ref="O2" si="2">(LN(L2/G2))-(LN(J2/E2))</f>
        <v>-1.0437612800866223</v>
      </c>
    </row>
    <row r="3" spans="1:31" x14ac:dyDescent="0.25">
      <c r="AE3" s="2"/>
    </row>
    <row r="4" spans="1:31" x14ac:dyDescent="0.25">
      <c r="A4" t="s">
        <v>21</v>
      </c>
      <c r="E4" s="3"/>
      <c r="F4" s="3"/>
      <c r="G4" s="3"/>
      <c r="H4" s="3"/>
      <c r="I4" s="3"/>
      <c r="J4" s="3"/>
      <c r="K4" s="3"/>
      <c r="L4" s="3"/>
    </row>
    <row r="5" spans="1:31" s="4" customFormat="1" x14ac:dyDescent="0.25">
      <c r="A5" s="4" t="s">
        <v>5</v>
      </c>
      <c r="B5" s="4">
        <v>1</v>
      </c>
      <c r="E5" s="4">
        <f>2*17517</f>
        <v>35034</v>
      </c>
      <c r="G5" s="4">
        <f>34741</f>
        <v>34741</v>
      </c>
      <c r="J5" s="4">
        <v>3180400</v>
      </c>
      <c r="L5" s="4">
        <v>2310000</v>
      </c>
      <c r="M5" s="4">
        <f t="shared" ref="M5" si="3">(LN(L5/G5))/(LN(J5/E5))</f>
        <v>0.93093825043839862</v>
      </c>
      <c r="N5" s="4">
        <f t="shared" ref="N5" si="4">LOG((L5/J5)/(G5/E5),2)</f>
        <v>-0.44919893837139152</v>
      </c>
      <c r="O5">
        <f t="shared" ref="O5" si="5">(LN(L5/G5))-(LN(J5/E5))</f>
        <v>-0.31136097764265003</v>
      </c>
    </row>
    <row r="6" spans="1:31" s="5" customFormat="1" x14ac:dyDescent="0.25">
      <c r="H6" s="5" t="s">
        <v>55</v>
      </c>
      <c r="S6" s="3"/>
      <c r="T6" s="3"/>
      <c r="U6" s="3"/>
      <c r="V6" s="3"/>
      <c r="W6" s="3"/>
      <c r="X6" s="3"/>
      <c r="Y6" s="3"/>
      <c r="Z6" s="3"/>
      <c r="AA6" s="3"/>
      <c r="AB6" s="3"/>
      <c r="AC6" s="3"/>
    </row>
    <row r="7" spans="1:31" s="5" customFormat="1" x14ac:dyDescent="0.25">
      <c r="E7" s="5" t="s">
        <v>47</v>
      </c>
      <c r="S7"/>
      <c r="T7"/>
      <c r="U7" s="3"/>
      <c r="V7" s="3"/>
      <c r="W7" s="3"/>
      <c r="X7" s="3"/>
      <c r="Y7" s="3"/>
      <c r="Z7" s="3"/>
      <c r="AA7" s="3"/>
      <c r="AB7" s="3"/>
      <c r="AC7" s="3"/>
    </row>
    <row r="8" spans="1:31" x14ac:dyDescent="0.25">
      <c r="E8" s="3"/>
      <c r="F8" s="3"/>
      <c r="G8" s="3"/>
      <c r="H8" s="3"/>
      <c r="I8" s="3"/>
      <c r="J8" s="3"/>
      <c r="K8" s="3"/>
      <c r="L8" s="3"/>
      <c r="S8" s="3"/>
      <c r="T8" s="3"/>
      <c r="U8" s="3"/>
      <c r="V8" s="3"/>
      <c r="W8" s="3"/>
      <c r="X8" s="3"/>
      <c r="Y8" s="3"/>
      <c r="Z8" s="3"/>
      <c r="AA8" s="3"/>
      <c r="AB8" s="3"/>
      <c r="AC8" s="3"/>
    </row>
    <row r="9" spans="1:31" x14ac:dyDescent="0.25">
      <c r="E9" s="3"/>
      <c r="F9" s="3"/>
      <c r="G9" s="3"/>
      <c r="H9" s="3"/>
      <c r="I9" s="3"/>
      <c r="J9" s="3"/>
      <c r="K9" s="3"/>
      <c r="L9" s="3"/>
      <c r="S9" s="3"/>
      <c r="T9" s="3"/>
      <c r="U9" s="3"/>
      <c r="V9" s="3"/>
      <c r="W9" s="3"/>
      <c r="X9" s="3"/>
      <c r="Y9" s="3"/>
      <c r="Z9" s="3"/>
      <c r="AA9" s="3"/>
      <c r="AB9" s="3"/>
      <c r="AC9" s="3"/>
    </row>
    <row r="10" spans="1:31" x14ac:dyDescent="0.25">
      <c r="A10" s="4">
        <v>16</v>
      </c>
      <c r="B10" s="4" t="s">
        <v>22</v>
      </c>
      <c r="D10">
        <v>43530</v>
      </c>
      <c r="E10" s="4">
        <f t="shared" ref="E10:E20" si="6">D10*1.5</f>
        <v>65295</v>
      </c>
      <c r="F10" s="3">
        <v>54405</v>
      </c>
      <c r="G10" s="4">
        <f t="shared" ref="G10:G16" si="7">F10*28.5</f>
        <v>1550542.5</v>
      </c>
      <c r="H10" s="4">
        <f>59952/58387</f>
        <v>1.0268039118296881</v>
      </c>
      <c r="I10" s="3">
        <v>12191</v>
      </c>
      <c r="J10" s="4">
        <f t="shared" ref="J10:J16" si="8">I10*100</f>
        <v>1219100</v>
      </c>
      <c r="K10" s="3">
        <v>54312</v>
      </c>
      <c r="L10" s="4">
        <f>(K10-H10*I10)*100</f>
        <v>4179423.3510884275</v>
      </c>
      <c r="M10">
        <f t="shared" ref="M10:M21" si="9">(LN(L10/G10))/(LN(J10/E10))</f>
        <v>0.33877158796936185</v>
      </c>
      <c r="N10">
        <f t="shared" ref="N10:N20" si="10">LOG((L10/J10)/(G10/E10),2)</f>
        <v>-2.7921693085380208</v>
      </c>
      <c r="O10">
        <f t="shared" ref="O10:O20" si="11">(LN(L10/G10))-(LN(J10/E10))</f>
        <v>-1.9353842838591409</v>
      </c>
      <c r="S10" s="3"/>
      <c r="T10" s="3"/>
      <c r="U10" s="3"/>
      <c r="V10" s="3"/>
      <c r="W10" s="3"/>
      <c r="X10" s="3"/>
      <c r="Y10" s="3"/>
      <c r="Z10" s="3"/>
      <c r="AA10" s="3"/>
      <c r="AB10" s="3"/>
      <c r="AC10" s="3"/>
    </row>
    <row r="11" spans="1:31" x14ac:dyDescent="0.25">
      <c r="A11" s="4">
        <v>16</v>
      </c>
      <c r="B11" s="4" t="s">
        <v>23</v>
      </c>
      <c r="D11">
        <v>41359</v>
      </c>
      <c r="E11" s="4">
        <f t="shared" si="6"/>
        <v>62038.5</v>
      </c>
      <c r="F11" s="3">
        <v>56865</v>
      </c>
      <c r="G11" s="4">
        <f t="shared" si="7"/>
        <v>1620652.5</v>
      </c>
      <c r="H11" s="4">
        <f>47204/50176</f>
        <v>0.94076849489795922</v>
      </c>
      <c r="I11" s="3">
        <v>14460</v>
      </c>
      <c r="J11" s="4">
        <f t="shared" si="8"/>
        <v>1446000</v>
      </c>
      <c r="K11" s="3">
        <v>53027</v>
      </c>
      <c r="L11" s="4">
        <f t="shared" ref="L11:L20" si="12">(K11-H11*I11)*100</f>
        <v>3942348.7563775512</v>
      </c>
      <c r="M11">
        <f t="shared" si="9"/>
        <v>0.28231309705560309</v>
      </c>
      <c r="N11">
        <f t="shared" si="10"/>
        <v>-3.2602793103783125</v>
      </c>
      <c r="O11">
        <f t="shared" si="11"/>
        <v>-2.2598534118266498</v>
      </c>
      <c r="S11" s="3"/>
      <c r="T11" s="3"/>
      <c r="U11" s="3"/>
      <c r="V11" s="3"/>
      <c r="W11" s="3"/>
      <c r="X11" s="3"/>
      <c r="Y11" s="3"/>
      <c r="Z11" s="3"/>
      <c r="AA11" s="3"/>
      <c r="AB11" s="3"/>
      <c r="AC11" s="3"/>
    </row>
    <row r="12" spans="1:31" x14ac:dyDescent="0.25">
      <c r="A12" s="4">
        <v>16</v>
      </c>
      <c r="B12" t="s">
        <v>24</v>
      </c>
      <c r="D12">
        <v>42057</v>
      </c>
      <c r="E12" s="4">
        <f t="shared" si="6"/>
        <v>63085.5</v>
      </c>
      <c r="F12" s="3">
        <v>53511</v>
      </c>
      <c r="G12" s="4">
        <f t="shared" si="7"/>
        <v>1525063.5</v>
      </c>
      <c r="H12" s="4">
        <f>53969/52067</f>
        <v>1.0365298557627671</v>
      </c>
      <c r="I12" s="3">
        <v>9401</v>
      </c>
      <c r="J12" s="4">
        <f t="shared" si="8"/>
        <v>940100</v>
      </c>
      <c r="K12" s="3">
        <v>49081</v>
      </c>
      <c r="L12" s="4">
        <f t="shared" si="12"/>
        <v>3933658.2825974226</v>
      </c>
      <c r="M12">
        <f t="shared" si="9"/>
        <v>0.35074419854585526</v>
      </c>
      <c r="N12">
        <f t="shared" si="10"/>
        <v>-2.5304315555764747</v>
      </c>
      <c r="O12">
        <f t="shared" si="11"/>
        <v>-1.7539614983477496</v>
      </c>
      <c r="S12" s="3"/>
      <c r="T12" s="3"/>
      <c r="U12" s="3"/>
      <c r="V12" s="3"/>
      <c r="W12" s="3"/>
      <c r="X12" s="3"/>
      <c r="Y12" s="3"/>
      <c r="Z12" s="3"/>
      <c r="AA12" s="3"/>
      <c r="AB12" s="3"/>
      <c r="AC12" s="3"/>
    </row>
    <row r="13" spans="1:31" x14ac:dyDescent="0.25">
      <c r="A13" s="4">
        <v>16</v>
      </c>
      <c r="B13" t="s">
        <v>25</v>
      </c>
      <c r="D13">
        <v>43789</v>
      </c>
      <c r="E13" s="4">
        <f t="shared" si="6"/>
        <v>65683.5</v>
      </c>
      <c r="F13" s="3">
        <v>55752</v>
      </c>
      <c r="G13" s="4">
        <f t="shared" si="7"/>
        <v>1588932</v>
      </c>
      <c r="H13" s="4">
        <f>51950/54669</f>
        <v>0.95026431798642741</v>
      </c>
      <c r="I13" s="3">
        <v>12640</v>
      </c>
      <c r="J13" s="4">
        <f t="shared" si="8"/>
        <v>1264000</v>
      </c>
      <c r="K13" s="3">
        <v>48074</v>
      </c>
      <c r="L13" s="4">
        <f t="shared" si="12"/>
        <v>3606265.9020651556</v>
      </c>
      <c r="M13">
        <f t="shared" si="9"/>
        <v>0.27715875369108178</v>
      </c>
      <c r="N13">
        <f t="shared" si="10"/>
        <v>-3.083873257859338</v>
      </c>
      <c r="O13">
        <f t="shared" si="11"/>
        <v>-2.1375780538894129</v>
      </c>
      <c r="P13" t="s">
        <v>58</v>
      </c>
      <c r="S13" s="3">
        <v>1.1024431546457916</v>
      </c>
      <c r="T13" s="3"/>
      <c r="U13" s="3"/>
      <c r="V13" s="3"/>
      <c r="W13" s="3"/>
      <c r="X13" s="3"/>
      <c r="Y13" s="3"/>
      <c r="Z13" s="3"/>
      <c r="AA13" s="3"/>
      <c r="AB13" s="3"/>
      <c r="AC13" s="3"/>
    </row>
    <row r="14" spans="1:31" x14ac:dyDescent="0.25">
      <c r="A14">
        <v>16</v>
      </c>
      <c r="B14" s="4" t="s">
        <v>26</v>
      </c>
      <c r="D14">
        <v>42015</v>
      </c>
      <c r="E14" s="4">
        <f t="shared" si="6"/>
        <v>63022.5</v>
      </c>
      <c r="F14" s="3">
        <v>54562</v>
      </c>
      <c r="G14" s="4">
        <f t="shared" si="7"/>
        <v>1555017</v>
      </c>
      <c r="H14" s="4">
        <f>50012/50218</f>
        <v>0.99589788522043887</v>
      </c>
      <c r="I14" s="3">
        <v>12666</v>
      </c>
      <c r="J14" s="4">
        <f t="shared" si="8"/>
        <v>1266600</v>
      </c>
      <c r="K14" s="3">
        <v>57672</v>
      </c>
      <c r="L14" s="4">
        <f t="shared" si="12"/>
        <v>4505795.738579792</v>
      </c>
      <c r="M14">
        <f t="shared" si="9"/>
        <v>0.35455514469749921</v>
      </c>
      <c r="N14">
        <f t="shared" si="10"/>
        <v>-2.7940986286340954</v>
      </c>
      <c r="O14">
        <f t="shared" si="11"/>
        <v>-1.936721586644133</v>
      </c>
      <c r="S14" s="3"/>
      <c r="T14" s="3"/>
      <c r="U14" s="3"/>
      <c r="V14" s="3"/>
      <c r="W14" s="3"/>
      <c r="X14" s="3"/>
      <c r="Y14" s="3"/>
      <c r="Z14" s="3"/>
      <c r="AA14" s="3"/>
      <c r="AB14" s="3"/>
      <c r="AC14" s="3"/>
    </row>
    <row r="15" spans="1:31" x14ac:dyDescent="0.25">
      <c r="A15" s="4">
        <v>16</v>
      </c>
      <c r="B15" s="4" t="s">
        <v>45</v>
      </c>
      <c r="D15">
        <v>39698</v>
      </c>
      <c r="E15" s="4">
        <f t="shared" si="6"/>
        <v>59547</v>
      </c>
      <c r="F15" s="3">
        <v>55233</v>
      </c>
      <c r="G15" s="4">
        <f t="shared" si="7"/>
        <v>1574140.5</v>
      </c>
      <c r="H15" s="4">
        <f>53443/51227</f>
        <v>1.0432584379331211</v>
      </c>
      <c r="I15" s="3">
        <v>11002</v>
      </c>
      <c r="J15" s="4">
        <f t="shared" si="8"/>
        <v>1100200</v>
      </c>
      <c r="K15" s="3">
        <v>58326</v>
      </c>
      <c r="L15" s="4">
        <f t="shared" si="12"/>
        <v>4684807.0665859804</v>
      </c>
      <c r="M15">
        <f t="shared" si="9"/>
        <v>0.37394901464227498</v>
      </c>
      <c r="N15">
        <f t="shared" si="10"/>
        <v>-2.6341678509788018</v>
      </c>
      <c r="O15">
        <f t="shared" si="11"/>
        <v>-1.8258660190276066</v>
      </c>
      <c r="S15" s="3"/>
      <c r="T15" s="3"/>
      <c r="U15" s="3"/>
      <c r="V15" s="3"/>
      <c r="W15" s="3"/>
      <c r="X15" s="3"/>
      <c r="Y15" s="3"/>
      <c r="Z15" s="3"/>
      <c r="AA15" s="3"/>
      <c r="AB15" s="3"/>
      <c r="AC15" s="3"/>
    </row>
    <row r="16" spans="1:31" x14ac:dyDescent="0.25">
      <c r="A16" s="4">
        <v>16</v>
      </c>
      <c r="B16" s="4" t="s">
        <v>48</v>
      </c>
      <c r="D16">
        <v>50176</v>
      </c>
      <c r="E16" s="4">
        <f t="shared" si="6"/>
        <v>75264</v>
      </c>
      <c r="F16" s="3">
        <v>52700</v>
      </c>
      <c r="G16" s="4">
        <f t="shared" si="7"/>
        <v>1501950</v>
      </c>
      <c r="H16" s="4">
        <f>46727/44205</f>
        <v>1.0570523696414433</v>
      </c>
      <c r="I16" s="3">
        <v>13105</v>
      </c>
      <c r="J16" s="4">
        <f t="shared" si="8"/>
        <v>1310500</v>
      </c>
      <c r="K16" s="3">
        <v>59570</v>
      </c>
      <c r="L16" s="4">
        <f t="shared" si="12"/>
        <v>4571732.8695848882</v>
      </c>
      <c r="M16">
        <f t="shared" si="9"/>
        <v>0.38959219598887346</v>
      </c>
      <c r="N16">
        <f t="shared" si="10"/>
        <v>-2.5161092563451146</v>
      </c>
      <c r="O16">
        <f t="shared" si="11"/>
        <v>-1.7440340370163971</v>
      </c>
      <c r="S16" s="3"/>
      <c r="T16" s="3"/>
      <c r="U16" s="3"/>
      <c r="V16" s="3"/>
      <c r="W16" s="3"/>
      <c r="X16" s="3"/>
      <c r="Y16" s="3"/>
      <c r="Z16" s="3"/>
      <c r="AA16" s="3"/>
      <c r="AB16" s="3"/>
      <c r="AC16" s="3"/>
    </row>
    <row r="17" spans="1:29" x14ac:dyDescent="0.25">
      <c r="A17" s="4">
        <v>16</v>
      </c>
      <c r="B17" s="4" t="s">
        <v>49</v>
      </c>
      <c r="C17" s="4"/>
      <c r="D17" s="4">
        <v>44392</v>
      </c>
      <c r="E17" s="4">
        <f t="shared" si="6"/>
        <v>66588</v>
      </c>
      <c r="F17" s="10">
        <v>47776</v>
      </c>
      <c r="G17" s="4">
        <f>F17*28.5</f>
        <v>1361616</v>
      </c>
      <c r="H17" s="4">
        <f>48352/45772</f>
        <v>1.0563663374989076</v>
      </c>
      <c r="I17" s="4">
        <v>9270</v>
      </c>
      <c r="J17" s="4">
        <f>I17*100</f>
        <v>927000</v>
      </c>
      <c r="K17" s="4">
        <v>49557</v>
      </c>
      <c r="L17" s="4">
        <f t="shared" si="12"/>
        <v>3976448.4051385121</v>
      </c>
      <c r="M17">
        <f t="shared" si="9"/>
        <v>0.40696626173707906</v>
      </c>
      <c r="N17">
        <f t="shared" si="10"/>
        <v>-2.2530746679717071</v>
      </c>
      <c r="O17">
        <f t="shared" si="11"/>
        <v>-1.5617123536956239</v>
      </c>
      <c r="U17" s="3"/>
      <c r="V17" s="3"/>
      <c r="W17" s="3"/>
      <c r="X17" s="3"/>
      <c r="Y17" s="3"/>
      <c r="Z17" s="3"/>
      <c r="AA17" s="3"/>
      <c r="AB17" s="3"/>
      <c r="AC17" s="3"/>
    </row>
    <row r="18" spans="1:29" x14ac:dyDescent="0.25">
      <c r="A18" s="4">
        <v>16</v>
      </c>
      <c r="B18" s="4" t="s">
        <v>50</v>
      </c>
      <c r="C18" s="4"/>
      <c r="D18" s="4">
        <v>44550</v>
      </c>
      <c r="E18" s="4">
        <f t="shared" si="6"/>
        <v>66825</v>
      </c>
      <c r="F18" s="10">
        <v>52394</v>
      </c>
      <c r="G18" s="4">
        <f t="shared" ref="G18:G21" si="13">F18*28.5</f>
        <v>1493229</v>
      </c>
      <c r="H18" s="4">
        <f>52474/49580</f>
        <v>1.0583703106091167</v>
      </c>
      <c r="I18" s="4">
        <v>10840</v>
      </c>
      <c r="J18" s="4">
        <f t="shared" ref="J18:J34" si="14">I18*100</f>
        <v>1084000</v>
      </c>
      <c r="K18" s="4">
        <v>57228</v>
      </c>
      <c r="L18" s="4">
        <f t="shared" si="12"/>
        <v>4575526.5832997179</v>
      </c>
      <c r="M18">
        <f t="shared" si="9"/>
        <v>0.40188295137162278</v>
      </c>
      <c r="N18">
        <f t="shared" si="10"/>
        <v>-2.404330658311491</v>
      </c>
      <c r="O18">
        <f t="shared" si="11"/>
        <v>-1.6665550169424472</v>
      </c>
      <c r="S18" s="3"/>
      <c r="T18" s="3"/>
      <c r="U18" s="3"/>
      <c r="V18" s="3"/>
      <c r="W18" s="3"/>
      <c r="X18" s="3"/>
      <c r="Y18" s="3"/>
      <c r="Z18" s="3"/>
      <c r="AA18" s="3"/>
      <c r="AB18" s="3"/>
      <c r="AC18" s="3"/>
    </row>
    <row r="19" spans="1:29" x14ac:dyDescent="0.25">
      <c r="A19">
        <v>16</v>
      </c>
      <c r="B19" s="4" t="s">
        <v>51</v>
      </c>
      <c r="D19" s="4">
        <v>44116</v>
      </c>
      <c r="E19" s="4">
        <f t="shared" si="6"/>
        <v>66174</v>
      </c>
      <c r="F19" s="10">
        <v>51503</v>
      </c>
      <c r="G19" s="4">
        <f t="shared" si="13"/>
        <v>1467835.5</v>
      </c>
      <c r="H19" s="4">
        <f>50861/48686</f>
        <v>1.0446740336030891</v>
      </c>
      <c r="I19">
        <v>9725</v>
      </c>
      <c r="J19">
        <f t="shared" si="14"/>
        <v>972500</v>
      </c>
      <c r="K19">
        <v>55408</v>
      </c>
      <c r="L19" s="4">
        <f t="shared" si="12"/>
        <v>4524854.5023209965</v>
      </c>
      <c r="M19">
        <f t="shared" si="9"/>
        <v>0.4188881946269854</v>
      </c>
      <c r="N19">
        <f t="shared" si="10"/>
        <v>-2.2531807485964048</v>
      </c>
      <c r="O19">
        <f t="shared" si="11"/>
        <v>-1.5617858831815448</v>
      </c>
    </row>
    <row r="20" spans="1:29" x14ac:dyDescent="0.25">
      <c r="A20" s="4">
        <v>16</v>
      </c>
      <c r="B20" s="4" t="s">
        <v>52</v>
      </c>
      <c r="C20" s="4"/>
      <c r="D20" s="4">
        <v>44751</v>
      </c>
      <c r="E20" s="4">
        <f t="shared" si="6"/>
        <v>67126.5</v>
      </c>
      <c r="F20" s="10">
        <v>50853</v>
      </c>
      <c r="G20" s="4">
        <f t="shared" si="13"/>
        <v>1449310.5</v>
      </c>
      <c r="H20" s="4">
        <f>51847/54008</f>
        <v>0.95998740927270032</v>
      </c>
      <c r="I20" s="4">
        <v>9134</v>
      </c>
      <c r="J20" s="4">
        <f t="shared" si="14"/>
        <v>913400</v>
      </c>
      <c r="K20" s="4">
        <v>56200</v>
      </c>
      <c r="L20" s="4">
        <f t="shared" si="12"/>
        <v>4743147.5003703153</v>
      </c>
      <c r="M20">
        <f t="shared" si="9"/>
        <v>0.45415432804980116</v>
      </c>
      <c r="N20">
        <f t="shared" si="10"/>
        <v>-2.0558144401564951</v>
      </c>
      <c r="O20">
        <f t="shared" si="11"/>
        <v>-1.424981982948897</v>
      </c>
      <c r="P20" t="s">
        <v>40</v>
      </c>
      <c r="Q20" t="s">
        <v>41</v>
      </c>
      <c r="R20" t="s">
        <v>42</v>
      </c>
      <c r="S20" t="s">
        <v>43</v>
      </c>
      <c r="U20" s="3"/>
      <c r="V20" s="3"/>
      <c r="W20" s="3"/>
      <c r="X20" s="3"/>
      <c r="Y20" s="3"/>
      <c r="Z20" s="3"/>
      <c r="AA20" s="3"/>
      <c r="AB20" s="3"/>
      <c r="AC20" s="3"/>
    </row>
    <row r="21" spans="1:29" s="5" customFormat="1" x14ac:dyDescent="0.25">
      <c r="A21">
        <v>16</v>
      </c>
      <c r="B21" t="s">
        <v>53</v>
      </c>
      <c r="C21"/>
      <c r="D21">
        <v>44614</v>
      </c>
      <c r="E21">
        <f>D21*1.5</f>
        <v>66921</v>
      </c>
      <c r="F21">
        <v>50089</v>
      </c>
      <c r="G21">
        <f t="shared" si="13"/>
        <v>1427536.5</v>
      </c>
      <c r="H21">
        <f>39440/35806</f>
        <v>1.1014913701614255</v>
      </c>
      <c r="I21">
        <v>5246</v>
      </c>
      <c r="J21">
        <f t="shared" si="14"/>
        <v>524600</v>
      </c>
      <c r="K21">
        <v>50062</v>
      </c>
      <c r="L21">
        <f>(K21-H21*I21)*100</f>
        <v>4428357.627213316</v>
      </c>
      <c r="M21">
        <f t="shared" si="9"/>
        <v>0.54978668524309238</v>
      </c>
      <c r="N21">
        <f t="shared" ref="N21" si="15">LOG((L21/J21)/(G21/E21),2)</f>
        <v>-1.3374427958009558</v>
      </c>
      <c r="O21">
        <f t="shared" ref="O21" si="16">(LN(L21/G21))-(LN(J21/E21))</f>
        <v>-0.92704470306964315</v>
      </c>
      <c r="P21" s="5">
        <f>AVERAGE(M10:M21)</f>
        <v>0.38323020113492762</v>
      </c>
      <c r="Q21" s="5">
        <f>_xlfn.STDEV.S(M10:M21)</f>
        <v>7.4082453517946456E-2</v>
      </c>
      <c r="R21" s="5">
        <f>Q21/SQRT(COUNT(M10:M21))</f>
        <v>2.1385762240407162E-2</v>
      </c>
      <c r="S21" s="3">
        <f>Q21/P21</f>
        <v>0.19331058277388613</v>
      </c>
      <c r="T21" s="3"/>
      <c r="U21" s="3"/>
      <c r="V21" s="3"/>
      <c r="W21" s="3"/>
      <c r="X21" s="3"/>
      <c r="Y21" s="3"/>
      <c r="Z21" s="3"/>
      <c r="AA21" s="3"/>
      <c r="AB21" s="3"/>
      <c r="AC21" s="3"/>
    </row>
    <row r="22" spans="1:29" s="1" customFormat="1" x14ac:dyDescent="0.25">
      <c r="E22" s="9"/>
      <c r="F22" s="9"/>
      <c r="G22" s="9"/>
      <c r="H22" s="9"/>
      <c r="I22" s="9"/>
      <c r="J22" s="4"/>
      <c r="K22" s="9"/>
      <c r="L22" s="4"/>
      <c r="M22"/>
      <c r="N22"/>
      <c r="O22"/>
      <c r="P22" s="1">
        <f>P21/$S$13</f>
        <v>0.34761901284430147</v>
      </c>
      <c r="Q22" s="1">
        <f t="shared" ref="Q22:R22" si="17">Q21/$S$13</f>
        <v>6.7198433956214915E-2</v>
      </c>
      <c r="R22" s="1">
        <f t="shared" si="17"/>
        <v>1.9398516966870987E-2</v>
      </c>
      <c r="S22" s="9"/>
      <c r="T22" s="3">
        <f>2*R22</f>
        <v>3.8797033933741974E-2</v>
      </c>
      <c r="U22" s="9"/>
      <c r="V22" s="9"/>
      <c r="W22" s="9"/>
      <c r="X22" s="9"/>
      <c r="Y22" s="9"/>
      <c r="Z22" s="9"/>
      <c r="AA22" s="9"/>
      <c r="AB22" s="9"/>
      <c r="AC22" s="9"/>
    </row>
    <row r="23" spans="1:29" x14ac:dyDescent="0.25">
      <c r="A23">
        <v>17</v>
      </c>
      <c r="B23" s="4" t="s">
        <v>22</v>
      </c>
      <c r="D23">
        <v>43530</v>
      </c>
      <c r="E23" s="3">
        <f t="shared" ref="E23:E27" si="18">1.5*D23</f>
        <v>65295</v>
      </c>
      <c r="F23" s="3">
        <v>62837</v>
      </c>
      <c r="G23">
        <f t="shared" ref="G23:G26" si="19">F23*16.5</f>
        <v>1036810.5</v>
      </c>
      <c r="H23">
        <f>60150/58387</f>
        <v>1.0301950776713995</v>
      </c>
      <c r="I23" s="3">
        <v>9118</v>
      </c>
      <c r="J23" s="4">
        <f t="shared" si="14"/>
        <v>911800</v>
      </c>
      <c r="K23" s="3">
        <v>38207</v>
      </c>
      <c r="L23" s="4">
        <f t="shared" ref="L23:L34" si="20">(K23-H23*I23)*100</f>
        <v>2881368.1281792182</v>
      </c>
      <c r="M23">
        <f t="shared" ref="M23:M34" si="21">(LN(L23/G23))/(LN(J23/E23))</f>
        <v>0.3876783745334606</v>
      </c>
      <c r="N23">
        <f t="shared" ref="N23:N34" si="22">LOG((L23/J23)/(G23/E23),2)</f>
        <v>-2.3290712238425582</v>
      </c>
      <c r="O23">
        <f t="shared" ref="O23:O34" si="23">(LN(L23/G23))-(LN(J23/E23))</f>
        <v>-1.6143891521297704</v>
      </c>
      <c r="S23" s="3"/>
      <c r="T23" s="3"/>
      <c r="U23" s="3"/>
      <c r="V23" s="3"/>
      <c r="W23" s="3"/>
      <c r="X23" s="3"/>
      <c r="Y23" s="3"/>
      <c r="Z23" s="3"/>
      <c r="AA23" s="3"/>
      <c r="AB23" s="3"/>
      <c r="AC23" s="3"/>
    </row>
    <row r="24" spans="1:29" x14ac:dyDescent="0.25">
      <c r="A24">
        <v>17</v>
      </c>
      <c r="B24" s="4" t="s">
        <v>23</v>
      </c>
      <c r="D24">
        <v>41359</v>
      </c>
      <c r="E24" s="3">
        <f t="shared" si="18"/>
        <v>62038.5</v>
      </c>
      <c r="F24" s="3">
        <v>60297</v>
      </c>
      <c r="G24">
        <f t="shared" si="19"/>
        <v>994900.5</v>
      </c>
      <c r="H24">
        <f>47292/50176</f>
        <v>0.9425223214285714</v>
      </c>
      <c r="I24" s="3">
        <v>11382</v>
      </c>
      <c r="J24" s="4">
        <f t="shared" si="14"/>
        <v>1138200</v>
      </c>
      <c r="K24" s="3">
        <v>40198</v>
      </c>
      <c r="L24" s="4">
        <f t="shared" si="20"/>
        <v>2947021.09375</v>
      </c>
      <c r="M24">
        <f t="shared" si="21"/>
        <v>0.37323483313555089</v>
      </c>
      <c r="N24">
        <f t="shared" si="22"/>
        <v>-2.6308132370573993</v>
      </c>
      <c r="O24">
        <f t="shared" si="23"/>
        <v>-1.8235407778461192</v>
      </c>
      <c r="S24" s="3"/>
      <c r="T24" s="3"/>
      <c r="U24" s="3"/>
      <c r="V24" s="3"/>
      <c r="W24" s="3"/>
      <c r="X24" s="3"/>
      <c r="Y24" s="3"/>
      <c r="Z24" s="3"/>
      <c r="AA24" s="3"/>
      <c r="AB24" s="3"/>
      <c r="AC24" s="3"/>
    </row>
    <row r="25" spans="1:29" x14ac:dyDescent="0.25">
      <c r="A25">
        <v>17</v>
      </c>
      <c r="B25" t="s">
        <v>24</v>
      </c>
      <c r="D25">
        <v>42057</v>
      </c>
      <c r="E25" s="3">
        <f t="shared" si="18"/>
        <v>63085.5</v>
      </c>
      <c r="F25" s="3">
        <v>65088</v>
      </c>
      <c r="G25">
        <f t="shared" si="19"/>
        <v>1073952</v>
      </c>
      <c r="H25">
        <f>54780/52067</f>
        <v>1.0521059404229167</v>
      </c>
      <c r="I25" s="3">
        <v>8956</v>
      </c>
      <c r="J25" s="4">
        <f t="shared" si="14"/>
        <v>895600</v>
      </c>
      <c r="K25" s="3">
        <v>43083</v>
      </c>
      <c r="L25" s="4">
        <f t="shared" si="20"/>
        <v>3366033.9197572358</v>
      </c>
      <c r="M25">
        <f t="shared" si="21"/>
        <v>0.43060256557774074</v>
      </c>
      <c r="N25">
        <f t="shared" si="22"/>
        <v>-2.1793539776117457</v>
      </c>
      <c r="O25">
        <f t="shared" si="23"/>
        <v>-1.5106130650236835</v>
      </c>
      <c r="S25" s="3"/>
      <c r="T25" s="3"/>
      <c r="U25" s="3"/>
      <c r="V25" s="3"/>
      <c r="W25" s="3"/>
      <c r="X25" s="3"/>
      <c r="Y25" s="3"/>
      <c r="Z25" s="3"/>
      <c r="AA25" s="3"/>
      <c r="AB25" s="3"/>
      <c r="AC25" s="3"/>
    </row>
    <row r="26" spans="1:29" x14ac:dyDescent="0.25">
      <c r="A26">
        <v>17</v>
      </c>
      <c r="B26" t="s">
        <v>25</v>
      </c>
      <c r="D26">
        <v>43789</v>
      </c>
      <c r="E26" s="3">
        <f t="shared" si="18"/>
        <v>65683.5</v>
      </c>
      <c r="F26" s="3">
        <v>64780</v>
      </c>
      <c r="G26">
        <f t="shared" si="19"/>
        <v>1068870</v>
      </c>
      <c r="H26">
        <f>52520/54669</f>
        <v>0.96069070222612452</v>
      </c>
      <c r="I26" s="3">
        <v>10382</v>
      </c>
      <c r="J26" s="4">
        <f t="shared" si="14"/>
        <v>1038200</v>
      </c>
      <c r="K26" s="3">
        <v>44103</v>
      </c>
      <c r="L26" s="4">
        <f t="shared" si="20"/>
        <v>3412910.9129488375</v>
      </c>
      <c r="M26">
        <f t="shared" si="21"/>
        <v>0.42057862851690281</v>
      </c>
      <c r="N26">
        <f t="shared" si="22"/>
        <v>-2.3074932196349374</v>
      </c>
      <c r="O26">
        <f t="shared" si="23"/>
        <v>-1.5994324193511475</v>
      </c>
      <c r="S26" s="3"/>
      <c r="T26" s="3"/>
      <c r="U26" s="3"/>
      <c r="V26" s="3"/>
      <c r="W26" s="3"/>
      <c r="X26" s="3"/>
      <c r="Y26" s="3"/>
      <c r="Z26" s="3"/>
      <c r="AA26" s="3"/>
      <c r="AB26" s="3"/>
      <c r="AC26" s="3"/>
    </row>
    <row r="27" spans="1:29" x14ac:dyDescent="0.25">
      <c r="A27">
        <v>17</v>
      </c>
      <c r="B27" t="s">
        <v>26</v>
      </c>
      <c r="D27">
        <v>42015</v>
      </c>
      <c r="E27" s="3">
        <f t="shared" si="18"/>
        <v>63022.5</v>
      </c>
      <c r="F27" s="3">
        <v>64430</v>
      </c>
      <c r="G27">
        <f>F27*16.5</f>
        <v>1063095</v>
      </c>
      <c r="H27">
        <f>50619/50218</f>
        <v>1.0079851845951651</v>
      </c>
      <c r="I27" s="3">
        <v>10289</v>
      </c>
      <c r="J27" s="4">
        <f t="shared" si="14"/>
        <v>1028900</v>
      </c>
      <c r="K27">
        <v>43105</v>
      </c>
      <c r="L27" s="4">
        <f t="shared" si="20"/>
        <v>3273384.0435700347</v>
      </c>
      <c r="M27">
        <f t="shared" si="21"/>
        <v>0.40269925799512596</v>
      </c>
      <c r="N27">
        <f t="shared" si="22"/>
        <v>-2.406579627312162</v>
      </c>
      <c r="O27">
        <f t="shared" si="23"/>
        <v>-1.6681138834644289</v>
      </c>
    </row>
    <row r="28" spans="1:29" x14ac:dyDescent="0.25">
      <c r="A28">
        <v>17</v>
      </c>
      <c r="B28" s="4" t="s">
        <v>45</v>
      </c>
      <c r="D28">
        <v>39698</v>
      </c>
      <c r="E28" s="3">
        <f t="shared" ref="E28:E34" si="24">1.5*D28</f>
        <v>59547</v>
      </c>
      <c r="F28" s="3">
        <v>58828</v>
      </c>
      <c r="G28">
        <f t="shared" ref="G28:G34" si="25">F28*16.5</f>
        <v>970662</v>
      </c>
      <c r="H28">
        <f>54202/51227</f>
        <v>1.0580748433443301</v>
      </c>
      <c r="I28" s="3">
        <v>9136</v>
      </c>
      <c r="J28" s="4">
        <f t="shared" si="14"/>
        <v>913600</v>
      </c>
      <c r="K28" s="3">
        <v>41911</v>
      </c>
      <c r="L28" s="4">
        <f t="shared" si="20"/>
        <v>3224442.8231206201</v>
      </c>
      <c r="M28">
        <f t="shared" si="21"/>
        <v>0.43965622823563666</v>
      </c>
      <c r="N28">
        <f t="shared" si="22"/>
        <v>-2.207452950515647</v>
      </c>
      <c r="O28">
        <f t="shared" si="23"/>
        <v>-1.5300897888686533</v>
      </c>
      <c r="S28" s="3"/>
      <c r="T28" s="3"/>
      <c r="U28" s="3"/>
      <c r="V28" s="3"/>
      <c r="W28" s="3"/>
      <c r="X28" s="3"/>
      <c r="Y28" s="3"/>
      <c r="Z28" s="3"/>
      <c r="AA28" s="3"/>
      <c r="AB28" s="3"/>
      <c r="AC28" s="3"/>
    </row>
    <row r="29" spans="1:29" x14ac:dyDescent="0.25">
      <c r="A29">
        <v>17</v>
      </c>
      <c r="B29" s="4" t="s">
        <v>48</v>
      </c>
      <c r="D29">
        <v>50176</v>
      </c>
      <c r="E29" s="3">
        <f t="shared" si="24"/>
        <v>75264</v>
      </c>
      <c r="F29" s="3">
        <v>59127</v>
      </c>
      <c r="G29">
        <f t="shared" si="25"/>
        <v>975595.5</v>
      </c>
      <c r="H29">
        <f>47662/44205</f>
        <v>1.0782038230969346</v>
      </c>
      <c r="I29" s="3">
        <v>8083</v>
      </c>
      <c r="J29" s="4">
        <f t="shared" si="14"/>
        <v>808300</v>
      </c>
      <c r="K29" s="3">
        <v>48255</v>
      </c>
      <c r="L29" s="4">
        <f t="shared" si="20"/>
        <v>3953987.8497907477</v>
      </c>
      <c r="M29">
        <f t="shared" si="21"/>
        <v>0.5894997261163667</v>
      </c>
      <c r="N29">
        <f t="shared" si="22"/>
        <v>-1.4059055481783493</v>
      </c>
      <c r="O29">
        <f t="shared" si="23"/>
        <v>-0.97449946685340705</v>
      </c>
      <c r="S29" s="3"/>
      <c r="T29" s="3"/>
      <c r="U29" s="3"/>
      <c r="V29" s="3"/>
      <c r="W29" s="3"/>
      <c r="X29" s="3"/>
      <c r="Y29" s="3"/>
      <c r="Z29" s="3"/>
      <c r="AA29" s="3"/>
      <c r="AB29" s="3"/>
      <c r="AC29" s="3"/>
    </row>
    <row r="30" spans="1:29" x14ac:dyDescent="0.25">
      <c r="A30">
        <v>17</v>
      </c>
      <c r="B30" s="4" t="s">
        <v>49</v>
      </c>
      <c r="D30" s="4">
        <v>44392</v>
      </c>
      <c r="E30" s="3">
        <f t="shared" si="24"/>
        <v>66588</v>
      </c>
      <c r="F30" s="3">
        <v>58643</v>
      </c>
      <c r="G30">
        <f t="shared" si="25"/>
        <v>967609.5</v>
      </c>
      <c r="H30">
        <f>49079/45772</f>
        <v>1.0722494101197237</v>
      </c>
      <c r="I30" s="3">
        <v>9953</v>
      </c>
      <c r="J30" s="4">
        <f t="shared" si="14"/>
        <v>995300</v>
      </c>
      <c r="K30" s="3">
        <v>41091</v>
      </c>
      <c r="L30" s="4">
        <f t="shared" si="20"/>
        <v>3041890.1621078388</v>
      </c>
      <c r="M30">
        <f t="shared" si="21"/>
        <v>0.42351539100136576</v>
      </c>
      <c r="N30">
        <f t="shared" si="22"/>
        <v>-2.24932610793946</v>
      </c>
      <c r="O30">
        <f t="shared" si="23"/>
        <v>-1.5591140498781115</v>
      </c>
      <c r="S30" s="3"/>
      <c r="T30" s="3"/>
      <c r="U30" s="3"/>
      <c r="V30" s="3"/>
      <c r="W30" s="3"/>
      <c r="X30" s="3"/>
      <c r="Y30" s="3"/>
      <c r="Z30" s="3"/>
      <c r="AA30" s="3"/>
      <c r="AB30" s="3"/>
      <c r="AC30" s="3"/>
    </row>
    <row r="31" spans="1:29" x14ac:dyDescent="0.25">
      <c r="A31">
        <v>17</v>
      </c>
      <c r="B31" s="4" t="s">
        <v>50</v>
      </c>
      <c r="D31" s="4">
        <v>44550</v>
      </c>
      <c r="E31" s="3">
        <f t="shared" si="24"/>
        <v>66825</v>
      </c>
      <c r="F31" s="3">
        <v>59409</v>
      </c>
      <c r="G31">
        <f t="shared" si="25"/>
        <v>980248.5</v>
      </c>
      <c r="H31">
        <f>52424/49580</f>
        <v>1.0573618394513917</v>
      </c>
      <c r="I31" s="3">
        <v>8849</v>
      </c>
      <c r="J31" s="4">
        <f t="shared" si="14"/>
        <v>884900</v>
      </c>
      <c r="K31" s="3">
        <v>37246</v>
      </c>
      <c r="L31" s="4">
        <f t="shared" si="20"/>
        <v>2788940.5082694632</v>
      </c>
      <c r="M31">
        <f t="shared" si="21"/>
        <v>0.40474258926988216</v>
      </c>
      <c r="N31">
        <f t="shared" si="22"/>
        <v>-2.2185568660927539</v>
      </c>
      <c r="O31">
        <f t="shared" si="23"/>
        <v>-1.5377864366441008</v>
      </c>
      <c r="S31" s="3"/>
      <c r="T31" s="3"/>
      <c r="U31" s="3"/>
      <c r="V31" s="3"/>
      <c r="W31" s="3"/>
      <c r="X31" s="3"/>
      <c r="Y31" s="3"/>
      <c r="Z31" s="3"/>
      <c r="AA31" s="3"/>
      <c r="AB31" s="3"/>
      <c r="AC31" s="3"/>
    </row>
    <row r="32" spans="1:29" x14ac:dyDescent="0.25">
      <c r="A32">
        <v>17</v>
      </c>
      <c r="B32" s="4" t="s">
        <v>51</v>
      </c>
      <c r="D32" s="4">
        <v>44116</v>
      </c>
      <c r="E32" s="3">
        <f t="shared" si="24"/>
        <v>66174</v>
      </c>
      <c r="F32" s="3">
        <v>59084</v>
      </c>
      <c r="G32">
        <f t="shared" si="25"/>
        <v>974886</v>
      </c>
      <c r="H32">
        <f>51722/48686</f>
        <v>1.0623587889742432</v>
      </c>
      <c r="I32" s="3">
        <v>8457</v>
      </c>
      <c r="J32" s="4">
        <f t="shared" si="14"/>
        <v>845700</v>
      </c>
      <c r="K32" s="3">
        <v>42033</v>
      </c>
      <c r="L32" s="4">
        <f t="shared" si="20"/>
        <v>3304863.1721644821</v>
      </c>
      <c r="M32">
        <f t="shared" si="21"/>
        <v>0.47915569943924335</v>
      </c>
      <c r="N32">
        <f t="shared" si="22"/>
        <v>-1.9145244723826227</v>
      </c>
      <c r="O32">
        <f t="shared" si="23"/>
        <v>-1.3270472401450313</v>
      </c>
      <c r="S32" s="3"/>
      <c r="T32" s="3"/>
      <c r="U32" s="3"/>
      <c r="V32" s="3"/>
      <c r="W32" s="3"/>
      <c r="X32" s="3"/>
      <c r="Y32" s="3"/>
      <c r="Z32" s="3"/>
      <c r="AA32" s="3"/>
      <c r="AB32" s="3"/>
      <c r="AC32" s="3"/>
    </row>
    <row r="33" spans="1:29" x14ac:dyDescent="0.25">
      <c r="A33">
        <v>17</v>
      </c>
      <c r="B33" s="4" t="s">
        <v>52</v>
      </c>
      <c r="D33" s="4">
        <v>44751</v>
      </c>
      <c r="E33" s="3">
        <f t="shared" si="24"/>
        <v>67126.5</v>
      </c>
      <c r="F33" s="3">
        <v>63690</v>
      </c>
      <c r="G33">
        <f t="shared" si="25"/>
        <v>1050885</v>
      </c>
      <c r="H33">
        <f>52558/53500</f>
        <v>0.98239252336448601</v>
      </c>
      <c r="I33" s="3">
        <v>9796</v>
      </c>
      <c r="J33" s="4">
        <f t="shared" si="14"/>
        <v>979600</v>
      </c>
      <c r="K33" s="3">
        <v>43458</v>
      </c>
      <c r="L33" s="4">
        <f t="shared" si="20"/>
        <v>3383448.2841121498</v>
      </c>
      <c r="M33">
        <f t="shared" si="21"/>
        <v>0.43620003232774102</v>
      </c>
      <c r="N33">
        <f t="shared" si="22"/>
        <v>-2.1803489114311372</v>
      </c>
      <c r="O33">
        <f t="shared" si="23"/>
        <v>-1.5113027005954383</v>
      </c>
      <c r="P33" t="s">
        <v>40</v>
      </c>
      <c r="Q33" t="s">
        <v>41</v>
      </c>
      <c r="R33" t="s">
        <v>42</v>
      </c>
      <c r="S33" t="s">
        <v>43</v>
      </c>
      <c r="T33" s="3"/>
      <c r="U33" s="3"/>
      <c r="V33" s="3"/>
      <c r="W33" s="3"/>
      <c r="X33" s="3"/>
      <c r="Y33" s="3"/>
      <c r="Z33" s="3"/>
      <c r="AA33" s="3"/>
      <c r="AB33" s="3"/>
      <c r="AC33" s="3"/>
    </row>
    <row r="34" spans="1:29" x14ac:dyDescent="0.25">
      <c r="A34">
        <v>17</v>
      </c>
      <c r="B34" s="4" t="s">
        <v>53</v>
      </c>
      <c r="D34">
        <v>44614</v>
      </c>
      <c r="E34" s="3">
        <f t="shared" si="24"/>
        <v>66921</v>
      </c>
      <c r="F34" s="3">
        <v>64886</v>
      </c>
      <c r="G34">
        <f t="shared" si="25"/>
        <v>1070619</v>
      </c>
      <c r="H34">
        <f>40003/35806</f>
        <v>1.1172149919007988</v>
      </c>
      <c r="I34" s="3">
        <v>6206</v>
      </c>
      <c r="J34" s="4">
        <f t="shared" si="14"/>
        <v>620600</v>
      </c>
      <c r="K34" s="3">
        <v>37899</v>
      </c>
      <c r="L34" s="4">
        <f t="shared" si="20"/>
        <v>3096556.376026364</v>
      </c>
      <c r="M34">
        <f t="shared" si="21"/>
        <v>0.47686157155773545</v>
      </c>
      <c r="N34">
        <f t="shared" si="22"/>
        <v>-1.680913237109205</v>
      </c>
      <c r="O34">
        <f t="shared" si="23"/>
        <v>-1.1651202710681363</v>
      </c>
      <c r="P34" s="5">
        <f>AVERAGE(M23:M34)</f>
        <v>0.43870207480889595</v>
      </c>
      <c r="Q34" s="5">
        <f>_xlfn.STDEV.S(M23:M34)</f>
        <v>5.7051228273061978E-2</v>
      </c>
      <c r="R34" s="5">
        <f>Q34/SQRT(COUNT(M23:M34))</f>
        <v>1.6469271000525563E-2</v>
      </c>
      <c r="S34" s="3">
        <f>Q34/P34</f>
        <v>0.13004549453729891</v>
      </c>
      <c r="T34" s="3"/>
      <c r="U34" s="3"/>
      <c r="V34" s="3"/>
      <c r="W34" s="3"/>
      <c r="X34" s="3"/>
      <c r="Y34" s="3"/>
      <c r="Z34" s="3"/>
      <c r="AA34" s="3"/>
      <c r="AB34" s="3"/>
      <c r="AC34" s="3"/>
    </row>
    <row r="35" spans="1:29" x14ac:dyDescent="0.25">
      <c r="E35" s="3"/>
      <c r="F35" s="3"/>
      <c r="G35" s="3"/>
      <c r="H35" s="3"/>
      <c r="I35" s="3"/>
      <c r="J35" s="3"/>
      <c r="K35" s="3"/>
      <c r="L35" s="3"/>
      <c r="P35" s="1">
        <f>P34/$S$13</f>
        <v>0.39793623186843435</v>
      </c>
      <c r="Q35" s="1">
        <f t="shared" ref="Q35:R35" si="26">Q34/$S$13</f>
        <v>5.1749814067639795E-2</v>
      </c>
      <c r="R35" s="1">
        <f t="shared" si="26"/>
        <v>1.4938884541232461E-2</v>
      </c>
      <c r="S35" s="3"/>
      <c r="T35" s="3">
        <f>2*R35</f>
        <v>2.9877769082464922E-2</v>
      </c>
      <c r="U35" s="3"/>
      <c r="V35" s="3"/>
      <c r="W35" s="3"/>
      <c r="X35" s="3"/>
      <c r="Y35" s="3"/>
      <c r="Z35" s="3"/>
      <c r="AA35" s="3"/>
      <c r="AB35" s="3"/>
      <c r="AC35" s="3"/>
    </row>
    <row r="36" spans="1:29" x14ac:dyDescent="0.25">
      <c r="Q36" t="s">
        <v>57</v>
      </c>
    </row>
    <row r="37" spans="1:29" x14ac:dyDescent="0.25">
      <c r="P37">
        <f>_xlfn.T.TEST(M10:M21,M23:M34,1,2)</f>
        <v>2.5966532797436107E-2</v>
      </c>
    </row>
    <row r="41" spans="1:29" s="5" customFormat="1" x14ac:dyDescent="0.25">
      <c r="E41" s="5" t="s">
        <v>27</v>
      </c>
      <c r="P41" s="5">
        <f>1.03*P21</f>
        <v>0.39472710716897547</v>
      </c>
      <c r="S41" s="3"/>
      <c r="T41" s="3"/>
      <c r="U41" s="3"/>
      <c r="V41" s="3"/>
      <c r="W41" s="3"/>
      <c r="X41" s="3"/>
      <c r="Y41" s="3"/>
      <c r="Z41" s="3"/>
      <c r="AA41" s="3"/>
      <c r="AB41" s="3"/>
      <c r="AC41" s="3"/>
    </row>
    <row r="42" spans="1:29" s="5" customFormat="1" x14ac:dyDescent="0.25">
      <c r="E42" s="5" t="s">
        <v>28</v>
      </c>
      <c r="S42"/>
      <c r="T42"/>
      <c r="U42" s="3"/>
      <c r="V42" s="3"/>
      <c r="W42" s="3"/>
      <c r="X42" s="3"/>
      <c r="Y42" s="3"/>
      <c r="Z42" s="3"/>
      <c r="AA42" s="3"/>
      <c r="AB42" s="3"/>
      <c r="AC42" s="3"/>
    </row>
    <row r="43" spans="1:29" x14ac:dyDescent="0.25">
      <c r="E43" s="5" t="s">
        <v>29</v>
      </c>
      <c r="F43" s="5"/>
      <c r="S43" s="3"/>
      <c r="T43" s="3"/>
      <c r="U43" s="3"/>
      <c r="V43" s="3"/>
      <c r="W43" s="3"/>
      <c r="X43" s="3"/>
      <c r="Y43" s="3"/>
      <c r="Z43" s="3"/>
      <c r="AA43" s="3"/>
      <c r="AB43" s="3"/>
      <c r="AC43" s="3"/>
    </row>
    <row r="44" spans="1:29" x14ac:dyDescent="0.25">
      <c r="E44" s="7" t="s">
        <v>30</v>
      </c>
      <c r="F44" s="7"/>
    </row>
    <row r="45" spans="1:29" x14ac:dyDescent="0.25">
      <c r="E45" s="5" t="s">
        <v>31</v>
      </c>
      <c r="F45" s="5"/>
    </row>
    <row r="46" spans="1:29" x14ac:dyDescent="0.25">
      <c r="C46" t="s">
        <v>33</v>
      </c>
      <c r="E46" s="5"/>
      <c r="F46" s="5"/>
      <c r="J46" t="s">
        <v>34</v>
      </c>
      <c r="L46" t="s">
        <v>35</v>
      </c>
      <c r="M46" t="s">
        <v>37</v>
      </c>
      <c r="N46" t="s">
        <v>36</v>
      </c>
    </row>
    <row r="47" spans="1:29" x14ac:dyDescent="0.25">
      <c r="E47" s="5"/>
      <c r="F47" s="5"/>
      <c r="J47">
        <f>59535</f>
        <v>59535</v>
      </c>
      <c r="L47">
        <f>9922</f>
        <v>9922</v>
      </c>
      <c r="M47">
        <f>L47/(J47+L47)</f>
        <v>0.14285097254416401</v>
      </c>
      <c r="N47" s="8">
        <f>L47/J47</f>
        <v>0.16665826824556984</v>
      </c>
    </row>
    <row r="48" spans="1:29" x14ac:dyDescent="0.25">
      <c r="C48" t="s">
        <v>38</v>
      </c>
      <c r="E48" s="5"/>
      <c r="F48" s="5"/>
    </row>
    <row r="49" spans="1:31" x14ac:dyDescent="0.25">
      <c r="E49" s="5"/>
      <c r="F49" s="5"/>
    </row>
    <row r="50" spans="1:31" x14ac:dyDescent="0.25">
      <c r="E50" s="5"/>
      <c r="F50" s="5"/>
    </row>
    <row r="51" spans="1:31" x14ac:dyDescent="0.25">
      <c r="A51" t="s">
        <v>32</v>
      </c>
    </row>
    <row r="59" spans="1:31" s="6" customForma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s="6" customForma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s="6" customFormat="1" x14ac:dyDescent="0.25">
      <c r="A61" s="5"/>
      <c r="B61" s="5"/>
      <c r="C61" s="5"/>
      <c r="D61" s="5"/>
      <c r="E61" s="5"/>
      <c r="F61" s="5"/>
      <c r="G61" s="5"/>
      <c r="H61" s="5"/>
      <c r="I61" s="5"/>
      <c r="J61" s="5"/>
      <c r="K61" s="5"/>
      <c r="L61" s="5"/>
      <c r="M61" s="5"/>
      <c r="N61" s="5"/>
      <c r="O61" s="5"/>
      <c r="P61" s="5"/>
      <c r="Q61" s="5"/>
      <c r="R61" s="5"/>
      <c r="S61"/>
      <c r="T61"/>
      <c r="U61" s="5"/>
      <c r="V61" s="5"/>
      <c r="W61" s="5"/>
      <c r="X61" s="5"/>
      <c r="Y61" s="5"/>
      <c r="Z61" s="5"/>
      <c r="AA61" s="5"/>
      <c r="AB61" s="5"/>
      <c r="AC61" s="5"/>
      <c r="AD61" s="5"/>
      <c r="AE61" s="5"/>
    </row>
    <row r="65" spans="1:31" s="5" customFormat="1" x14ac:dyDescent="0.25"/>
    <row r="66" spans="1:31" s="5" customFormat="1" x14ac:dyDescent="0.25"/>
    <row r="67" spans="1:31" s="5" customFormat="1" x14ac:dyDescent="0.25">
      <c r="S67"/>
      <c r="T67"/>
    </row>
    <row r="70" spans="1:31" s="1" customFormat="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t="s">
        <v>6</v>
      </c>
      <c r="B71">
        <v>1</v>
      </c>
      <c r="E71">
        <v>3970</v>
      </c>
      <c r="G71">
        <v>15690</v>
      </c>
      <c r="J71">
        <v>1160900</v>
      </c>
      <c r="L71">
        <v>810300</v>
      </c>
      <c r="M71">
        <f>(LN(L71/G71))/(LN(J71/E71))</f>
        <v>0.69465527381330128</v>
      </c>
      <c r="N71">
        <f>LOG((L71/J71)/(G71/E71),2)</f>
        <v>-2.5013500978573315</v>
      </c>
      <c r="O71">
        <f>(LN(L71/G71))-(LN(J71/E71))</f>
        <v>-1.7338037679231526</v>
      </c>
      <c r="Q71">
        <f>M71/$V$73</f>
        <v>0.99154811130004306</v>
      </c>
      <c r="R71" t="e">
        <f>M71/#REF!</f>
        <v>#REF!</v>
      </c>
    </row>
    <row r="72" spans="1:31" x14ac:dyDescent="0.25">
      <c r="A72" t="s">
        <v>6</v>
      </c>
      <c r="B72">
        <v>2</v>
      </c>
      <c r="E72">
        <v>4162</v>
      </c>
      <c r="G72">
        <v>15473</v>
      </c>
      <c r="J72">
        <v>1218300</v>
      </c>
      <c r="L72">
        <v>753900</v>
      </c>
      <c r="M72">
        <f>(LN(L72/G72))/(LN(J72/E72))</f>
        <v>0.68427810579231052</v>
      </c>
      <c r="N72">
        <f>LOG((L72/J72)/(G72/E72),2)</f>
        <v>-2.5868284283149161</v>
      </c>
      <c r="O72">
        <f>(LN(L72/G72))-(LN(J72/E72))</f>
        <v>-1.7930528316787981</v>
      </c>
      <c r="Q72">
        <f>M72/$V$73</f>
        <v>0.97673578389140958</v>
      </c>
      <c r="R72" t="e">
        <f>M72/#REF!</f>
        <v>#REF!</v>
      </c>
    </row>
    <row r="73" spans="1:31" x14ac:dyDescent="0.25">
      <c r="A73" t="s">
        <v>6</v>
      </c>
      <c r="B73">
        <v>3</v>
      </c>
      <c r="E73">
        <v>3803</v>
      </c>
      <c r="G73">
        <v>15825</v>
      </c>
      <c r="J73">
        <v>1048600</v>
      </c>
      <c r="L73">
        <v>919000</v>
      </c>
      <c r="M73">
        <f>(LN(L73/G73))/(LN(J73/E73))</f>
        <v>0.72279602483807681</v>
      </c>
      <c r="N73">
        <f>LOG((L73/J73)/(G73/E73),2)</f>
        <v>-2.2473233399124335</v>
      </c>
      <c r="O73">
        <f>(LN(L73/G73))-(LN(J73/E73))</f>
        <v>-1.5577258368668625</v>
      </c>
      <c r="P73">
        <f>AVERAGE(M71:M73)</f>
        <v>0.7005764681478962</v>
      </c>
      <c r="Q73">
        <f>M73/$V$73</f>
        <v>1.0317161048085473</v>
      </c>
      <c r="R73" t="e">
        <f>M73/#REF!</f>
        <v>#REF!</v>
      </c>
      <c r="S73" t="e">
        <f>P73/#REF!</f>
        <v>#REF!</v>
      </c>
      <c r="V73">
        <f>AVERAGE(M71:M73)</f>
        <v>0.7005764681478962</v>
      </c>
    </row>
    <row r="74" spans="1:31" x14ac:dyDescent="0.25">
      <c r="N74">
        <f>AVERAGE(N71:N73)</f>
        <v>-2.4451672886948939</v>
      </c>
      <c r="O74">
        <f>AVERAGE(O71:O73)</f>
        <v>-1.6948608121562712</v>
      </c>
      <c r="S74" t="e">
        <f>_xlfn.STDEV.S(R71:R73)</f>
        <v>#REF!</v>
      </c>
    </row>
    <row r="75" spans="1:31" x14ac:dyDescent="0.25">
      <c r="S75" t="e">
        <f>S74/SQRT(COUNT(R71:R73))</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Carefully drawing mCherry gate</vt:lpstr>
      <vt:lpstr>Copy-pasting mCherry+ 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2021-05-18T22:57:02Z</dcterms:modified>
</cp:coreProperties>
</file>