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xr:revisionPtr revIDLastSave="104" documentId="13_ncr:1_{1EE3FB85-C378-4B52-B350-B5724775AFE2}" xr6:coauthVersionLast="45" xr6:coauthVersionMax="45" xr10:uidLastSave="{2844EF44-F177-46C5-A16C-0708895A1EDC}"/>
  <bookViews>
    <workbookView xWindow="2760" yWindow="1905" windowWidth="28095" windowHeight="1543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4" i="1" l="1"/>
  <c r="N14" i="1"/>
  <c r="M14" i="1"/>
  <c r="L14" i="1"/>
  <c r="H11" i="1"/>
  <c r="H12" i="1"/>
  <c r="H13" i="1"/>
  <c r="H14" i="1"/>
  <c r="H10" i="1"/>
  <c r="J21" i="1"/>
  <c r="I21" i="1"/>
  <c r="H21" i="1"/>
  <c r="F21" i="1"/>
  <c r="E14" i="1" l="1"/>
  <c r="E13" i="1"/>
  <c r="E12" i="1"/>
  <c r="J12" i="1" s="1"/>
  <c r="E11" i="1"/>
  <c r="E10" i="1"/>
  <c r="D11" i="1"/>
  <c r="K11" i="1" s="1"/>
  <c r="D12" i="1"/>
  <c r="D13" i="1"/>
  <c r="D14" i="1"/>
  <c r="D10" i="1"/>
  <c r="K14" i="1"/>
  <c r="K13" i="1" l="1"/>
  <c r="K10" i="1"/>
  <c r="J10" i="1"/>
  <c r="I10" i="1"/>
  <c r="I14" i="1"/>
  <c r="J14" i="1"/>
  <c r="I13" i="1"/>
  <c r="J13" i="1"/>
  <c r="K12" i="1"/>
  <c r="I12" i="1"/>
  <c r="I11" i="1"/>
  <c r="J11" i="1"/>
  <c r="E5" i="1"/>
  <c r="D5" i="1"/>
  <c r="E2" i="1"/>
  <c r="D2" i="1"/>
  <c r="I2" i="1" s="1"/>
  <c r="I5" i="1" l="1"/>
  <c r="J5" i="1"/>
  <c r="K5" i="1"/>
  <c r="J2" i="1"/>
  <c r="K2" i="1"/>
  <c r="I28" i="1"/>
  <c r="K28" i="1"/>
  <c r="I30" i="1" l="1"/>
  <c r="K30" i="1"/>
  <c r="I29" i="1"/>
  <c r="J29" i="1"/>
  <c r="K29" i="1"/>
  <c r="J30" i="1"/>
  <c r="K53" i="1" l="1"/>
  <c r="I53" i="1" l="1"/>
  <c r="J53" i="1"/>
  <c r="K55" i="1"/>
  <c r="J28" i="1"/>
  <c r="J31" i="1" l="1"/>
  <c r="K31" i="1"/>
  <c r="K54" i="1"/>
  <c r="K56" i="1" s="1"/>
  <c r="I54" i="1"/>
  <c r="J54" i="1"/>
  <c r="J55" i="1"/>
  <c r="I55" i="1"/>
  <c r="I31" i="1"/>
  <c r="L31" i="1" l="1"/>
  <c r="N54" i="1" s="1"/>
  <c r="O31" i="1"/>
  <c r="P31" i="1" s="1"/>
  <c r="L55" i="1"/>
  <c r="J56" i="1"/>
  <c r="R55" i="1"/>
  <c r="R31" i="1"/>
  <c r="N31" i="1" l="1"/>
  <c r="N29" i="1"/>
  <c r="N30" i="1"/>
  <c r="N53" i="1"/>
  <c r="O55" i="1"/>
  <c r="N55" i="1"/>
  <c r="M29" i="1"/>
  <c r="W31" i="1"/>
  <c r="M55" i="1"/>
  <c r="M31" i="1"/>
  <c r="M54" i="1"/>
  <c r="S31" i="1"/>
  <c r="X31" i="1" s="1"/>
  <c r="M53" i="1"/>
  <c r="O56" i="1" l="1"/>
  <c r="O57" i="1" s="1"/>
</calcChain>
</file>

<file path=xl/sharedStrings.xml><?xml version="1.0" encoding="utf-8"?>
<sst xmlns="http://schemas.openxmlformats.org/spreadsheetml/2006/main" count="60" uniqueCount="48">
  <si>
    <t>Replicate</t>
  </si>
  <si>
    <t>W_W</t>
  </si>
  <si>
    <t>Delaney</t>
  </si>
  <si>
    <t>line</t>
  </si>
  <si>
    <t>r_W</t>
  </si>
  <si>
    <t>syn1.0_anc</t>
  </si>
  <si>
    <t>syn3B_anc</t>
  </si>
  <si>
    <t>T0_mCherry</t>
  </si>
  <si>
    <t>T0_SOI</t>
  </si>
  <si>
    <t>T24_mCherry</t>
  </si>
  <si>
    <t>T24_SOI</t>
  </si>
  <si>
    <t>W div syn3B ancestor</t>
  </si>
  <si>
    <t>B_vs_mCherry</t>
  </si>
  <si>
    <t>1_vs_mCherry</t>
  </si>
  <si>
    <t>B_vs_B.anc</t>
  </si>
  <si>
    <t>1_vs_1.anc</t>
  </si>
  <si>
    <t>B_vs_1.anc</t>
  </si>
  <si>
    <t>1_vs_B.anc</t>
  </si>
  <si>
    <t>note</t>
  </si>
  <si>
    <t>standard deviation</t>
  </si>
  <si>
    <t>CV (%)</t>
  </si>
  <si>
    <t>All below are from the original FCCF</t>
  </si>
  <si>
    <t>test</t>
  </si>
  <si>
    <t>Multiplied by 2 because i inoc'd with double the volume of the mCherry strain</t>
  </si>
  <si>
    <t>Next set is 5 replicates, competitions started 20201226</t>
  </si>
  <si>
    <t>a</t>
  </si>
  <si>
    <t>b</t>
  </si>
  <si>
    <t>c</t>
  </si>
  <si>
    <t>d</t>
  </si>
  <si>
    <t>e</t>
  </si>
  <si>
    <t>Multiply 3/2 for mCherry, 2/3 for WT</t>
  </si>
  <si>
    <t>Note: There was a subpop of the mCherry strain not xprssing mCherry. I did not include it in the mCherry counts for T0.</t>
  </si>
  <si>
    <t>There is probably a good way to SUBTRACT the non-expressing mCherry cells out from the WT subpop in the T24 timepoints…</t>
  </si>
  <si>
    <t>here's the answer: Calculate the proportion of mCherry cells that appear as non-mCherry in the T24 axenic sample. Then, also calculate that proportion in each of the T24 samples, and subtract that amount from the WT cell counts.</t>
  </si>
  <si>
    <t>If you INCLUDED the non-xprssing mCherry cells in the axenic T0 and T24 counts, then you would ADD that amount to the mCherry mixed T24 total (instead of JUST subtracting it from the WT count).</t>
  </si>
  <si>
    <t>`</t>
  </si>
  <si>
    <t>Here is the calcn</t>
  </si>
  <si>
    <t>mCherry+</t>
  </si>
  <si>
    <t>mCherry-</t>
  </si>
  <si>
    <t>Neg as a proportion ofpos</t>
  </si>
  <si>
    <t>Neg as a proportion of tot</t>
  </si>
  <si>
    <t>So for each competition, I subtract from the observed WT count an amount equal to 0.167 of the observed mCherry+ count</t>
  </si>
  <si>
    <t>T24_SOI_raw</t>
  </si>
  <si>
    <t>Mean</t>
  </si>
  <si>
    <t>Std dev</t>
  </si>
  <si>
    <t>SEM</t>
  </si>
  <si>
    <t>CV</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</si>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</sst>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9C0006"/>
      <name val="Calibri"/>
      <family val="2"/>
      <scheme val="minor"/>
    </font>
    <font>
      <sz val="1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s>
  <fills count="4">
    <fill>
      <patternFill patternType="none"/>
    </fill>
    <fill>
      <patternFill patternType="gray125"/>
    </fill>
    <fill>
      <patternFill patternType="solid">
        <fgColor rgb="FFFFC7CE"/>
      </patternFill>
    </fill>
    <fill>
      <patternFill patternType="solid">
        <fgColor rgb="FFFFFF00"/>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9">
    <xf numFmtId="0" fontId="0" fillId="0" borderId="0" xfId="0"/>
    <xf numFmtId="0" fontId="0" fillId="3" borderId="0" xfId="0" applyFill="1"/>
    <xf numFmtId="0" fontId="1" fillId="0" borderId="0" xfId="1" applyFill="1"/>
    <xf numFmtId="0" fontId="2" fillId="0" borderId="0" xfId="0" applyFont="1"/>
    <xf numFmtId="0" fontId="0" fillId="0" borderId="0" xfId="0" applyFill="1"/>
    <xf numFmtId="0" fontId="3" fillId="0" borderId="0" xfId="0" applyFont="1"/>
    <xf numFmtId="0" fontId="3" fillId="3" borderId="0" xfId="0" applyFont="1" applyFill="1"/>
    <xf numFmtId="0" fontId="4" fillId="0" borderId="0" xfId="0" applyFont="1"/>
    <xf numFmtId="0" fontId="5" fillId="0" borderId="0" xfId="0" applyFont="1"/>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7"/>
  <sheetViews>
    <sheetView tabSelected="1" zoomScaleNormal="100" workbookViewId="0">
      <pane ySplit="1" topLeftCell="A2" activePane="bottomLeft" state="frozen"/>
      <selection pane="bottomLeft" activeCell="O6" sqref="O6"/>
    </sheetView>
  </sheetViews>
  <sheetFormatPr defaultRowHeight="15" x14ac:dyDescent="0.25"/>
  <cols>
    <col min="1" max="1" width="11.28515625" customWidth="1"/>
    <col min="2" max="3" width="9.28515625" customWidth="1"/>
    <col min="6" max="7" width="10.140625" customWidth="1"/>
    <col min="11" max="14" width="12.28515625" customWidth="1"/>
    <col min="15" max="15" width="25" customWidth="1"/>
    <col min="16" max="16" width="12.28515625" customWidth="1"/>
    <col min="17" max="18" width="12.140625" customWidth="1"/>
    <col min="19" max="22" width="16" customWidth="1"/>
    <col min="23" max="23" width="14" customWidth="1"/>
    <col min="24" max="24" width="10.28515625" customWidth="1"/>
    <col min="25" max="25" width="9.28515625" customWidth="1"/>
  </cols>
  <sheetData>
    <row r="1" spans="1:27" x14ac:dyDescent="0.25">
      <c r="A1" t="s">
        <v>3</v>
      </c>
      <c r="B1" t="s">
        <v>0</v>
      </c>
      <c r="C1" t="s">
        <v>18</v>
      </c>
      <c r="D1" t="s">
        <v>7</v>
      </c>
      <c r="E1" t="s">
        <v>8</v>
      </c>
      <c r="F1" t="s">
        <v>9</v>
      </c>
      <c r="G1" t="s">
        <v>42</v>
      </c>
      <c r="H1" t="s">
        <v>10</v>
      </c>
      <c r="I1" t="s">
        <v>1</v>
      </c>
      <c r="J1" t="s">
        <v>2</v>
      </c>
      <c r="K1" t="s">
        <v>4</v>
      </c>
      <c r="M1" t="s">
        <v>11</v>
      </c>
      <c r="O1" t="s">
        <v>19</v>
      </c>
      <c r="P1" t="s">
        <v>20</v>
      </c>
      <c r="Q1" t="s">
        <v>12</v>
      </c>
      <c r="R1" t="s">
        <v>13</v>
      </c>
      <c r="S1" t="s">
        <v>14</v>
      </c>
      <c r="T1" t="s">
        <v>15</v>
      </c>
      <c r="U1" t="s">
        <v>16</v>
      </c>
      <c r="V1" t="s">
        <v>17</v>
      </c>
    </row>
    <row r="2" spans="1:27" s="4" customFormat="1" x14ac:dyDescent="0.25">
      <c r="A2" s="4" t="s">
        <v>5</v>
      </c>
      <c r="B2" s="4">
        <v>1</v>
      </c>
      <c r="D2" s="4">
        <f>2*17517</f>
        <v>35034</v>
      </c>
      <c r="E2" s="4">
        <f>34741</f>
        <v>34741</v>
      </c>
      <c r="F2" s="4">
        <v>6803600</v>
      </c>
      <c r="H2" s="4">
        <v>2375700</v>
      </c>
      <c r="I2" s="4">
        <f t="shared" ref="I2" si="0">(LN(H2/E2))/(LN(F2/D2))</f>
        <v>0.8019010365187369</v>
      </c>
      <c r="J2" s="4">
        <f t="shared" ref="J2" si="1">LOG((H2/F2)/(E2/D2),2)</f>
        <v>-1.5058292226528853</v>
      </c>
      <c r="K2">
        <f t="shared" ref="K2" si="2">(LN(H2/E2))-(LN(F2/D2))</f>
        <v>-1.0437612800866223</v>
      </c>
    </row>
    <row r="3" spans="1:27" x14ac:dyDescent="0.25">
      <c r="AA3" s="2"/>
    </row>
    <row r="4" spans="1:27" x14ac:dyDescent="0.25">
      <c r="A4" t="s">
        <v>22</v>
      </c>
      <c r="D4" s="3"/>
      <c r="E4" s="3"/>
      <c r="F4" s="3"/>
      <c r="G4" s="3"/>
      <c r="H4" s="3"/>
    </row>
    <row r="5" spans="1:27" s="4" customFormat="1" x14ac:dyDescent="0.25">
      <c r="A5" s="4" t="s">
        <v>5</v>
      </c>
      <c r="B5" s="4">
        <v>1</v>
      </c>
      <c r="D5" s="4">
        <f>2*17517</f>
        <v>35034</v>
      </c>
      <c r="E5" s="4">
        <f>34741</f>
        <v>34741</v>
      </c>
      <c r="F5" s="4">
        <v>3180400</v>
      </c>
      <c r="H5" s="4">
        <v>2310000</v>
      </c>
      <c r="I5" s="4">
        <f t="shared" ref="I5" si="3">(LN(H5/E5))/(LN(F5/D5))</f>
        <v>0.93093825043839862</v>
      </c>
      <c r="J5" s="4">
        <f t="shared" ref="J5" si="4">LOG((H5/F5)/(E5/D5),2)</f>
        <v>-0.44919893837139152</v>
      </c>
      <c r="K5">
        <f t="shared" ref="K5" si="5">(LN(H5/E5))-(LN(F5/D5))</f>
        <v>-0.31136097764265003</v>
      </c>
    </row>
    <row r="6" spans="1:27" s="5" customFormat="1" x14ac:dyDescent="0.25">
      <c r="O6" s="3" t="s">
        <v>47</v>
      </c>
      <c r="P6" s="3"/>
      <c r="Q6" s="3"/>
      <c r="R6" s="3"/>
      <c r="S6" s="3"/>
      <c r="T6" s="3"/>
      <c r="U6" s="3"/>
      <c r="V6" s="3"/>
      <c r="W6" s="3"/>
      <c r="X6" s="3"/>
      <c r="Y6" s="3"/>
    </row>
    <row r="7" spans="1:27" s="5" customFormat="1" x14ac:dyDescent="0.25">
      <c r="O7"/>
      <c r="P7"/>
      <c r="Q7" s="3"/>
      <c r="R7" s="3"/>
      <c r="S7" s="3"/>
      <c r="T7" s="3"/>
      <c r="U7" s="3"/>
      <c r="V7" s="3"/>
      <c r="W7" s="3"/>
      <c r="X7" s="3"/>
      <c r="Y7" s="3"/>
    </row>
    <row r="8" spans="1:27" x14ac:dyDescent="0.25">
      <c r="D8" s="3" t="s">
        <v>23</v>
      </c>
      <c r="E8" s="3"/>
      <c r="F8" s="3"/>
      <c r="G8" s="3"/>
      <c r="H8" s="3"/>
      <c r="O8" s="3"/>
      <c r="P8" s="3"/>
      <c r="Q8" s="3"/>
      <c r="R8" s="3"/>
      <c r="S8" s="3"/>
      <c r="T8" s="3"/>
      <c r="U8" s="3"/>
      <c r="V8" s="3"/>
      <c r="W8" s="3"/>
      <c r="X8" s="3"/>
      <c r="Y8" s="3"/>
    </row>
    <row r="9" spans="1:27" x14ac:dyDescent="0.25">
      <c r="A9" t="s">
        <v>24</v>
      </c>
      <c r="D9" s="3"/>
      <c r="E9" s="3"/>
      <c r="F9" s="3"/>
      <c r="G9" s="3"/>
      <c r="H9" s="3"/>
      <c r="O9" s="3"/>
      <c r="P9" s="3"/>
      <c r="Q9" s="3"/>
      <c r="R9" s="3"/>
      <c r="S9" s="3"/>
      <c r="T9" s="3"/>
      <c r="U9" s="3"/>
      <c r="V9" s="3"/>
      <c r="W9" s="3"/>
      <c r="X9" s="3"/>
      <c r="Y9" s="3"/>
    </row>
    <row r="10" spans="1:27" x14ac:dyDescent="0.25">
      <c r="A10" s="4" t="s">
        <v>5</v>
      </c>
      <c r="B10" s="4" t="s">
        <v>25</v>
      </c>
      <c r="C10" s="4"/>
      <c r="D10" s="4">
        <f>3/2*53613</f>
        <v>80419.5</v>
      </c>
      <c r="E10" s="4">
        <f>2/3*68350</f>
        <v>45566.666666666664</v>
      </c>
      <c r="F10" s="4">
        <v>3614800</v>
      </c>
      <c r="G10" s="4">
        <v>5079100</v>
      </c>
      <c r="H10" s="4">
        <f>G10-F10*$J$21</f>
        <v>4476663.6919459142</v>
      </c>
      <c r="I10" s="4">
        <f t="shared" ref="I10" si="6">(LN(H10/E10))/(LN(F10/D10))</f>
        <v>1.2054695941281452</v>
      </c>
      <c r="J10" s="4">
        <f t="shared" ref="J10" si="7">LOG((H10/F10)/(E10/D10),2)</f>
        <v>1.1280746417002641</v>
      </c>
      <c r="K10">
        <f t="shared" ref="K10" si="8">(LN(H10/E10))-(LN(F10/D10))</f>
        <v>0.7819217573557089</v>
      </c>
      <c r="Q10" s="3"/>
      <c r="R10" s="3"/>
      <c r="S10" s="3"/>
      <c r="T10" s="3"/>
      <c r="U10" s="3"/>
      <c r="V10" s="3"/>
      <c r="W10" s="3"/>
      <c r="X10" s="3"/>
      <c r="Y10" s="3"/>
    </row>
    <row r="11" spans="1:27" x14ac:dyDescent="0.25">
      <c r="A11" s="4" t="s">
        <v>5</v>
      </c>
      <c r="B11" s="4" t="s">
        <v>26</v>
      </c>
      <c r="C11" s="4"/>
      <c r="D11" s="4">
        <f t="shared" ref="D11:D14" si="9">3/2*53613</f>
        <v>80419.5</v>
      </c>
      <c r="E11" s="4">
        <f>2/3*72338</f>
        <v>48225.333333333328</v>
      </c>
      <c r="F11" s="4">
        <v>3569600</v>
      </c>
      <c r="G11" s="4">
        <v>4892800</v>
      </c>
      <c r="H11" s="4">
        <f t="shared" ref="H11:H14" si="10">G11-F11*$J$21</f>
        <v>4297896.6456706142</v>
      </c>
      <c r="I11" s="4">
        <f t="shared" ref="I11:I14" si="11">(LN(H11/E11))/(LN(F11/D11))</f>
        <v>1.1837735868490131</v>
      </c>
      <c r="J11" s="4">
        <f t="shared" ref="J11:J14" si="12">LOG((H11/F11)/(E11/D11),2)</f>
        <v>1.0056225272034003</v>
      </c>
      <c r="K11">
        <f t="shared" ref="K11:K14" si="13">(LN(H11/E11))-(LN(F11/D11))</f>
        <v>0.6970444194386034</v>
      </c>
      <c r="O11" s="3"/>
      <c r="P11" s="3"/>
      <c r="Q11" s="3"/>
      <c r="R11" s="3"/>
      <c r="S11" s="3"/>
      <c r="T11" s="3"/>
      <c r="U11" s="3"/>
      <c r="V11" s="3"/>
      <c r="W11" s="3"/>
      <c r="X11" s="3"/>
      <c r="Y11" s="3"/>
    </row>
    <row r="12" spans="1:27" x14ac:dyDescent="0.25">
      <c r="A12" s="4" t="s">
        <v>5</v>
      </c>
      <c r="B12" s="4" t="s">
        <v>27</v>
      </c>
      <c r="C12" s="4"/>
      <c r="D12" s="4">
        <f t="shared" si="9"/>
        <v>80419.5</v>
      </c>
      <c r="E12" s="4">
        <f>2/3*87002</f>
        <v>58001.333333333328</v>
      </c>
      <c r="F12" s="4">
        <v>4248800</v>
      </c>
      <c r="G12" s="4">
        <v>4470400</v>
      </c>
      <c r="H12" s="4">
        <f t="shared" si="10"/>
        <v>3762302.3498782227</v>
      </c>
      <c r="I12" s="4">
        <f t="shared" si="11"/>
        <v>1.0517212504008453</v>
      </c>
      <c r="J12" s="4">
        <f t="shared" si="12"/>
        <v>0.29601965936372426</v>
      </c>
      <c r="K12">
        <f t="shared" si="13"/>
        <v>0.20518519227828103</v>
      </c>
      <c r="O12" s="3"/>
      <c r="P12" s="3"/>
      <c r="Q12" s="3"/>
      <c r="R12" s="3"/>
      <c r="S12" s="3"/>
      <c r="T12" s="3"/>
      <c r="U12" s="3"/>
      <c r="V12" s="3"/>
      <c r="W12" s="3"/>
      <c r="X12" s="3"/>
      <c r="Y12" s="3"/>
    </row>
    <row r="13" spans="1:27" x14ac:dyDescent="0.25">
      <c r="A13" s="4" t="s">
        <v>5</v>
      </c>
      <c r="B13" s="4" t="s">
        <v>28</v>
      </c>
      <c r="C13" s="4"/>
      <c r="D13" s="4">
        <f t="shared" si="9"/>
        <v>80419.5</v>
      </c>
      <c r="E13" s="4">
        <f>2/3*71128</f>
        <v>47418.666666666664</v>
      </c>
      <c r="F13" s="4">
        <v>4451600</v>
      </c>
      <c r="G13" s="4">
        <v>4190100</v>
      </c>
      <c r="H13" s="4">
        <f t="shared" si="10"/>
        <v>3448204.0530780214</v>
      </c>
      <c r="I13" s="4">
        <f t="shared" si="11"/>
        <v>1.0679738007407031</v>
      </c>
      <c r="J13" s="4">
        <f t="shared" si="12"/>
        <v>0.39361145524697255</v>
      </c>
      <c r="K13">
        <f t="shared" si="13"/>
        <v>0.27283067044053588</v>
      </c>
      <c r="L13" t="s">
        <v>43</v>
      </c>
      <c r="M13" t="s">
        <v>44</v>
      </c>
      <c r="N13" t="s">
        <v>45</v>
      </c>
      <c r="O13" t="s">
        <v>46</v>
      </c>
      <c r="Q13" s="3"/>
      <c r="R13" s="3"/>
      <c r="S13" s="3"/>
      <c r="T13" s="3"/>
      <c r="U13" s="3"/>
      <c r="V13" s="3"/>
      <c r="W13" s="3"/>
      <c r="X13" s="3"/>
      <c r="Y13" s="3"/>
    </row>
    <row r="14" spans="1:27" s="5" customFormat="1" x14ac:dyDescent="0.25">
      <c r="A14" s="4" t="s">
        <v>5</v>
      </c>
      <c r="B14" s="4" t="s">
        <v>29</v>
      </c>
      <c r="C14" s="4"/>
      <c r="D14" s="4">
        <f t="shared" si="9"/>
        <v>80419.5</v>
      </c>
      <c r="E14" s="4">
        <f>2/3*60028</f>
        <v>40018.666666666664</v>
      </c>
      <c r="F14" s="4">
        <v>4350400</v>
      </c>
      <c r="G14" s="4">
        <v>4159300</v>
      </c>
      <c r="H14" s="4">
        <f t="shared" si="10"/>
        <v>3434269.8698244728</v>
      </c>
      <c r="I14" s="4">
        <f t="shared" si="11"/>
        <v>1.115628723705647</v>
      </c>
      <c r="J14" s="4">
        <f t="shared" si="12"/>
        <v>0.66572762206970759</v>
      </c>
      <c r="K14">
        <f t="shared" si="13"/>
        <v>0.4614472242584946</v>
      </c>
      <c r="L14" s="5">
        <f>AVERAGE(I10:I14)</f>
        <v>1.124913391164871</v>
      </c>
      <c r="M14" s="5">
        <f>_xlfn.STDEV.S(I10:I14)</f>
        <v>6.8262793579220465E-2</v>
      </c>
      <c r="N14" s="5">
        <f>M14/SQRT(COUNT(I10:I14))</f>
        <v>3.0528049355434624E-2</v>
      </c>
      <c r="O14" s="3">
        <f>M14/L14</f>
        <v>6.0682710433852101E-2</v>
      </c>
      <c r="P14" s="3"/>
      <c r="Q14" s="3"/>
      <c r="R14" s="3"/>
      <c r="S14" s="3"/>
      <c r="T14" s="3"/>
      <c r="U14" s="3"/>
      <c r="V14" s="3"/>
      <c r="W14" s="3"/>
      <c r="X14" s="3"/>
      <c r="Y14" s="3"/>
    </row>
    <row r="15" spans="1:27" s="5" customFormat="1" x14ac:dyDescent="0.25">
      <c r="D15" s="5" t="s">
        <v>30</v>
      </c>
      <c r="O15" s="3"/>
      <c r="P15" s="3"/>
      <c r="Q15" s="3"/>
      <c r="R15" s="3"/>
      <c r="S15" s="3"/>
      <c r="T15" s="3"/>
      <c r="U15" s="3"/>
      <c r="V15" s="3"/>
      <c r="W15" s="3"/>
      <c r="X15" s="3"/>
      <c r="Y15" s="3"/>
    </row>
    <row r="16" spans="1:27" s="5" customFormat="1" x14ac:dyDescent="0.25">
      <c r="D16" s="5" t="s">
        <v>31</v>
      </c>
      <c r="O16"/>
      <c r="P16"/>
      <c r="Q16" s="3"/>
      <c r="R16" s="3"/>
      <c r="S16" s="3"/>
      <c r="T16" s="3"/>
      <c r="U16" s="3"/>
      <c r="V16" s="3"/>
      <c r="W16" s="3"/>
      <c r="X16" s="3"/>
      <c r="Y16" s="3"/>
    </row>
    <row r="17" spans="1:25" x14ac:dyDescent="0.25">
      <c r="D17" s="5" t="s">
        <v>32</v>
      </c>
      <c r="O17" s="3"/>
      <c r="P17" s="3"/>
      <c r="Q17" s="3"/>
      <c r="R17" s="3"/>
      <c r="S17" s="3"/>
      <c r="T17" s="3"/>
      <c r="U17" s="3"/>
      <c r="V17" s="3"/>
      <c r="W17" s="3"/>
      <c r="X17" s="3"/>
      <c r="Y17" s="3"/>
    </row>
    <row r="18" spans="1:25" x14ac:dyDescent="0.25">
      <c r="D18" s="7" t="s">
        <v>33</v>
      </c>
    </row>
    <row r="19" spans="1:25" x14ac:dyDescent="0.25">
      <c r="D19" s="5" t="s">
        <v>34</v>
      </c>
    </row>
    <row r="20" spans="1:25" x14ac:dyDescent="0.25">
      <c r="C20" t="s">
        <v>36</v>
      </c>
      <c r="D20" s="5"/>
      <c r="F20" t="s">
        <v>37</v>
      </c>
      <c r="H20" t="s">
        <v>38</v>
      </c>
      <c r="I20" t="s">
        <v>40</v>
      </c>
      <c r="J20" t="s">
        <v>39</v>
      </c>
    </row>
    <row r="21" spans="1:25" x14ac:dyDescent="0.25">
      <c r="D21" s="5"/>
      <c r="F21">
        <f>59535</f>
        <v>59535</v>
      </c>
      <c r="H21">
        <f>9922</f>
        <v>9922</v>
      </c>
      <c r="I21">
        <f>H21/(F21+H21)</f>
        <v>0.14285097254416401</v>
      </c>
      <c r="J21" s="8">
        <f>H21/F21</f>
        <v>0.16665826824556984</v>
      </c>
    </row>
    <row r="22" spans="1:25" x14ac:dyDescent="0.25">
      <c r="C22" t="s">
        <v>41</v>
      </c>
      <c r="D22" s="5"/>
    </row>
    <row r="23" spans="1:25" x14ac:dyDescent="0.25">
      <c r="D23" s="5"/>
    </row>
    <row r="24" spans="1:25" x14ac:dyDescent="0.25">
      <c r="D24" s="5"/>
    </row>
    <row r="25" spans="1:25" x14ac:dyDescent="0.25">
      <c r="A25" t="s">
        <v>35</v>
      </c>
    </row>
    <row r="26" spans="1:25" x14ac:dyDescent="0.25">
      <c r="A26" t="s">
        <v>21</v>
      </c>
    </row>
    <row r="28" spans="1:25" s="4" customFormat="1" x14ac:dyDescent="0.25">
      <c r="A28" s="4" t="s">
        <v>5</v>
      </c>
      <c r="B28" s="4">
        <v>1</v>
      </c>
      <c r="D28" s="4">
        <v>7577</v>
      </c>
      <c r="E28" s="4">
        <v>11570</v>
      </c>
      <c r="F28" s="4">
        <v>271200</v>
      </c>
      <c r="H28" s="4">
        <v>1490200</v>
      </c>
      <c r="I28" s="4">
        <f t="shared" ref="I28:I30" si="14">(LN(H28/E28))/(LN(F28/D28))</f>
        <v>1.3579106210710727</v>
      </c>
      <c r="J28" s="4">
        <f t="shared" ref="J28:J55" si="15">LOG((H28/F28)/(E28/D28),2)</f>
        <v>1.8473866730044293</v>
      </c>
      <c r="K28">
        <f t="shared" ref="K28:K55" si="16">(LN(H28/E28))-(LN(F28/D28))</f>
        <v>1.2805108637970379</v>
      </c>
    </row>
    <row r="29" spans="1:25" s="4" customFormat="1" x14ac:dyDescent="0.25">
      <c r="A29" s="4" t="s">
        <v>5</v>
      </c>
      <c r="B29" s="4">
        <v>2</v>
      </c>
      <c r="D29" s="4">
        <v>8983</v>
      </c>
      <c r="E29" s="4">
        <v>10078</v>
      </c>
      <c r="F29" s="4">
        <v>259100</v>
      </c>
      <c r="H29" s="4">
        <v>1499300</v>
      </c>
      <c r="I29" s="4">
        <f t="shared" si="14"/>
        <v>1.4879765207232747</v>
      </c>
      <c r="J29" s="4">
        <f t="shared" ref="J29:J30" si="17">LOG((H29/F29)/(E29/D29),2)</f>
        <v>2.3667680428220104</v>
      </c>
      <c r="K29" s="4">
        <f t="shared" ref="K29:K30" si="18">(LN(H29/E29))-(LN(F29/D29))</f>
        <v>1.6405185959214568</v>
      </c>
      <c r="M29" s="4">
        <f>I29/$R$55</f>
        <v>2.1239316311280287</v>
      </c>
      <c r="N29" s="4">
        <f>K29/L$31</f>
        <v>1.1220912063615052</v>
      </c>
    </row>
    <row r="30" spans="1:25" s="4" customFormat="1" x14ac:dyDescent="0.25">
      <c r="A30" s="4" t="s">
        <v>5</v>
      </c>
      <c r="B30" s="4">
        <v>3</v>
      </c>
      <c r="D30" s="4">
        <v>9661</v>
      </c>
      <c r="E30" s="4">
        <v>9411</v>
      </c>
      <c r="F30" s="4">
        <v>220600</v>
      </c>
      <c r="H30" s="4">
        <v>1591500</v>
      </c>
      <c r="I30" s="4">
        <f t="shared" si="14"/>
        <v>1.6400692271866495</v>
      </c>
      <c r="J30" s="4">
        <f t="shared" si="17"/>
        <v>2.8887069596733399</v>
      </c>
      <c r="K30" s="4">
        <f t="shared" si="18"/>
        <v>2.002299084561467</v>
      </c>
      <c r="N30" s="4">
        <f t="shared" ref="N30:N31" si="19">K30/L$31</f>
        <v>1.3695438752586273</v>
      </c>
    </row>
    <row r="31" spans="1:25" s="4" customFormat="1" x14ac:dyDescent="0.25">
      <c r="A31" s="4" t="s">
        <v>5</v>
      </c>
      <c r="B31" s="4">
        <v>4</v>
      </c>
      <c r="D31" s="4">
        <v>7429</v>
      </c>
      <c r="E31" s="4">
        <v>11495</v>
      </c>
      <c r="F31" s="4">
        <v>279200</v>
      </c>
      <c r="H31" s="4">
        <v>1606300</v>
      </c>
      <c r="I31" s="4">
        <f t="shared" ref="I31:I55" si="20">(LN(H31/E31))/(LN(F31/D31))</f>
        <v>1.3621193903541298</v>
      </c>
      <c r="J31" s="4">
        <f t="shared" si="15"/>
        <v>1.8946039808878004</v>
      </c>
      <c r="K31" s="4">
        <f t="shared" si="16"/>
        <v>1.3132394076300278</v>
      </c>
      <c r="L31" s="4">
        <f>AVERAGE(I28:I31)</f>
        <v>1.4620189398337815</v>
      </c>
      <c r="M31" s="4">
        <f t="shared" ref="M31:M55" si="21">I31/$R$55</f>
        <v>1.9442836753497372</v>
      </c>
      <c r="N31" s="4">
        <f t="shared" si="19"/>
        <v>0.8982369324020737</v>
      </c>
      <c r="O31">
        <f>(_xlfn.STDEV.S(I28:I31))</f>
        <v>0.13315925659889191</v>
      </c>
      <c r="P31">
        <f>O31/(AVERAGE(I28:I31))*100</f>
        <v>9.1079022966714049</v>
      </c>
      <c r="R31" s="4">
        <f>AVERAGE(I17:I37)</f>
        <v>1.1981853463758583</v>
      </c>
      <c r="S31" s="4">
        <f>AVERAGE(I3:I16)</f>
        <v>1.0925842010437921</v>
      </c>
      <c r="W31" s="4">
        <f>R31/$R55</f>
        <v>1.7102848880201236</v>
      </c>
      <c r="X31" s="4">
        <f>S31/$R55</f>
        <v>1.559550242862483</v>
      </c>
    </row>
    <row r="33" spans="1:27" x14ac:dyDescent="0.25">
      <c r="A33" s="1"/>
      <c r="B33" s="1"/>
      <c r="C33" s="4"/>
      <c r="D33" s="1"/>
      <c r="E33" s="1"/>
      <c r="F33" s="1"/>
      <c r="G33" s="1"/>
      <c r="H33" s="1"/>
      <c r="I33" s="1"/>
      <c r="J33" s="1"/>
      <c r="K33" s="1"/>
      <c r="L33" s="1"/>
    </row>
    <row r="41" spans="1:27" s="6" customFormat="1"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s="6" customFormat="1"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s="6" customFormat="1" x14ac:dyDescent="0.25">
      <c r="A43" s="5"/>
      <c r="B43" s="5"/>
      <c r="C43" s="5"/>
      <c r="D43" s="5"/>
      <c r="E43" s="5"/>
      <c r="F43" s="5"/>
      <c r="G43" s="5"/>
      <c r="H43" s="5"/>
      <c r="I43" s="5"/>
      <c r="J43" s="5"/>
      <c r="K43" s="5"/>
      <c r="L43" s="5"/>
      <c r="M43" s="5"/>
      <c r="N43" s="5"/>
      <c r="O43"/>
      <c r="P43"/>
      <c r="Q43" s="5"/>
      <c r="R43" s="5"/>
      <c r="S43" s="5"/>
      <c r="T43" s="5"/>
      <c r="U43" s="5"/>
      <c r="V43" s="5"/>
      <c r="W43" s="5"/>
      <c r="X43" s="5"/>
      <c r="Y43" s="5"/>
      <c r="Z43" s="5"/>
      <c r="AA43" s="5"/>
    </row>
    <row r="47" spans="1:27" s="5" customFormat="1" x14ac:dyDescent="0.25"/>
    <row r="48" spans="1:27" s="5" customFormat="1" x14ac:dyDescent="0.25"/>
    <row r="49" spans="1:27" s="5" customFormat="1" x14ac:dyDescent="0.25">
      <c r="O49"/>
      <c r="P49"/>
    </row>
    <row r="52" spans="1:27" s="1" customFormat="1" x14ac:dyDescent="0.25">
      <c r="A52"/>
      <c r="B52"/>
      <c r="C52"/>
      <c r="D52"/>
      <c r="E52"/>
      <c r="F52"/>
      <c r="G52"/>
      <c r="H52"/>
      <c r="I52"/>
      <c r="J52"/>
      <c r="K52"/>
      <c r="L52"/>
      <c r="M52"/>
      <c r="N52"/>
      <c r="O52"/>
      <c r="P52"/>
      <c r="Q52"/>
      <c r="R52"/>
      <c r="S52"/>
      <c r="T52"/>
      <c r="U52"/>
      <c r="V52"/>
      <c r="W52"/>
      <c r="X52"/>
      <c r="Y52"/>
      <c r="Z52"/>
      <c r="AA52"/>
    </row>
    <row r="53" spans="1:27" x14ac:dyDescent="0.25">
      <c r="A53" t="s">
        <v>6</v>
      </c>
      <c r="B53">
        <v>1</v>
      </c>
      <c r="D53">
        <v>3970</v>
      </c>
      <c r="E53">
        <v>15690</v>
      </c>
      <c r="F53">
        <v>1160900</v>
      </c>
      <c r="H53">
        <v>810300</v>
      </c>
      <c r="I53">
        <f t="shared" si="20"/>
        <v>0.69465527381330128</v>
      </c>
      <c r="J53">
        <f t="shared" si="15"/>
        <v>-2.5013500978573315</v>
      </c>
      <c r="K53">
        <f t="shared" si="16"/>
        <v>-1.7338037679231526</v>
      </c>
      <c r="M53">
        <f t="shared" si="21"/>
        <v>0.99154811130004306</v>
      </c>
      <c r="N53">
        <f>I53/L$31</f>
        <v>0.47513425092309503</v>
      </c>
    </row>
    <row r="54" spans="1:27" x14ac:dyDescent="0.25">
      <c r="A54" t="s">
        <v>6</v>
      </c>
      <c r="B54">
        <v>2</v>
      </c>
      <c r="D54">
        <v>4162</v>
      </c>
      <c r="E54">
        <v>15473</v>
      </c>
      <c r="F54">
        <v>1218300</v>
      </c>
      <c r="H54">
        <v>753900</v>
      </c>
      <c r="I54">
        <f t="shared" si="20"/>
        <v>0.68427810579231052</v>
      </c>
      <c r="J54">
        <f t="shared" si="15"/>
        <v>-2.5868284283149161</v>
      </c>
      <c r="K54">
        <f t="shared" si="16"/>
        <v>-1.7930528316787981</v>
      </c>
      <c r="M54">
        <f t="shared" si="21"/>
        <v>0.97673578389140958</v>
      </c>
      <c r="N54">
        <f t="shared" ref="N54:N55" si="22">I54/L$31</f>
        <v>0.46803641673076196</v>
      </c>
    </row>
    <row r="55" spans="1:27" x14ac:dyDescent="0.25">
      <c r="A55" t="s">
        <v>6</v>
      </c>
      <c r="B55">
        <v>3</v>
      </c>
      <c r="D55">
        <v>3803</v>
      </c>
      <c r="E55">
        <v>15825</v>
      </c>
      <c r="F55">
        <v>1048600</v>
      </c>
      <c r="H55">
        <v>919000</v>
      </c>
      <c r="I55">
        <f t="shared" si="20"/>
        <v>0.72279602483807681</v>
      </c>
      <c r="J55">
        <f t="shared" si="15"/>
        <v>-2.2473233399124335</v>
      </c>
      <c r="K55">
        <f t="shared" si="16"/>
        <v>-1.5577258368668625</v>
      </c>
      <c r="L55">
        <f>AVERAGE(I53:I55)</f>
        <v>0.7005764681478962</v>
      </c>
      <c r="M55">
        <f t="shared" si="21"/>
        <v>1.0317161048085473</v>
      </c>
      <c r="N55">
        <f t="shared" si="22"/>
        <v>0.49438212128787623</v>
      </c>
      <c r="O55">
        <f>L55/L$31</f>
        <v>0.4791842629805777</v>
      </c>
      <c r="R55">
        <f>AVERAGE(I53:I55)</f>
        <v>0.7005764681478962</v>
      </c>
    </row>
    <row r="56" spans="1:27" x14ac:dyDescent="0.25">
      <c r="J56">
        <f>AVERAGE(J53:J55)</f>
        <v>-2.4451672886948939</v>
      </c>
      <c r="K56">
        <f>AVERAGE(K53:K55)</f>
        <v>-1.6948608121562712</v>
      </c>
      <c r="O56">
        <f>_xlfn.STDEV.S(N53:N55)</f>
        <v>1.3631800519447327E-2</v>
      </c>
    </row>
    <row r="57" spans="1:27" x14ac:dyDescent="0.25">
      <c r="O57">
        <f>O56/SQRT(COUNT(N53:N55))</f>
        <v>7.8703236994421954E-3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2020-12-27T23:28:16Z</dcterms:modified>
</cp:coreProperties>
</file>