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462" documentId="13_ncr:1_{1EE3FB85-C378-4B52-B350-B5724775AFE2}" xr6:coauthVersionLast="46" xr6:coauthVersionMax="46" xr10:uidLastSave="{6F38CCF6-1973-46FC-A109-518BE5B46995}"/>
  <bookViews>
    <workbookView xWindow="10035" yWindow="4485" windowWidth="22410" windowHeight="12930" activeTab="1" xr2:uid="{00000000-000D-0000-FFFF-FFFF00000000}"/>
  </bookViews>
  <sheets>
    <sheet name="what if didnt correct" sheetId="3" r:id="rId1"/>
    <sheet name="Sheet1" sheetId="1" r:id="rId2"/>
    <sheet name="Sheet2"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 i="1" l="1"/>
  <c r="Q21" i="1"/>
  <c r="Q33" i="1"/>
  <c r="P33" i="1"/>
  <c r="R20" i="1"/>
  <c r="Q20" i="1"/>
  <c r="P20" i="1"/>
  <c r="O34" i="1"/>
  <c r="O33" i="1"/>
  <c r="R33" i="1"/>
  <c r="O21" i="1"/>
  <c r="O20" i="1" l="1"/>
  <c r="I5" i="1"/>
  <c r="I4" i="1"/>
  <c r="I33" i="1"/>
  <c r="G5" i="1"/>
  <c r="G4" i="1"/>
  <c r="G6" i="1" s="1"/>
  <c r="E4" i="1"/>
  <c r="I11" i="1"/>
  <c r="I12" i="1"/>
  <c r="I13" i="1"/>
  <c r="I14" i="1"/>
  <c r="I15" i="1"/>
  <c r="I16" i="1"/>
  <c r="I17" i="1"/>
  <c r="I18" i="1"/>
  <c r="I19" i="1"/>
  <c r="I20" i="1"/>
  <c r="I21" i="1"/>
  <c r="I22" i="1"/>
  <c r="I23" i="1"/>
  <c r="I24" i="1"/>
  <c r="I25" i="1"/>
  <c r="I26" i="1"/>
  <c r="I27" i="1"/>
  <c r="I28" i="1"/>
  <c r="I29" i="1"/>
  <c r="I30" i="1"/>
  <c r="I31" i="1"/>
  <c r="I32" i="1"/>
  <c r="G11" i="1"/>
  <c r="G12" i="1"/>
  <c r="G13" i="1"/>
  <c r="G14" i="1"/>
  <c r="G15" i="1"/>
  <c r="G16" i="1"/>
  <c r="G17" i="1"/>
  <c r="G18" i="1"/>
  <c r="G19" i="1"/>
  <c r="G20" i="1"/>
  <c r="G21" i="1"/>
  <c r="G22" i="1"/>
  <c r="G23" i="1"/>
  <c r="G24" i="1"/>
  <c r="G25" i="1"/>
  <c r="G26" i="1"/>
  <c r="G27" i="1"/>
  <c r="G28" i="1"/>
  <c r="G29" i="1"/>
  <c r="G30" i="1"/>
  <c r="G31" i="1"/>
  <c r="G32" i="1"/>
  <c r="G33" i="1"/>
  <c r="G10" i="1"/>
  <c r="E11" i="1"/>
  <c r="E12" i="1"/>
  <c r="E13" i="1"/>
  <c r="E14" i="1"/>
  <c r="E15" i="1"/>
  <c r="E16" i="1"/>
  <c r="E17" i="1"/>
  <c r="E18" i="1"/>
  <c r="E19" i="1"/>
  <c r="E20" i="1"/>
  <c r="E21" i="1"/>
  <c r="E22" i="1"/>
  <c r="E23" i="1"/>
  <c r="E24" i="1"/>
  <c r="E25" i="1"/>
  <c r="E26" i="1"/>
  <c r="E27" i="1"/>
  <c r="E28" i="1"/>
  <c r="E29" i="1"/>
  <c r="E30" i="1"/>
  <c r="E31" i="1"/>
  <c r="E32" i="1"/>
  <c r="E33" i="1"/>
  <c r="E10" i="1"/>
  <c r="I10" i="1"/>
  <c r="K19" i="1" l="1"/>
  <c r="L19" i="1" s="1"/>
  <c r="K27" i="1"/>
  <c r="K11" i="1"/>
  <c r="K20" i="1"/>
  <c r="L20" i="1" s="1"/>
  <c r="K28" i="1"/>
  <c r="K12" i="1"/>
  <c r="K21" i="1"/>
  <c r="K29" i="1"/>
  <c r="K13" i="1"/>
  <c r="K30" i="1"/>
  <c r="K14" i="1"/>
  <c r="N14" i="1" s="1"/>
  <c r="K23" i="1"/>
  <c r="K31" i="1"/>
  <c r="K16" i="1"/>
  <c r="L16" i="1" s="1"/>
  <c r="K15" i="1"/>
  <c r="K24" i="1"/>
  <c r="K32" i="1"/>
  <c r="K17" i="1"/>
  <c r="K25" i="1"/>
  <c r="K33" i="1"/>
  <c r="K18" i="1"/>
  <c r="M18" i="1" s="1"/>
  <c r="K26" i="1"/>
  <c r="K10" i="1"/>
  <c r="K22" i="1"/>
  <c r="M15" i="1"/>
  <c r="M17" i="1"/>
  <c r="L14" i="1"/>
  <c r="M14" i="1"/>
  <c r="N16" i="1" l="1"/>
  <c r="M16" i="1"/>
  <c r="N10" i="1"/>
  <c r="M12" i="1"/>
  <c r="N12" i="1"/>
  <c r="L29" i="1"/>
  <c r="M29" i="1"/>
  <c r="N29" i="1"/>
  <c r="L26" i="1"/>
  <c r="M26" i="1"/>
  <c r="N26" i="1"/>
  <c r="M10" i="1"/>
  <c r="M19" i="1"/>
  <c r="L18" i="1"/>
  <c r="N18" i="1"/>
  <c r="L31" i="1"/>
  <c r="M31" i="1"/>
  <c r="N31" i="1"/>
  <c r="M28" i="1"/>
  <c r="N28" i="1"/>
  <c r="L28" i="1"/>
  <c r="M13" i="1"/>
  <c r="N13" i="1"/>
  <c r="M24" i="1"/>
  <c r="N24" i="1"/>
  <c r="L24" i="1"/>
  <c r="L21" i="1"/>
  <c r="M21" i="1"/>
  <c r="N21" i="1"/>
  <c r="N19" i="1"/>
  <c r="M20" i="1"/>
  <c r="N25" i="1"/>
  <c r="L25" i="1"/>
  <c r="M25" i="1"/>
  <c r="N11" i="1"/>
  <c r="M11" i="1"/>
  <c r="M32" i="1"/>
  <c r="N32" i="1"/>
  <c r="L32" i="1"/>
  <c r="L22" i="1"/>
  <c r="M22" i="1"/>
  <c r="N22" i="1"/>
  <c r="N15" i="1"/>
  <c r="L15" i="1"/>
  <c r="N33" i="1"/>
  <c r="L33" i="1"/>
  <c r="M33" i="1"/>
  <c r="L23" i="1"/>
  <c r="M23" i="1"/>
  <c r="N23" i="1"/>
  <c r="N20" i="1"/>
  <c r="N17" i="1"/>
  <c r="L17" i="1"/>
  <c r="L30" i="1"/>
  <c r="M30" i="1"/>
  <c r="N30" i="1"/>
  <c r="L27" i="1"/>
  <c r="M27" i="1"/>
  <c r="N27" i="1"/>
  <c r="K55" i="3"/>
  <c r="J55" i="3"/>
  <c r="I55" i="3"/>
  <c r="K54" i="3"/>
  <c r="J54" i="3"/>
  <c r="I54" i="3"/>
  <c r="K53" i="3"/>
  <c r="K56" i="3" s="1"/>
  <c r="J53" i="3"/>
  <c r="J56" i="3" s="1"/>
  <c r="I53" i="3"/>
  <c r="R55" i="3" s="1"/>
  <c r="M54" i="3" s="1"/>
  <c r="O31" i="3"/>
  <c r="P31" i="3" s="1"/>
  <c r="K31" i="3"/>
  <c r="N31" i="3" s="1"/>
  <c r="J31" i="3"/>
  <c r="I31" i="3"/>
  <c r="K30" i="3"/>
  <c r="J30" i="3"/>
  <c r="I30" i="3"/>
  <c r="K29" i="3"/>
  <c r="J29" i="3"/>
  <c r="I29" i="3"/>
  <c r="K28" i="3"/>
  <c r="J28" i="3"/>
  <c r="I28" i="3"/>
  <c r="L31" i="3" s="1"/>
  <c r="H21" i="3"/>
  <c r="I21" i="3" s="1"/>
  <c r="R31" i="3" s="1"/>
  <c r="W31" i="3" s="1"/>
  <c r="F21" i="3"/>
  <c r="E14" i="3"/>
  <c r="D14" i="3"/>
  <c r="E13" i="3"/>
  <c r="D13" i="3"/>
  <c r="E12" i="3"/>
  <c r="D12" i="3"/>
  <c r="E11" i="3"/>
  <c r="D11" i="3"/>
  <c r="E10" i="3"/>
  <c r="D10" i="3"/>
  <c r="E5" i="3"/>
  <c r="I5" i="3" s="1"/>
  <c r="D5" i="3"/>
  <c r="E2" i="3"/>
  <c r="D2" i="3"/>
  <c r="J21" i="3" l="1"/>
  <c r="I2" i="3"/>
  <c r="I14" i="3"/>
  <c r="J14" i="3"/>
  <c r="K14" i="3"/>
  <c r="N29" i="3"/>
  <c r="N30" i="3"/>
  <c r="M29" i="3"/>
  <c r="N54" i="3"/>
  <c r="N55" i="3"/>
  <c r="M31" i="3"/>
  <c r="J2" i="3"/>
  <c r="K2" i="3"/>
  <c r="J5" i="3"/>
  <c r="K5" i="3"/>
  <c r="L55" i="3"/>
  <c r="O55" i="3" s="1"/>
  <c r="M55" i="3"/>
  <c r="M53" i="3"/>
  <c r="N53" i="3"/>
  <c r="O56" i="3" s="1"/>
  <c r="O57" i="3" s="1"/>
  <c r="G11" i="2"/>
  <c r="H11" i="2" s="1"/>
  <c r="I11" i="2" s="1"/>
  <c r="F11" i="2"/>
  <c r="E11" i="2"/>
  <c r="D11" i="2"/>
  <c r="G7" i="2"/>
  <c r="Q2" i="2"/>
  <c r="F7" i="2"/>
  <c r="H7" i="2" s="1"/>
  <c r="E7" i="2"/>
  <c r="D7" i="2"/>
  <c r="I10" i="3" l="1"/>
  <c r="J10" i="3"/>
  <c r="K10" i="3"/>
  <c r="I13" i="3"/>
  <c r="K13" i="3"/>
  <c r="J13" i="3"/>
  <c r="I11" i="3"/>
  <c r="K11" i="3"/>
  <c r="J11" i="3"/>
  <c r="I12" i="3"/>
  <c r="J12" i="3"/>
  <c r="K12" i="3"/>
  <c r="I7" i="2"/>
  <c r="K46" i="1"/>
  <c r="I46" i="1"/>
  <c r="M46" i="1" l="1"/>
  <c r="L46" i="1"/>
  <c r="M14" i="3"/>
  <c r="L14" i="3"/>
  <c r="S31" i="3"/>
  <c r="X31" i="3" s="1"/>
  <c r="O14" i="3" l="1"/>
  <c r="N14" i="3"/>
  <c r="O24" i="1" l="1"/>
  <c r="O40" i="1" s="1"/>
  <c r="P24" i="1"/>
  <c r="R24" i="1" l="1"/>
  <c r="Q24" i="1"/>
  <c r="N70" i="1"/>
  <c r="L70" i="1" l="1"/>
  <c r="M70" i="1"/>
  <c r="N72" i="1"/>
  <c r="N71" i="1" l="1"/>
  <c r="N73" i="1" s="1"/>
  <c r="L71" i="1"/>
  <c r="M71" i="1"/>
  <c r="M72" i="1"/>
  <c r="L72" i="1"/>
  <c r="Q71" i="1" l="1"/>
  <c r="O72" i="1"/>
  <c r="M73" i="1"/>
  <c r="U72" i="1"/>
  <c r="Q70" i="1" l="1"/>
  <c r="R72" i="1"/>
  <c r="Q72" i="1"/>
  <c r="P72" i="1"/>
  <c r="P71" i="1"/>
  <c r="P70" i="1"/>
  <c r="R73" i="1" l="1"/>
  <c r="R74" i="1" s="1"/>
</calcChain>
</file>

<file path=xl/sharedStrings.xml><?xml version="1.0" encoding="utf-8"?>
<sst xmlns="http://schemas.openxmlformats.org/spreadsheetml/2006/main" count="153" uniqueCount="79">
  <si>
    <t>Replicate</t>
  </si>
  <si>
    <t>W_W</t>
  </si>
  <si>
    <t>Delaney</t>
  </si>
  <si>
    <t>line</t>
  </si>
  <si>
    <t>r_W</t>
  </si>
  <si>
    <t>syn1.0_anc</t>
  </si>
  <si>
    <t>syn3B_anc</t>
  </si>
  <si>
    <t>T0_mCherry</t>
  </si>
  <si>
    <t>T0_SOI</t>
  </si>
  <si>
    <t>T24_mCherry</t>
  </si>
  <si>
    <t>T24_SOI</t>
  </si>
  <si>
    <t>W div syn3B ancestor</t>
  </si>
  <si>
    <t>B_vs_mCherry</t>
  </si>
  <si>
    <t>1_vs_mCherry</t>
  </si>
  <si>
    <t>B_vs_B.anc</t>
  </si>
  <si>
    <t>1_vs_1.anc</t>
  </si>
  <si>
    <t>B_vs_1.anc</t>
  </si>
  <si>
    <t>1_vs_B.anc</t>
  </si>
  <si>
    <t>note</t>
  </si>
  <si>
    <t>standard deviation</t>
  </si>
  <si>
    <t>CV (%)</t>
  </si>
  <si>
    <t>All below are from the original FCCF</t>
  </si>
  <si>
    <t>test</t>
  </si>
  <si>
    <t>Multiplied by 2 because i inoc'd with double the volume of the mCherry strain</t>
  </si>
  <si>
    <t>Next set is 5 replicates, competitions started 20201226</t>
  </si>
  <si>
    <t>a</t>
  </si>
  <si>
    <t>b</t>
  </si>
  <si>
    <t>c</t>
  </si>
  <si>
    <t>d</t>
  </si>
  <si>
    <t>e</t>
  </si>
  <si>
    <t>Multiply 3/2 for mCherry, 2/3 for WT</t>
  </si>
  <si>
    <t>Note: There was a subpop of the mCherry strain not xprssing mCherry. I did not include it in the mCherry counts for T0.</t>
  </si>
  <si>
    <t>There is probably a good way to SUBTRACT the non-expressing mCherry cells out from the WT subpop in the T24 timepoints…</t>
  </si>
  <si>
    <t>here's the answer: Calculate the proportion of mCherry cells that appear as non-mCherry in the T24 axenic sample. Then, also calculate that proportion in each of the T24 samples, and subtract that amount from the WT cell counts.</t>
  </si>
  <si>
    <t>If you INCLUDED the non-xprssing mCherry cells in the axenic T0 and T24 counts, then you would ADD that amount to the mCherry mixed T24 total (instead of JUST subtracting it from the WT count).</t>
  </si>
  <si>
    <t>`</t>
  </si>
  <si>
    <t>Here is the calcn</t>
  </si>
  <si>
    <t>mCherry+</t>
  </si>
  <si>
    <t>mCherry-</t>
  </si>
  <si>
    <t>Neg as a proportion ofpos</t>
  </si>
  <si>
    <t>Neg as a proportion of tot</t>
  </si>
  <si>
    <t>So for each competition, I subtract from the observed WT count an amount equal to 0.167 of the observed mCherry+ count</t>
  </si>
  <si>
    <t>T24_SOI_raw</t>
  </si>
  <si>
    <t>Mean</t>
  </si>
  <si>
    <t>Std dev</t>
  </si>
  <si>
    <t>SEM</t>
  </si>
  <si>
    <t>CV</t>
  </si>
  <si>
    <t>Total</t>
  </si>
  <si>
    <t>False neg</t>
  </si>
  <si>
    <t>True pos</t>
  </si>
  <si>
    <t>mC x T0</t>
  </si>
  <si>
    <t>mC x T24</t>
  </si>
  <si>
    <t>Mix T24</t>
  </si>
  <si>
    <t>WT x T0</t>
  </si>
  <si>
    <t>Obs pos</t>
  </si>
  <si>
    <t>Obs neg</t>
  </si>
  <si>
    <t>Assume equal starting ratios</t>
  </si>
  <si>
    <t>false neg/true pos</t>
  </si>
  <si>
    <t>Method 2</t>
  </si>
  <si>
    <t>Method 1: Ignore false neg for T0, and don't add them at T24, only subtract them at T24</t>
  </si>
  <si>
    <t>Include the false negs at T0; at T24, subtract them from WT AND ADD THEM to mC</t>
  </si>
  <si>
    <t>Fitness goes up to 1.17 if you don’t include the correction</t>
  </si>
  <si>
    <t>Multiply 3/2 for mCherry, 2/3 for WT, based on inocn volumes</t>
  </si>
  <si>
    <t>T0_mCherry_raw</t>
  </si>
  <si>
    <t>f</t>
  </si>
  <si>
    <t>T0_SOI_raw</t>
  </si>
  <si>
    <t>Multipled by e.g., 1.2 to represent that 12 μL were inocd in the mixed culture.</t>
  </si>
  <si>
    <t>g</t>
  </si>
  <si>
    <t>h</t>
  </si>
  <si>
    <t>i</t>
  </si>
  <si>
    <t>j</t>
  </si>
  <si>
    <t>k</t>
  </si>
  <si>
    <t>l</t>
  </si>
  <si>
    <t>T24_mCherry_raw</t>
  </si>
  <si>
    <t>In this case, by 4 or by 2 to represent 40 μL or 20 μL inoculum</t>
  </si>
  <si>
    <t>mCherry true positives</t>
  </si>
  <si>
    <t>mCherry false negs</t>
  </si>
  <si>
    <t>ratio false negs per true pos</t>
  </si>
  <si>
    <t>mCherry strain was totally outcompeted in these replicates. They are not usable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</si>
</sst>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0" fillId="3" borderId="0" xfId="0" applyFill="1"/>
    <xf numFmtId="0" fontId="1" fillId="0" borderId="0" xfId="1" applyFill="1"/>
    <xf numFmtId="0" fontId="2" fillId="0" borderId="0" xfId="0" applyFont="1"/>
    <xf numFmtId="0" fontId="0" fillId="0" borderId="0" xfId="0" applyFill="1"/>
    <xf numFmtId="0" fontId="3" fillId="0" borderId="0" xfId="0" applyFont="1"/>
    <xf numFmtId="0" fontId="3" fillId="3" borderId="0" xfId="0" applyFont="1" applyFill="1"/>
    <xf numFmtId="0" fontId="4" fillId="0" borderId="0" xfId="0" applyFont="1"/>
    <xf numFmtId="0" fontId="5" fillId="0" borderId="0" xfId="0" applyFo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1225_Lennon.FC.competition.pi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at if didnt correct"/>
      <sheetName val="Sheet1"/>
      <sheetName val="Sheet2"/>
    </sheetNames>
    <sheetDataSet>
      <sheetData sheetId="0"/>
      <sheetData sheetId="1">
        <row r="10">
          <cell r="J10">
            <v>1.188790922184471</v>
          </cell>
        </row>
        <row r="11">
          <cell r="J11">
            <v>1.1652544233932831</v>
          </cell>
        </row>
        <row r="12">
          <cell r="J12">
            <v>1.0237541161547665</v>
          </cell>
        </row>
        <row r="13">
          <cell r="J13">
            <v>1.0416114604177584</v>
          </cell>
        </row>
        <row r="14">
          <cell r="J14">
            <v>1.0928048510786788</v>
          </cell>
          <cell r="M14">
            <v>1.1024431546457916</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0763-E788-48D5-AB71-A6DFB93F7556}">
  <dimension ref="A1:AA57"/>
  <sheetViews>
    <sheetView zoomScaleNormal="100" workbookViewId="0">
      <pane ySplit="1" topLeftCell="A2" activePane="bottomLeft" state="frozen"/>
      <selection pane="bottomLeft" activeCell="D15" sqref="D15"/>
    </sheetView>
  </sheetViews>
  <sheetFormatPr defaultRowHeight="15" x14ac:dyDescent="0.25"/>
  <cols>
    <col min="1" max="1" width="11.28515625" customWidth="1"/>
    <col min="2" max="3" width="9.28515625" customWidth="1"/>
    <col min="6" max="7" width="10.140625" customWidth="1"/>
    <col min="11" max="14" width="12.28515625" customWidth="1"/>
    <col min="15" max="15" width="25" customWidth="1"/>
    <col min="16" max="16" width="12.28515625" customWidth="1"/>
    <col min="17" max="18" width="12.140625" customWidth="1"/>
    <col min="19" max="22" width="16" customWidth="1"/>
    <col min="23" max="23" width="14" customWidth="1"/>
    <col min="24" max="24" width="10.28515625" customWidth="1"/>
    <col min="25" max="25" width="9.28515625" customWidth="1"/>
  </cols>
  <sheetData>
    <row r="1" spans="1:27" x14ac:dyDescent="0.25">
      <c r="A1" t="s">
        <v>3</v>
      </c>
      <c r="B1" t="s">
        <v>0</v>
      </c>
      <c r="C1" t="s">
        <v>18</v>
      </c>
      <c r="D1" t="s">
        <v>7</v>
      </c>
      <c r="E1" t="s">
        <v>8</v>
      </c>
      <c r="F1" t="s">
        <v>9</v>
      </c>
      <c r="G1" t="s">
        <v>42</v>
      </c>
      <c r="H1" t="s">
        <v>10</v>
      </c>
      <c r="I1" t="s">
        <v>1</v>
      </c>
      <c r="J1" t="s">
        <v>2</v>
      </c>
      <c r="K1" t="s">
        <v>4</v>
      </c>
      <c r="M1" t="s">
        <v>11</v>
      </c>
      <c r="O1" t="s">
        <v>19</v>
      </c>
      <c r="P1" t="s">
        <v>20</v>
      </c>
      <c r="Q1" t="s">
        <v>12</v>
      </c>
      <c r="R1" t="s">
        <v>13</v>
      </c>
      <c r="S1" t="s">
        <v>14</v>
      </c>
      <c r="T1" t="s">
        <v>15</v>
      </c>
      <c r="U1" t="s">
        <v>16</v>
      </c>
      <c r="V1" t="s">
        <v>17</v>
      </c>
    </row>
    <row r="2" spans="1:27" s="4" customFormat="1" x14ac:dyDescent="0.25">
      <c r="A2" s="4" t="s">
        <v>5</v>
      </c>
      <c r="B2" s="4">
        <v>1</v>
      </c>
      <c r="D2" s="4">
        <f>2*17517</f>
        <v>35034</v>
      </c>
      <c r="E2" s="4">
        <f>34741</f>
        <v>34741</v>
      </c>
      <c r="F2" s="4">
        <v>6803600</v>
      </c>
      <c r="H2" s="4">
        <v>2375700</v>
      </c>
      <c r="I2" s="4">
        <f t="shared" ref="I2" si="0">(LN(H2/E2))/(LN(F2/D2))</f>
        <v>0.8019010365187369</v>
      </c>
      <c r="J2" s="4">
        <f t="shared" ref="J2" si="1">LOG((H2/F2)/(E2/D2),2)</f>
        <v>-1.5058292226528853</v>
      </c>
      <c r="K2">
        <f t="shared" ref="K2" si="2">(LN(H2/E2))-(LN(F2/D2))</f>
        <v>-1.0437612800866223</v>
      </c>
    </row>
    <row r="3" spans="1:27" x14ac:dyDescent="0.25">
      <c r="AA3" s="2"/>
    </row>
    <row r="4" spans="1:27" x14ac:dyDescent="0.25">
      <c r="A4" t="s">
        <v>22</v>
      </c>
      <c r="D4" s="3"/>
      <c r="E4" s="3"/>
      <c r="F4" s="3"/>
      <c r="G4" s="3"/>
      <c r="H4" s="3"/>
    </row>
    <row r="5" spans="1:27" s="4" customFormat="1" x14ac:dyDescent="0.25">
      <c r="A5" s="4" t="s">
        <v>5</v>
      </c>
      <c r="B5" s="4">
        <v>1</v>
      </c>
      <c r="D5" s="4">
        <f>2*17517</f>
        <v>35034</v>
      </c>
      <c r="E5" s="4">
        <f>34741</f>
        <v>34741</v>
      </c>
      <c r="F5" s="4">
        <v>3180400</v>
      </c>
      <c r="H5" s="4">
        <v>2310000</v>
      </c>
      <c r="I5" s="4">
        <f t="shared" ref="I5" si="3">(LN(H5/E5))/(LN(F5/D5))</f>
        <v>0.93093825043839862</v>
      </c>
      <c r="J5" s="4">
        <f t="shared" ref="J5" si="4">LOG((H5/F5)/(E5/D5),2)</f>
        <v>-0.44919893837139152</v>
      </c>
      <c r="K5">
        <f t="shared" ref="K5" si="5">(LN(H5/E5))-(LN(F5/D5))</f>
        <v>-0.31136097764265003</v>
      </c>
    </row>
    <row r="6" spans="1:27" s="5" customFormat="1" x14ac:dyDescent="0.25">
      <c r="O6" s="3"/>
      <c r="P6" s="3"/>
      <c r="Q6" s="3"/>
      <c r="R6" s="3"/>
      <c r="S6" s="3"/>
      <c r="T6" s="3"/>
      <c r="U6" s="3"/>
      <c r="V6" s="3"/>
      <c r="W6" s="3"/>
      <c r="X6" s="3"/>
      <c r="Y6" s="3"/>
    </row>
    <row r="7" spans="1:27" s="5" customFormat="1" x14ac:dyDescent="0.25">
      <c r="O7"/>
      <c r="P7"/>
      <c r="Q7" s="3"/>
      <c r="R7" s="3"/>
      <c r="S7" s="3"/>
      <c r="T7" s="3"/>
      <c r="U7" s="3"/>
      <c r="V7" s="3"/>
      <c r="W7" s="3"/>
      <c r="X7" s="3"/>
      <c r="Y7" s="3"/>
    </row>
    <row r="8" spans="1:27" x14ac:dyDescent="0.25">
      <c r="D8" s="3" t="s">
        <v>23</v>
      </c>
      <c r="E8" s="3"/>
      <c r="F8" s="3"/>
      <c r="G8" s="3"/>
      <c r="H8" s="3"/>
      <c r="O8" s="3"/>
      <c r="P8" s="3"/>
      <c r="Q8" s="3"/>
      <c r="R8" s="3"/>
      <c r="S8" s="3"/>
      <c r="T8" s="3"/>
      <c r="U8" s="3"/>
      <c r="V8" s="3"/>
      <c r="W8" s="3"/>
      <c r="X8" s="3"/>
      <c r="Y8" s="3"/>
    </row>
    <row r="9" spans="1:27" x14ac:dyDescent="0.25">
      <c r="A9" t="s">
        <v>24</v>
      </c>
      <c r="D9" s="3"/>
      <c r="E9" s="3"/>
      <c r="F9" s="3"/>
      <c r="G9" s="3"/>
      <c r="H9" s="3" t="s">
        <v>61</v>
      </c>
      <c r="O9" s="3"/>
      <c r="P9" s="3"/>
      <c r="Q9" s="3"/>
      <c r="R9" s="3"/>
      <c r="S9" s="3"/>
      <c r="T9" s="3"/>
      <c r="U9" s="3"/>
      <c r="V9" s="3"/>
      <c r="W9" s="3"/>
      <c r="X9" s="3"/>
      <c r="Y9" s="3"/>
    </row>
    <row r="10" spans="1:27" x14ac:dyDescent="0.25">
      <c r="A10" s="4" t="s">
        <v>5</v>
      </c>
      <c r="B10" s="4" t="s">
        <v>25</v>
      </c>
      <c r="C10" s="4"/>
      <c r="D10" s="4">
        <f>3/2*53613</f>
        <v>80419.5</v>
      </c>
      <c r="E10" s="4">
        <f>2/3*68350</f>
        <v>45566.666666666664</v>
      </c>
      <c r="F10" s="4">
        <v>3614800</v>
      </c>
      <c r="G10" s="4">
        <v>5079100</v>
      </c>
      <c r="H10" s="4">
        <v>5079100</v>
      </c>
      <c r="I10" s="4">
        <f>(LN(H10/E10))/(LN(F10/D10))</f>
        <v>1.2386465374636673</v>
      </c>
      <c r="J10" s="4">
        <f>LOG((H10/F10)/(E10/D10),2)</f>
        <v>1.3102235802073772</v>
      </c>
      <c r="K10">
        <f>(LN(H10/E10))-(LN(F10/D10))</f>
        <v>0.9081777805239013</v>
      </c>
      <c r="Q10" s="3"/>
      <c r="R10" s="3"/>
      <c r="S10" s="3"/>
      <c r="T10" s="3"/>
      <c r="U10" s="3"/>
      <c r="V10" s="3"/>
      <c r="W10" s="3"/>
      <c r="X10" s="3"/>
      <c r="Y10" s="3"/>
    </row>
    <row r="11" spans="1:27" x14ac:dyDescent="0.25">
      <c r="A11" s="4" t="s">
        <v>5</v>
      </c>
      <c r="B11" s="4" t="s">
        <v>26</v>
      </c>
      <c r="C11" s="4"/>
      <c r="D11" s="4">
        <f t="shared" ref="D11:D14" si="6">3/2*53613</f>
        <v>80419.5</v>
      </c>
      <c r="E11" s="4">
        <f>2/3*72338</f>
        <v>48225.333333333328</v>
      </c>
      <c r="F11" s="4">
        <v>3569600</v>
      </c>
      <c r="G11" s="4">
        <v>4892800</v>
      </c>
      <c r="H11" s="4">
        <v>4892800</v>
      </c>
      <c r="I11" s="4">
        <f>(LN(H11/E11))/(LN(F11/D11))</f>
        <v>1.2179525010893519</v>
      </c>
      <c r="J11" s="4">
        <f>LOG((H11/F11)/(E11/D11),2)</f>
        <v>1.1926520492623915</v>
      </c>
      <c r="K11">
        <f>(LN(H11/E11))-(LN(F11/D11))</f>
        <v>0.82668340533526807</v>
      </c>
      <c r="O11" s="3"/>
      <c r="P11" s="3"/>
      <c r="Q11" s="3"/>
      <c r="R11" s="3"/>
      <c r="S11" s="3"/>
      <c r="T11" s="3"/>
      <c r="U11" s="3"/>
      <c r="V11" s="3"/>
      <c r="W11" s="3"/>
      <c r="X11" s="3"/>
      <c r="Y11" s="3"/>
    </row>
    <row r="12" spans="1:27" x14ac:dyDescent="0.25">
      <c r="A12" s="4" t="s">
        <v>5</v>
      </c>
      <c r="B12" s="4" t="s">
        <v>27</v>
      </c>
      <c r="C12" s="4"/>
      <c r="D12" s="4">
        <f t="shared" si="6"/>
        <v>80419.5</v>
      </c>
      <c r="E12" s="4">
        <f>2/3*87002</f>
        <v>58001.333333333328</v>
      </c>
      <c r="F12" s="4">
        <v>4248800</v>
      </c>
      <c r="G12" s="4">
        <v>4470400</v>
      </c>
      <c r="H12" s="4">
        <v>4470400</v>
      </c>
      <c r="I12" s="4">
        <f>(LN(H12/E12))/(LN(F12/D12))</f>
        <v>1.0951900975504092</v>
      </c>
      <c r="J12" s="4">
        <f>LOG((H12/F12)/(E12/D12),2)</f>
        <v>0.54480779241198118</v>
      </c>
      <c r="K12">
        <f>(LN(H12/E12))-(LN(F12/D12))</f>
        <v>0.37763198525745301</v>
      </c>
      <c r="O12" s="3"/>
      <c r="P12" s="3"/>
      <c r="Q12" s="3"/>
      <c r="R12" s="3"/>
      <c r="S12" s="3"/>
      <c r="T12" s="3"/>
      <c r="U12" s="3"/>
      <c r="V12" s="3"/>
      <c r="W12" s="3"/>
      <c r="X12" s="3"/>
      <c r="Y12" s="3"/>
    </row>
    <row r="13" spans="1:27" x14ac:dyDescent="0.25">
      <c r="A13" s="4" t="s">
        <v>5</v>
      </c>
      <c r="B13" s="4" t="s">
        <v>28</v>
      </c>
      <c r="C13" s="4"/>
      <c r="D13" s="4">
        <f t="shared" si="6"/>
        <v>80419.5</v>
      </c>
      <c r="E13" s="4">
        <f>2/3*71128</f>
        <v>47418.666666666664</v>
      </c>
      <c r="F13" s="4">
        <v>4451600</v>
      </c>
      <c r="G13" s="4">
        <v>4190100</v>
      </c>
      <c r="H13" s="4">
        <v>4190100</v>
      </c>
      <c r="I13" s="4">
        <f>(LN(H13/E13))/(LN(F13/D13))</f>
        <v>1.1165245270235289</v>
      </c>
      <c r="J13" s="4">
        <f>LOG((H13/F13)/(E13/D13),2)</f>
        <v>0.67475097984673671</v>
      </c>
      <c r="K13">
        <f>(LN(H13/E13))-(LN(F13/D13))</f>
        <v>0.46770173926082581</v>
      </c>
      <c r="L13" t="s">
        <v>43</v>
      </c>
      <c r="M13" t="s">
        <v>44</v>
      </c>
      <c r="N13" t="s">
        <v>45</v>
      </c>
      <c r="O13" t="s">
        <v>46</v>
      </c>
      <c r="Q13" s="3"/>
      <c r="R13" s="3"/>
      <c r="S13" s="3"/>
      <c r="T13" s="3"/>
      <c r="U13" s="3"/>
      <c r="V13" s="3"/>
      <c r="W13" s="3"/>
      <c r="X13" s="3"/>
      <c r="Y13" s="3"/>
    </row>
    <row r="14" spans="1:27" s="5" customFormat="1" x14ac:dyDescent="0.25">
      <c r="A14" s="4" t="s">
        <v>5</v>
      </c>
      <c r="B14" s="4" t="s">
        <v>29</v>
      </c>
      <c r="C14" s="4"/>
      <c r="D14" s="4">
        <f t="shared" si="6"/>
        <v>80419.5</v>
      </c>
      <c r="E14" s="4">
        <f>2/3*60028</f>
        <v>40018.666666666664</v>
      </c>
      <c r="F14" s="4">
        <v>4350400</v>
      </c>
      <c r="G14" s="4">
        <v>4159300</v>
      </c>
      <c r="H14" s="4">
        <v>4159300</v>
      </c>
      <c r="I14" s="4">
        <f>(LN(H14/E14))/(LN(F14/D14))</f>
        <v>1.163625129705385</v>
      </c>
      <c r="J14" s="4">
        <f>LOG((H14/F14)/(E14/D14),2)</f>
        <v>0.94206495599582274</v>
      </c>
      <c r="K14">
        <f>(LN(H14/E14))-(LN(F14/D14))</f>
        <v>0.65298966815283377</v>
      </c>
      <c r="L14" s="5">
        <f>AVERAGE(I10:I14)</f>
        <v>1.1663877585664684</v>
      </c>
      <c r="M14" s="5">
        <f>_xlfn.STDEV.S(I10:I14)</f>
        <v>6.2135607165803311E-2</v>
      </c>
      <c r="N14" s="5">
        <f>M14/SQRT(COUNT(I10:I14))</f>
        <v>2.7787888289191848E-2</v>
      </c>
      <c r="O14" s="3">
        <f>M14/L14</f>
        <v>5.3271827237084658E-2</v>
      </c>
      <c r="P14" s="3"/>
      <c r="Q14" s="3"/>
      <c r="R14" s="3"/>
      <c r="S14" s="3"/>
      <c r="T14" s="3"/>
      <c r="U14" s="3"/>
      <c r="V14" s="3"/>
      <c r="W14" s="3"/>
      <c r="X14" s="3"/>
      <c r="Y14" s="3"/>
    </row>
    <row r="15" spans="1:27" s="5" customFormat="1" x14ac:dyDescent="0.25">
      <c r="D15" s="5" t="s">
        <v>62</v>
      </c>
      <c r="O15" s="3"/>
      <c r="P15" s="3"/>
      <c r="Q15" s="3"/>
      <c r="R15" s="3"/>
      <c r="S15" s="3"/>
      <c r="T15" s="3"/>
      <c r="U15" s="3"/>
      <c r="V15" s="3"/>
      <c r="W15" s="3"/>
      <c r="X15" s="3"/>
      <c r="Y15" s="3"/>
    </row>
    <row r="16" spans="1:27" s="5" customFormat="1" x14ac:dyDescent="0.25">
      <c r="D16" s="5" t="s">
        <v>31</v>
      </c>
      <c r="O16"/>
      <c r="P16"/>
      <c r="Q16" s="3"/>
      <c r="R16" s="3"/>
      <c r="S16" s="3"/>
      <c r="T16" s="3"/>
      <c r="U16" s="3"/>
      <c r="V16" s="3"/>
      <c r="W16" s="3"/>
      <c r="X16" s="3"/>
      <c r="Y16" s="3"/>
    </row>
    <row r="17" spans="1:25" x14ac:dyDescent="0.25">
      <c r="D17" s="5" t="s">
        <v>32</v>
      </c>
      <c r="O17" s="3"/>
      <c r="P17" s="3"/>
      <c r="Q17" s="3"/>
      <c r="R17" s="3"/>
      <c r="S17" s="3"/>
      <c r="T17" s="3"/>
      <c r="U17" s="3"/>
      <c r="V17" s="3"/>
      <c r="W17" s="3"/>
      <c r="X17" s="3"/>
      <c r="Y17" s="3"/>
    </row>
    <row r="18" spans="1:25" x14ac:dyDescent="0.25">
      <c r="D18" s="7" t="s">
        <v>33</v>
      </c>
    </row>
    <row r="19" spans="1:25" x14ac:dyDescent="0.25">
      <c r="D19" s="5" t="s">
        <v>34</v>
      </c>
    </row>
    <row r="20" spans="1:25" x14ac:dyDescent="0.25">
      <c r="C20" t="s">
        <v>36</v>
      </c>
      <c r="D20" s="5"/>
      <c r="F20" t="s">
        <v>37</v>
      </c>
      <c r="H20" t="s">
        <v>38</v>
      </c>
      <c r="I20" t="s">
        <v>40</v>
      </c>
      <c r="J20" t="s">
        <v>39</v>
      </c>
    </row>
    <row r="21" spans="1:25" x14ac:dyDescent="0.25">
      <c r="D21" s="5"/>
      <c r="F21">
        <f>59535</f>
        <v>59535</v>
      </c>
      <c r="H21">
        <f>9922</f>
        <v>9922</v>
      </c>
      <c r="I21">
        <f>H21/(F21+H21)</f>
        <v>0.14285097254416401</v>
      </c>
      <c r="J21" s="8">
        <f>H21/F21</f>
        <v>0.16665826824556984</v>
      </c>
    </row>
    <row r="22" spans="1:25" x14ac:dyDescent="0.25">
      <c r="C22" t="s">
        <v>41</v>
      </c>
      <c r="D22" s="5"/>
    </row>
    <row r="23" spans="1:25" x14ac:dyDescent="0.25">
      <c r="D23" s="5"/>
    </row>
    <row r="24" spans="1:25" x14ac:dyDescent="0.25">
      <c r="D24" s="5"/>
    </row>
    <row r="25" spans="1:25" x14ac:dyDescent="0.25">
      <c r="A25" t="s">
        <v>35</v>
      </c>
    </row>
    <row r="26" spans="1:25" x14ac:dyDescent="0.25">
      <c r="A26" t="s">
        <v>21</v>
      </c>
    </row>
    <row r="28" spans="1:25" s="4" customFormat="1" x14ac:dyDescent="0.25">
      <c r="A28" s="4" t="s">
        <v>5</v>
      </c>
      <c r="B28" s="4">
        <v>1</v>
      </c>
      <c r="D28" s="4">
        <v>7577</v>
      </c>
      <c r="E28" s="4">
        <v>11570</v>
      </c>
      <c r="F28" s="4">
        <v>271200</v>
      </c>
      <c r="H28" s="4">
        <v>1490200</v>
      </c>
      <c r="I28" s="4">
        <f t="shared" ref="I28:I55" si="7">(LN(H28/E28))/(LN(F28/D28))</f>
        <v>1.3579106210710727</v>
      </c>
      <c r="J28" s="4">
        <f t="shared" ref="J28:J55" si="8">LOG((H28/F28)/(E28/D28),2)</f>
        <v>1.8473866730044293</v>
      </c>
      <c r="K28">
        <f t="shared" ref="K28:K55" si="9">(LN(H28/E28))-(LN(F28/D28))</f>
        <v>1.2805108637970379</v>
      </c>
    </row>
    <row r="29" spans="1:25" s="4" customFormat="1" x14ac:dyDescent="0.25">
      <c r="A29" s="4" t="s">
        <v>5</v>
      </c>
      <c r="B29" s="4">
        <v>2</v>
      </c>
      <c r="D29" s="4">
        <v>8983</v>
      </c>
      <c r="E29" s="4">
        <v>10078</v>
      </c>
      <c r="F29" s="4">
        <v>259100</v>
      </c>
      <c r="H29" s="4">
        <v>1499300</v>
      </c>
      <c r="I29" s="4">
        <f t="shared" si="7"/>
        <v>1.4879765207232747</v>
      </c>
      <c r="J29" s="4">
        <f t="shared" si="8"/>
        <v>2.3667680428220104</v>
      </c>
      <c r="K29" s="4">
        <f t="shared" si="9"/>
        <v>1.6405185959214568</v>
      </c>
      <c r="M29" s="4">
        <f>I29/$R$55</f>
        <v>2.1239316311280287</v>
      </c>
      <c r="N29" s="4">
        <f>K29/L$31</f>
        <v>1.1220912063615052</v>
      </c>
    </row>
    <row r="30" spans="1:25" s="4" customFormat="1" x14ac:dyDescent="0.25">
      <c r="A30" s="4" t="s">
        <v>5</v>
      </c>
      <c r="B30" s="4">
        <v>3</v>
      </c>
      <c r="D30" s="4">
        <v>9661</v>
      </c>
      <c r="E30" s="4">
        <v>9411</v>
      </c>
      <c r="F30" s="4">
        <v>220600</v>
      </c>
      <c r="H30" s="4">
        <v>1591500</v>
      </c>
      <c r="I30" s="4">
        <f t="shared" si="7"/>
        <v>1.6400692271866495</v>
      </c>
      <c r="J30" s="4">
        <f t="shared" si="8"/>
        <v>2.8887069596733399</v>
      </c>
      <c r="K30" s="4">
        <f t="shared" si="9"/>
        <v>2.002299084561467</v>
      </c>
      <c r="N30" s="4">
        <f t="shared" ref="N30:N31" si="10">K30/L$31</f>
        <v>1.3695438752586273</v>
      </c>
    </row>
    <row r="31" spans="1:25" s="4" customFormat="1" x14ac:dyDescent="0.25">
      <c r="A31" s="4" t="s">
        <v>5</v>
      </c>
      <c r="B31" s="4">
        <v>4</v>
      </c>
      <c r="D31" s="4">
        <v>7429</v>
      </c>
      <c r="E31" s="4">
        <v>11495</v>
      </c>
      <c r="F31" s="4">
        <v>279200</v>
      </c>
      <c r="H31" s="4">
        <v>1606300</v>
      </c>
      <c r="I31" s="4">
        <f t="shared" si="7"/>
        <v>1.3621193903541298</v>
      </c>
      <c r="J31" s="4">
        <f t="shared" si="8"/>
        <v>1.8946039808878004</v>
      </c>
      <c r="K31" s="4">
        <f t="shared" si="9"/>
        <v>1.3132394076300278</v>
      </c>
      <c r="L31" s="4">
        <f>AVERAGE(I28:I31)</f>
        <v>1.4620189398337815</v>
      </c>
      <c r="M31" s="4">
        <f t="shared" ref="M31:M55" si="11">I31/$R$55</f>
        <v>1.9442836753497372</v>
      </c>
      <c r="N31" s="4">
        <f t="shared" si="10"/>
        <v>0.8982369324020737</v>
      </c>
      <c r="O31">
        <f>(_xlfn.STDEV.S(I28:I31))</f>
        <v>0.13315925659889191</v>
      </c>
      <c r="P31">
        <f>O31/(AVERAGE(I28:I31))*100</f>
        <v>9.1079022966714049</v>
      </c>
      <c r="R31" s="4">
        <f>AVERAGE(I17:I37)</f>
        <v>1.1981853463758583</v>
      </c>
      <c r="S31" s="4">
        <f>AVERAGE(I3:I16)</f>
        <v>1.1271461738784567</v>
      </c>
      <c r="W31" s="4">
        <f>R31/$R55</f>
        <v>1.7102848880201236</v>
      </c>
      <c r="X31" s="4">
        <f>S31/$R55</f>
        <v>1.6088838622545754</v>
      </c>
    </row>
    <row r="33" spans="1:27" x14ac:dyDescent="0.25">
      <c r="A33" s="1"/>
      <c r="B33" s="1"/>
      <c r="C33" s="4"/>
      <c r="D33" s="1"/>
      <c r="E33" s="1"/>
      <c r="F33" s="1"/>
      <c r="G33" s="1"/>
      <c r="H33" s="1"/>
      <c r="I33" s="1"/>
      <c r="J33" s="1"/>
      <c r="K33" s="1"/>
      <c r="L33" s="1"/>
    </row>
    <row r="41" spans="1:27" s="6" customFormat="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s="6" customFormat="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s="6" customFormat="1" x14ac:dyDescent="0.25">
      <c r="A43" s="5"/>
      <c r="B43" s="5"/>
      <c r="C43" s="5"/>
      <c r="D43" s="5"/>
      <c r="E43" s="5"/>
      <c r="F43" s="5"/>
      <c r="G43" s="5"/>
      <c r="H43" s="5"/>
      <c r="I43" s="5"/>
      <c r="J43" s="5"/>
      <c r="K43" s="5"/>
      <c r="L43" s="5"/>
      <c r="M43" s="5"/>
      <c r="N43" s="5"/>
      <c r="O43"/>
      <c r="P43"/>
      <c r="Q43" s="5"/>
      <c r="R43" s="5"/>
      <c r="S43" s="5"/>
      <c r="T43" s="5"/>
      <c r="U43" s="5"/>
      <c r="V43" s="5"/>
      <c r="W43" s="5"/>
      <c r="X43" s="5"/>
      <c r="Y43" s="5"/>
      <c r="Z43" s="5"/>
      <c r="AA43" s="5"/>
    </row>
    <row r="47" spans="1:27" s="5" customFormat="1" x14ac:dyDescent="0.25"/>
    <row r="48" spans="1:27" s="5" customFormat="1" x14ac:dyDescent="0.25"/>
    <row r="49" spans="1:27" s="5" customFormat="1" x14ac:dyDescent="0.25">
      <c r="O49"/>
      <c r="P49"/>
    </row>
    <row r="52" spans="1:27" s="1" customFormat="1" x14ac:dyDescent="0.25">
      <c r="A52"/>
      <c r="B52"/>
      <c r="C52"/>
      <c r="D52"/>
      <c r="E52"/>
      <c r="F52"/>
      <c r="G52"/>
      <c r="H52"/>
      <c r="I52"/>
      <c r="J52"/>
      <c r="K52"/>
      <c r="L52"/>
      <c r="M52"/>
      <c r="N52"/>
      <c r="O52"/>
      <c r="P52"/>
      <c r="Q52"/>
      <c r="R52"/>
      <c r="S52"/>
      <c r="T52"/>
      <c r="U52"/>
      <c r="V52"/>
      <c r="W52"/>
      <c r="X52"/>
      <c r="Y52"/>
      <c r="Z52"/>
      <c r="AA52"/>
    </row>
    <row r="53" spans="1:27" x14ac:dyDescent="0.25">
      <c r="A53" t="s">
        <v>6</v>
      </c>
      <c r="B53">
        <v>1</v>
      </c>
      <c r="D53">
        <v>3970</v>
      </c>
      <c r="E53">
        <v>15690</v>
      </c>
      <c r="F53">
        <v>1160900</v>
      </c>
      <c r="H53">
        <v>810300</v>
      </c>
      <c r="I53">
        <f t="shared" si="7"/>
        <v>0.69465527381330128</v>
      </c>
      <c r="J53">
        <f t="shared" si="8"/>
        <v>-2.5013500978573315</v>
      </c>
      <c r="K53">
        <f t="shared" si="9"/>
        <v>-1.7338037679231526</v>
      </c>
      <c r="M53">
        <f t="shared" si="11"/>
        <v>0.99154811130004306</v>
      </c>
      <c r="N53">
        <f>I53/L$31</f>
        <v>0.47513425092309503</v>
      </c>
    </row>
    <row r="54" spans="1:27" x14ac:dyDescent="0.25">
      <c r="A54" t="s">
        <v>6</v>
      </c>
      <c r="B54">
        <v>2</v>
      </c>
      <c r="D54">
        <v>4162</v>
      </c>
      <c r="E54">
        <v>15473</v>
      </c>
      <c r="F54">
        <v>1218300</v>
      </c>
      <c r="H54">
        <v>753900</v>
      </c>
      <c r="I54">
        <f t="shared" si="7"/>
        <v>0.68427810579231052</v>
      </c>
      <c r="J54">
        <f t="shared" si="8"/>
        <v>-2.5868284283149161</v>
      </c>
      <c r="K54">
        <f t="shared" si="9"/>
        <v>-1.7930528316787981</v>
      </c>
      <c r="M54">
        <f t="shared" si="11"/>
        <v>0.97673578389140958</v>
      </c>
      <c r="N54">
        <f t="shared" ref="N54:N55" si="12">I54/L$31</f>
        <v>0.46803641673076196</v>
      </c>
    </row>
    <row r="55" spans="1:27" x14ac:dyDescent="0.25">
      <c r="A55" t="s">
        <v>6</v>
      </c>
      <c r="B55">
        <v>3</v>
      </c>
      <c r="D55">
        <v>3803</v>
      </c>
      <c r="E55">
        <v>15825</v>
      </c>
      <c r="F55">
        <v>1048600</v>
      </c>
      <c r="H55">
        <v>919000</v>
      </c>
      <c r="I55">
        <f t="shared" si="7"/>
        <v>0.72279602483807681</v>
      </c>
      <c r="J55">
        <f t="shared" si="8"/>
        <v>-2.2473233399124335</v>
      </c>
      <c r="K55">
        <f t="shared" si="9"/>
        <v>-1.5577258368668625</v>
      </c>
      <c r="L55">
        <f>AVERAGE(I53:I55)</f>
        <v>0.7005764681478962</v>
      </c>
      <c r="M55">
        <f t="shared" si="11"/>
        <v>1.0317161048085473</v>
      </c>
      <c r="N55">
        <f t="shared" si="12"/>
        <v>0.49438212128787623</v>
      </c>
      <c r="O55">
        <f>L55/L$31</f>
        <v>0.4791842629805777</v>
      </c>
      <c r="R55">
        <f>AVERAGE(I53:I55)</f>
        <v>0.7005764681478962</v>
      </c>
    </row>
    <row r="56" spans="1:27" x14ac:dyDescent="0.25">
      <c r="J56">
        <f>AVERAGE(J53:J55)</f>
        <v>-2.4451672886948939</v>
      </c>
      <c r="K56">
        <f>AVERAGE(K53:K55)</f>
        <v>-1.6948608121562712</v>
      </c>
      <c r="O56">
        <f>_xlfn.STDEV.S(N53:N55)</f>
        <v>1.3631800519447327E-2</v>
      </c>
    </row>
    <row r="57" spans="1:27" x14ac:dyDescent="0.25">
      <c r="O57">
        <f>O56/SQRT(COUNT(N53:N55))</f>
        <v>7.8703236994421954E-3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4"/>
  <sheetViews>
    <sheetView tabSelected="1" zoomScaleNormal="100" workbookViewId="0">
      <pane ySplit="1" topLeftCell="A2" activePane="bottomLeft" state="frozen"/>
      <selection pane="bottomLeft" activeCell="L14" sqref="L14:L17"/>
    </sheetView>
  </sheetViews>
  <sheetFormatPr defaultRowHeight="15" x14ac:dyDescent="0.25"/>
  <cols>
    <col min="1" max="1" width="11.28515625" customWidth="1"/>
    <col min="2" max="3" width="9.28515625" customWidth="1"/>
    <col min="4" max="4" width="14.42578125" customWidth="1"/>
    <col min="5" max="6" width="11.85546875" customWidth="1"/>
    <col min="9" max="9" width="14.42578125" customWidth="1"/>
    <col min="10" max="10" width="13.5703125" customWidth="1"/>
    <col min="14" max="17" width="12.28515625" customWidth="1"/>
    <col min="18" max="18" width="25" customWidth="1"/>
    <col min="19" max="19" width="12.28515625" customWidth="1"/>
    <col min="20" max="21" width="12.140625" customWidth="1"/>
    <col min="22" max="25" width="16" customWidth="1"/>
    <col min="26" max="26" width="14" customWidth="1"/>
    <col min="27" max="27" width="10.28515625" customWidth="1"/>
    <col min="28" max="28" width="9.28515625" customWidth="1"/>
  </cols>
  <sheetData>
    <row r="1" spans="1:30" x14ac:dyDescent="0.25">
      <c r="A1" t="s">
        <v>3</v>
      </c>
      <c r="B1" t="s">
        <v>0</v>
      </c>
      <c r="C1" t="s">
        <v>18</v>
      </c>
      <c r="D1" t="s">
        <v>63</v>
      </c>
      <c r="E1" t="s">
        <v>7</v>
      </c>
      <c r="F1" t="s">
        <v>65</v>
      </c>
      <c r="G1" t="s">
        <v>8</v>
      </c>
      <c r="H1" t="s">
        <v>73</v>
      </c>
      <c r="I1" t="s">
        <v>9</v>
      </c>
      <c r="J1" t="s">
        <v>42</v>
      </c>
      <c r="K1" t="s">
        <v>10</v>
      </c>
      <c r="L1" t="s">
        <v>1</v>
      </c>
      <c r="M1" t="s">
        <v>2</v>
      </c>
      <c r="N1" t="s">
        <v>4</v>
      </c>
      <c r="P1" t="s">
        <v>11</v>
      </c>
      <c r="R1" t="s">
        <v>19</v>
      </c>
      <c r="S1" t="s">
        <v>20</v>
      </c>
      <c r="T1" t="s">
        <v>12</v>
      </c>
      <c r="U1" t="s">
        <v>13</v>
      </c>
      <c r="V1" t="s">
        <v>14</v>
      </c>
      <c r="W1" t="s">
        <v>15</v>
      </c>
      <c r="X1" t="s">
        <v>16</v>
      </c>
      <c r="Y1" t="s">
        <v>17</v>
      </c>
    </row>
    <row r="2" spans="1:30" s="4" customFormat="1" x14ac:dyDescent="0.25">
      <c r="N2"/>
    </row>
    <row r="3" spans="1:30" x14ac:dyDescent="0.25">
      <c r="E3" t="s">
        <v>75</v>
      </c>
      <c r="F3" t="s">
        <v>76</v>
      </c>
      <c r="G3" t="s">
        <v>77</v>
      </c>
      <c r="AD3" s="2"/>
    </row>
    <row r="4" spans="1:30" x14ac:dyDescent="0.25">
      <c r="E4" s="3">
        <f>54470</f>
        <v>54470</v>
      </c>
      <c r="F4" s="3">
        <v>33055</v>
      </c>
      <c r="G4" s="3">
        <f>F4/E4</f>
        <v>0.60684780613181566</v>
      </c>
      <c r="H4" s="3"/>
      <c r="I4" s="3">
        <f>F4/(SUM(E4:F4))</f>
        <v>0.37766352470722653</v>
      </c>
      <c r="J4" s="3"/>
      <c r="K4" s="3"/>
    </row>
    <row r="5" spans="1:30" s="4" customFormat="1" x14ac:dyDescent="0.25">
      <c r="E5" s="4">
        <v>52066</v>
      </c>
      <c r="F5" s="4">
        <v>30463</v>
      </c>
      <c r="G5" s="3">
        <f>F5/E5</f>
        <v>0.58508431606038491</v>
      </c>
      <c r="I5" s="3">
        <f>F5/(SUM(E5:F5))</f>
        <v>0.36911873402076845</v>
      </c>
      <c r="N5"/>
    </row>
    <row r="6" spans="1:30" s="5" customFormat="1" x14ac:dyDescent="0.25">
      <c r="G6" s="5">
        <f>AVERAGE(G4:G5)</f>
        <v>0.59596606109610029</v>
      </c>
      <c r="R6" s="3"/>
      <c r="S6" s="3"/>
      <c r="T6" s="3"/>
      <c r="U6" s="3"/>
      <c r="V6" s="3"/>
      <c r="W6" s="3"/>
      <c r="X6" s="3"/>
      <c r="Y6" s="3"/>
      <c r="Z6" s="3"/>
      <c r="AA6" s="3"/>
      <c r="AB6" s="3"/>
    </row>
    <row r="7" spans="1:30" s="5" customFormat="1" x14ac:dyDescent="0.25">
      <c r="E7" s="5" t="s">
        <v>66</v>
      </c>
      <c r="R7"/>
      <c r="S7"/>
      <c r="T7" s="3"/>
      <c r="U7" s="3"/>
      <c r="V7" s="3"/>
      <c r="W7" s="3"/>
      <c r="X7" s="3"/>
      <c r="Y7" s="3"/>
      <c r="Z7" s="3"/>
      <c r="AA7" s="3"/>
      <c r="AB7" s="3"/>
    </row>
    <row r="8" spans="1:30" x14ac:dyDescent="0.25">
      <c r="E8" t="s">
        <v>74</v>
      </c>
    </row>
    <row r="9" spans="1:30" x14ac:dyDescent="0.25">
      <c r="A9" t="s">
        <v>24</v>
      </c>
    </row>
    <row r="10" spans="1:30" x14ac:dyDescent="0.25">
      <c r="A10" s="1">
        <v>19</v>
      </c>
      <c r="B10" s="1" t="s">
        <v>26</v>
      </c>
      <c r="C10" s="1"/>
      <c r="D10" s="1">
        <v>54718</v>
      </c>
      <c r="E10" s="1">
        <f>D10*4</f>
        <v>218872</v>
      </c>
      <c r="F10" s="1">
        <v>35532</v>
      </c>
      <c r="G10" s="1">
        <f>2*F10</f>
        <v>71064</v>
      </c>
      <c r="H10" s="1">
        <v>2998</v>
      </c>
      <c r="I10" s="1">
        <f>H10*100</f>
        <v>299800</v>
      </c>
      <c r="J10" s="1">
        <v>29403</v>
      </c>
      <c r="K10" s="1">
        <f>(J10-($G$6*H10))*100</f>
        <v>2761629.3748833891</v>
      </c>
      <c r="L10" s="1"/>
      <c r="M10" s="1">
        <f t="shared" ref="M10" si="0">LOG((K10/I10)/(G10/E10),2)</f>
        <v>4.8263440297919802</v>
      </c>
      <c r="N10" s="1">
        <f t="shared" ref="N10" si="1">(LN(K10/G10))-(LN(I10/E10))</f>
        <v>3.3453667566626351</v>
      </c>
    </row>
    <row r="11" spans="1:30" x14ac:dyDescent="0.25">
      <c r="A11" s="1">
        <v>19</v>
      </c>
      <c r="B11" s="1" t="s">
        <v>27</v>
      </c>
      <c r="C11" s="1"/>
      <c r="D11" s="1">
        <v>56922</v>
      </c>
      <c r="E11" s="1">
        <f t="shared" ref="E11:E33" si="2">D11*4</f>
        <v>227688</v>
      </c>
      <c r="F11" s="1">
        <v>35067</v>
      </c>
      <c r="G11" s="1">
        <f t="shared" ref="G11:G33" si="3">2*F11</f>
        <v>70134</v>
      </c>
      <c r="H11" s="1">
        <v>4072</v>
      </c>
      <c r="I11" s="1">
        <f t="shared" ref="I11:I33" si="4">H11*100</f>
        <v>407200</v>
      </c>
      <c r="J11" s="1">
        <v>36283</v>
      </c>
      <c r="K11" s="1">
        <f t="shared" ref="K11:K33" si="5">(J11-($G$6*H11))*100</f>
        <v>3385622.6199216684</v>
      </c>
      <c r="L11" s="1"/>
      <c r="M11" s="1">
        <f t="shared" ref="M11:M33" si="6">LOG((K11/I11)/(G11/E11),2)</f>
        <v>4.7544840453986819</v>
      </c>
      <c r="N11" s="1">
        <f t="shared" ref="N11:N33" si="7">(LN(K11/G11))-(LN(I11/E11))</f>
        <v>3.2955572110853391</v>
      </c>
    </row>
    <row r="12" spans="1:30" x14ac:dyDescent="0.25">
      <c r="A12" s="1">
        <v>19</v>
      </c>
      <c r="B12" s="1" t="s">
        <v>28</v>
      </c>
      <c r="C12" s="1"/>
      <c r="D12" s="1">
        <v>55578</v>
      </c>
      <c r="E12" s="1">
        <f t="shared" si="2"/>
        <v>222312</v>
      </c>
      <c r="F12" s="1">
        <v>39160</v>
      </c>
      <c r="G12" s="1">
        <f t="shared" si="3"/>
        <v>78320</v>
      </c>
      <c r="H12" s="1">
        <v>6449</v>
      </c>
      <c r="I12" s="1">
        <f t="shared" si="4"/>
        <v>644900</v>
      </c>
      <c r="J12" s="1">
        <v>33997</v>
      </c>
      <c r="K12" s="1">
        <f t="shared" si="5"/>
        <v>3015361.4871991249</v>
      </c>
      <c r="L12" s="1"/>
      <c r="M12" s="1">
        <f t="shared" si="6"/>
        <v>3.7303167453102288</v>
      </c>
      <c r="N12" s="1">
        <f t="shared" si="7"/>
        <v>2.5856585346073366</v>
      </c>
    </row>
    <row r="13" spans="1:30" x14ac:dyDescent="0.25">
      <c r="A13" s="1">
        <v>19</v>
      </c>
      <c r="B13" s="1" t="s">
        <v>29</v>
      </c>
      <c r="C13" s="1"/>
      <c r="D13" s="1">
        <v>59829</v>
      </c>
      <c r="E13" s="1">
        <f t="shared" si="2"/>
        <v>239316</v>
      </c>
      <c r="F13" s="1">
        <v>38607</v>
      </c>
      <c r="G13" s="1">
        <f t="shared" si="3"/>
        <v>77214</v>
      </c>
      <c r="H13" s="1">
        <v>8709</v>
      </c>
      <c r="I13" s="1">
        <f t="shared" si="4"/>
        <v>870900</v>
      </c>
      <c r="J13" s="1">
        <v>26170</v>
      </c>
      <c r="K13" s="1">
        <f t="shared" si="5"/>
        <v>2097973.1573914061</v>
      </c>
      <c r="L13" s="1"/>
      <c r="M13" s="1">
        <f t="shared" si="6"/>
        <v>2.900399738755981</v>
      </c>
      <c r="N13" s="1">
        <f t="shared" si="7"/>
        <v>2.0104039014155095</v>
      </c>
      <c r="O13" t="s">
        <v>78</v>
      </c>
    </row>
    <row r="14" spans="1:30" x14ac:dyDescent="0.25">
      <c r="A14">
        <v>19</v>
      </c>
      <c r="B14" t="s">
        <v>64</v>
      </c>
      <c r="D14">
        <v>63207</v>
      </c>
      <c r="E14">
        <f t="shared" si="2"/>
        <v>252828</v>
      </c>
      <c r="F14">
        <v>47266</v>
      </c>
      <c r="G14">
        <f t="shared" si="3"/>
        <v>94532</v>
      </c>
      <c r="H14">
        <v>15945</v>
      </c>
      <c r="I14">
        <f t="shared" si="4"/>
        <v>1594500</v>
      </c>
      <c r="J14">
        <v>30590</v>
      </c>
      <c r="K14">
        <f t="shared" si="5"/>
        <v>2108732.1155822682</v>
      </c>
      <c r="L14">
        <f t="shared" ref="L11:L33" si="8">(LN(K14/G14))/(LN(I14/E14))</f>
        <v>1.6859760621210651</v>
      </c>
      <c r="M14">
        <f t="shared" si="6"/>
        <v>1.8225532987335304</v>
      </c>
      <c r="N14">
        <f t="shared" si="7"/>
        <v>1.2632976804373746</v>
      </c>
    </row>
    <row r="15" spans="1:30" x14ac:dyDescent="0.25">
      <c r="A15">
        <v>19</v>
      </c>
      <c r="B15" t="s">
        <v>67</v>
      </c>
      <c r="D15">
        <v>61795</v>
      </c>
      <c r="E15">
        <f t="shared" si="2"/>
        <v>247180</v>
      </c>
      <c r="F15">
        <v>37377</v>
      </c>
      <c r="G15">
        <f t="shared" si="3"/>
        <v>74754</v>
      </c>
      <c r="H15">
        <v>17356</v>
      </c>
      <c r="I15">
        <f t="shared" si="4"/>
        <v>1735600</v>
      </c>
      <c r="J15">
        <v>29651</v>
      </c>
      <c r="K15">
        <f t="shared" si="5"/>
        <v>1930741.3043616086</v>
      </c>
      <c r="L15">
        <f t="shared" si="8"/>
        <v>1.6682763117778627</v>
      </c>
      <c r="M15">
        <f t="shared" si="6"/>
        <v>1.8790597147314656</v>
      </c>
      <c r="N15">
        <f t="shared" si="7"/>
        <v>1.3024649433698907</v>
      </c>
    </row>
    <row r="16" spans="1:30" x14ac:dyDescent="0.25">
      <c r="A16">
        <v>19</v>
      </c>
      <c r="B16" t="s">
        <v>68</v>
      </c>
      <c r="D16">
        <v>57095</v>
      </c>
      <c r="E16">
        <f t="shared" si="2"/>
        <v>228380</v>
      </c>
      <c r="F16">
        <v>37213</v>
      </c>
      <c r="G16">
        <f t="shared" si="3"/>
        <v>74426</v>
      </c>
      <c r="H16">
        <v>22229</v>
      </c>
      <c r="I16">
        <f t="shared" si="4"/>
        <v>2222900</v>
      </c>
      <c r="J16">
        <v>28760</v>
      </c>
      <c r="K16">
        <f t="shared" si="5"/>
        <v>1551227.0427894788</v>
      </c>
      <c r="L16">
        <f t="shared" si="8"/>
        <v>1.3346166089560991</v>
      </c>
      <c r="M16">
        <f t="shared" si="6"/>
        <v>1.09852451977832</v>
      </c>
      <c r="N16">
        <f t="shared" si="7"/>
        <v>0.76143917366031033</v>
      </c>
    </row>
    <row r="17" spans="1:18" x14ac:dyDescent="0.25">
      <c r="A17">
        <v>19</v>
      </c>
      <c r="B17" t="s">
        <v>69</v>
      </c>
      <c r="D17">
        <v>71789</v>
      </c>
      <c r="E17">
        <f t="shared" si="2"/>
        <v>287156</v>
      </c>
      <c r="F17">
        <v>41275</v>
      </c>
      <c r="G17">
        <f t="shared" si="3"/>
        <v>82550</v>
      </c>
      <c r="H17">
        <v>28437</v>
      </c>
      <c r="I17">
        <f t="shared" si="4"/>
        <v>2843700</v>
      </c>
      <c r="J17">
        <v>30191</v>
      </c>
      <c r="K17">
        <f t="shared" si="5"/>
        <v>1324351.3120610197</v>
      </c>
      <c r="L17">
        <f t="shared" si="8"/>
        <v>1.2104111511171707</v>
      </c>
      <c r="M17">
        <f t="shared" si="6"/>
        <v>0.69601119050589699</v>
      </c>
      <c r="N17">
        <f t="shared" si="7"/>
        <v>0.48243819433733393</v>
      </c>
    </row>
    <row r="18" spans="1:18" x14ac:dyDescent="0.25">
      <c r="A18">
        <v>19</v>
      </c>
      <c r="B18" t="s">
        <v>70</v>
      </c>
      <c r="D18">
        <v>70238</v>
      </c>
      <c r="E18">
        <f t="shared" si="2"/>
        <v>280952</v>
      </c>
      <c r="F18">
        <v>28682</v>
      </c>
      <c r="G18">
        <f t="shared" si="3"/>
        <v>57364</v>
      </c>
      <c r="H18">
        <v>27357</v>
      </c>
      <c r="I18">
        <f t="shared" si="4"/>
        <v>2735700</v>
      </c>
      <c r="J18">
        <v>28087</v>
      </c>
      <c r="K18">
        <f t="shared" si="5"/>
        <v>1178315.6466593985</v>
      </c>
      <c r="L18">
        <f t="shared" si="8"/>
        <v>1.3279785062662561</v>
      </c>
      <c r="M18">
        <f t="shared" si="6"/>
        <v>1.0769221665192488</v>
      </c>
      <c r="N18">
        <f t="shared" si="7"/>
        <v>0.74646556340532477</v>
      </c>
    </row>
    <row r="19" spans="1:18" x14ac:dyDescent="0.25">
      <c r="A19">
        <v>19</v>
      </c>
      <c r="B19" t="s">
        <v>71</v>
      </c>
      <c r="D19">
        <v>75667</v>
      </c>
      <c r="E19">
        <f t="shared" si="2"/>
        <v>302668</v>
      </c>
      <c r="F19">
        <v>28995</v>
      </c>
      <c r="G19">
        <f t="shared" si="3"/>
        <v>57990</v>
      </c>
      <c r="H19">
        <v>29106</v>
      </c>
      <c r="I19">
        <f t="shared" si="4"/>
        <v>2910600</v>
      </c>
      <c r="J19">
        <v>26055</v>
      </c>
      <c r="K19">
        <f t="shared" si="5"/>
        <v>870881.18257369054</v>
      </c>
      <c r="L19">
        <f t="shared" si="8"/>
        <v>1.1969345121400123</v>
      </c>
      <c r="M19">
        <f t="shared" si="6"/>
        <v>0.64309132884838438</v>
      </c>
      <c r="N19">
        <f t="shared" si="7"/>
        <v>0.44575694143380629</v>
      </c>
      <c r="P19" t="s">
        <v>44</v>
      </c>
      <c r="Q19" t="s">
        <v>45</v>
      </c>
    </row>
    <row r="20" spans="1:18" x14ac:dyDescent="0.25">
      <c r="A20">
        <v>19</v>
      </c>
      <c r="B20" t="s">
        <v>72</v>
      </c>
      <c r="D20">
        <v>60903</v>
      </c>
      <c r="E20">
        <f t="shared" si="2"/>
        <v>243612</v>
      </c>
      <c r="F20">
        <v>24350</v>
      </c>
      <c r="G20">
        <f t="shared" si="3"/>
        <v>48700</v>
      </c>
      <c r="H20">
        <v>27144</v>
      </c>
      <c r="I20">
        <f t="shared" si="4"/>
        <v>2714400</v>
      </c>
      <c r="J20">
        <v>24889</v>
      </c>
      <c r="K20">
        <f t="shared" si="5"/>
        <v>871209.72376074537</v>
      </c>
      <c r="L20">
        <f t="shared" si="8"/>
        <v>1.1963929894815872</v>
      </c>
      <c r="M20">
        <f t="shared" si="6"/>
        <v>0.68305014912296358</v>
      </c>
      <c r="N20">
        <f t="shared" si="7"/>
        <v>0.47345428504563269</v>
      </c>
      <c r="O20">
        <f>AVERAGE(L14:L20)</f>
        <v>1.3743694488371505</v>
      </c>
      <c r="P20" s="5">
        <f>_xlfn.STDEV.S(L14:L20)</f>
        <v>0.21496256790188617</v>
      </c>
      <c r="Q20" s="5">
        <f>P20/SQRT(COUNT(L14:L20))</f>
        <v>8.1248213693746629E-2</v>
      </c>
      <c r="R20">
        <f>_xlfn.T.TEST(L14:L20,[1]Sheet1!$J$10:$J$14,2,3)</f>
        <v>1.5034517307464716E-2</v>
      </c>
    </row>
    <row r="21" spans="1:18" x14ac:dyDescent="0.25">
      <c r="E21">
        <f t="shared" si="2"/>
        <v>0</v>
      </c>
      <c r="G21">
        <f t="shared" si="3"/>
        <v>0</v>
      </c>
      <c r="I21">
        <f t="shared" si="4"/>
        <v>0</v>
      </c>
      <c r="K21">
        <f t="shared" si="5"/>
        <v>0</v>
      </c>
      <c r="L21" t="e">
        <f t="shared" si="8"/>
        <v>#DIV/0!</v>
      </c>
      <c r="M21" t="e">
        <f t="shared" si="6"/>
        <v>#DIV/0!</v>
      </c>
      <c r="N21" t="e">
        <f t="shared" si="7"/>
        <v>#DIV/0!</v>
      </c>
      <c r="O21">
        <f>O20/[1]Sheet1!$M$14</f>
        <v>1.2466578825814627</v>
      </c>
      <c r="P21">
        <f>P20/[1]Sheet1!$M$14</f>
        <v>0.1949874394847618</v>
      </c>
      <c r="Q21">
        <f>Q20/[1]Sheet1!$M$14</f>
        <v>7.369832480827658E-2</v>
      </c>
    </row>
    <row r="22" spans="1:18" x14ac:dyDescent="0.25">
      <c r="A22">
        <v>20</v>
      </c>
      <c r="B22" t="s">
        <v>25</v>
      </c>
      <c r="D22">
        <v>53039</v>
      </c>
      <c r="E22">
        <f t="shared" si="2"/>
        <v>212156</v>
      </c>
      <c r="F22">
        <v>84745</v>
      </c>
      <c r="G22">
        <f t="shared" si="3"/>
        <v>169490</v>
      </c>
      <c r="H22">
        <v>32077</v>
      </c>
      <c r="I22">
        <f t="shared" si="4"/>
        <v>3207700</v>
      </c>
      <c r="J22">
        <v>55598</v>
      </c>
      <c r="K22">
        <f t="shared" si="5"/>
        <v>3648119.6658220389</v>
      </c>
      <c r="L22">
        <f t="shared" si="8"/>
        <v>1.1300394858546321</v>
      </c>
      <c r="M22">
        <f t="shared" si="6"/>
        <v>0.50953915760344015</v>
      </c>
      <c r="N22">
        <f t="shared" si="7"/>
        <v>0.35318563047771434</v>
      </c>
    </row>
    <row r="23" spans="1:18" x14ac:dyDescent="0.25">
      <c r="A23">
        <v>20</v>
      </c>
      <c r="B23" t="s">
        <v>26</v>
      </c>
      <c r="D23">
        <v>54718</v>
      </c>
      <c r="E23">
        <f t="shared" si="2"/>
        <v>218872</v>
      </c>
      <c r="F23">
        <v>90315</v>
      </c>
      <c r="G23">
        <f t="shared" si="3"/>
        <v>180630</v>
      </c>
      <c r="H23">
        <v>40492</v>
      </c>
      <c r="I23">
        <f t="shared" si="4"/>
        <v>4049200</v>
      </c>
      <c r="J23">
        <v>48281</v>
      </c>
      <c r="K23">
        <f t="shared" si="5"/>
        <v>2414914.2254096707</v>
      </c>
      <c r="L23">
        <f t="shared" si="8"/>
        <v>0.88867619217437976</v>
      </c>
      <c r="M23">
        <f t="shared" si="6"/>
        <v>-0.46861507468129787</v>
      </c>
      <c r="N23">
        <f t="shared" si="7"/>
        <v>-0.32481921778323031</v>
      </c>
      <c r="O23" t="s">
        <v>43</v>
      </c>
      <c r="P23" t="s">
        <v>44</v>
      </c>
      <c r="Q23" t="s">
        <v>45</v>
      </c>
      <c r="R23" t="s">
        <v>46</v>
      </c>
    </row>
    <row r="24" spans="1:18" x14ac:dyDescent="0.25">
      <c r="A24">
        <v>20</v>
      </c>
      <c r="B24" t="s">
        <v>27</v>
      </c>
      <c r="D24">
        <v>56922</v>
      </c>
      <c r="E24">
        <f t="shared" si="2"/>
        <v>227688</v>
      </c>
      <c r="F24">
        <v>102329</v>
      </c>
      <c r="G24">
        <f t="shared" si="3"/>
        <v>204658</v>
      </c>
      <c r="H24">
        <v>42980</v>
      </c>
      <c r="I24">
        <f t="shared" si="4"/>
        <v>4298000</v>
      </c>
      <c r="J24">
        <v>43405</v>
      </c>
      <c r="K24">
        <f t="shared" si="5"/>
        <v>1779037.8694089609</v>
      </c>
      <c r="L24">
        <f t="shared" si="8"/>
        <v>0.73605857170483435</v>
      </c>
      <c r="M24">
        <f t="shared" si="6"/>
        <v>-1.1187250661192263</v>
      </c>
      <c r="N24">
        <f t="shared" si="7"/>
        <v>-0.77544112540227994</v>
      </c>
      <c r="O24" t="e">
        <f>AVERAGE(L20:L24)</f>
        <v>#DIV/0!</v>
      </c>
      <c r="P24" t="e">
        <f>_xlfn.STDEV.S(L20:L24)</f>
        <v>#DIV/0!</v>
      </c>
      <c r="Q24" t="e">
        <f>P24/SQRT(COUNT(L20:L24))</f>
        <v>#DIV/0!</v>
      </c>
      <c r="R24" t="e">
        <f>P24/O24</f>
        <v>#DIV/0!</v>
      </c>
    </row>
    <row r="25" spans="1:18" x14ac:dyDescent="0.25">
      <c r="A25">
        <v>20</v>
      </c>
      <c r="B25" t="s">
        <v>28</v>
      </c>
      <c r="D25">
        <v>55578</v>
      </c>
      <c r="E25">
        <f t="shared" si="2"/>
        <v>222312</v>
      </c>
      <c r="F25">
        <v>112890</v>
      </c>
      <c r="G25">
        <f t="shared" si="3"/>
        <v>225780</v>
      </c>
      <c r="H25">
        <v>41116</v>
      </c>
      <c r="I25">
        <f t="shared" si="4"/>
        <v>4111600</v>
      </c>
      <c r="J25">
        <v>42166</v>
      </c>
      <c r="K25">
        <f t="shared" si="5"/>
        <v>1766225.9431972739</v>
      </c>
      <c r="L25">
        <f t="shared" si="8"/>
        <v>0.70507259789119314</v>
      </c>
      <c r="M25">
        <f t="shared" si="6"/>
        <v>-1.241361877894001</v>
      </c>
      <c r="N25">
        <f t="shared" si="7"/>
        <v>-0.86044648571682592</v>
      </c>
    </row>
    <row r="26" spans="1:18" x14ac:dyDescent="0.25">
      <c r="A26">
        <v>20</v>
      </c>
      <c r="B26" t="s">
        <v>29</v>
      </c>
      <c r="D26">
        <v>59829</v>
      </c>
      <c r="E26">
        <f t="shared" si="2"/>
        <v>239316</v>
      </c>
      <c r="F26">
        <v>120952</v>
      </c>
      <c r="G26">
        <f t="shared" si="3"/>
        <v>241904</v>
      </c>
      <c r="H26">
        <v>48522</v>
      </c>
      <c r="I26">
        <f t="shared" si="4"/>
        <v>4852200</v>
      </c>
      <c r="J26">
        <v>45577</v>
      </c>
      <c r="K26">
        <f t="shared" si="5"/>
        <v>1665953.4783495022</v>
      </c>
      <c r="L26">
        <f t="shared" si="8"/>
        <v>0.64119434286261612</v>
      </c>
      <c r="M26">
        <f t="shared" si="6"/>
        <v>-1.557808673706738</v>
      </c>
      <c r="N26">
        <f t="shared" si="7"/>
        <v>-1.0797906900316534</v>
      </c>
    </row>
    <row r="27" spans="1:18" x14ac:dyDescent="0.25">
      <c r="A27">
        <v>20</v>
      </c>
      <c r="B27" t="s">
        <v>64</v>
      </c>
      <c r="D27">
        <v>63207</v>
      </c>
      <c r="E27">
        <f t="shared" si="2"/>
        <v>252828</v>
      </c>
      <c r="F27">
        <v>107544</v>
      </c>
      <c r="G27">
        <f t="shared" si="3"/>
        <v>215088</v>
      </c>
      <c r="H27">
        <v>46676</v>
      </c>
      <c r="I27">
        <f t="shared" si="4"/>
        <v>4667600</v>
      </c>
      <c r="J27">
        <v>42495</v>
      </c>
      <c r="K27">
        <f t="shared" si="5"/>
        <v>1467768.8132278426</v>
      </c>
      <c r="L27">
        <f t="shared" si="8"/>
        <v>0.6586608601841405</v>
      </c>
      <c r="M27">
        <f t="shared" si="6"/>
        <v>-1.4358269734453284</v>
      </c>
      <c r="N27">
        <f t="shared" si="7"/>
        <v>-0.9952394184155493</v>
      </c>
    </row>
    <row r="28" spans="1:18" x14ac:dyDescent="0.25">
      <c r="A28">
        <v>20</v>
      </c>
      <c r="B28" t="s">
        <v>67</v>
      </c>
      <c r="D28">
        <v>61795</v>
      </c>
      <c r="E28">
        <f t="shared" si="2"/>
        <v>247180</v>
      </c>
      <c r="F28">
        <v>127903</v>
      </c>
      <c r="G28">
        <f t="shared" si="3"/>
        <v>255806</v>
      </c>
      <c r="H28">
        <v>45302</v>
      </c>
      <c r="I28">
        <f t="shared" si="4"/>
        <v>4530200</v>
      </c>
      <c r="J28">
        <v>38090</v>
      </c>
      <c r="K28">
        <f t="shared" si="5"/>
        <v>1109154.5500224463</v>
      </c>
      <c r="L28">
        <f t="shared" si="8"/>
        <v>0.50437756054879179</v>
      </c>
      <c r="M28">
        <f t="shared" si="6"/>
        <v>-2.0796024266257795</v>
      </c>
      <c r="N28">
        <f t="shared" si="7"/>
        <v>-1.4414705587012793</v>
      </c>
    </row>
    <row r="29" spans="1:18" x14ac:dyDescent="0.25">
      <c r="A29">
        <v>20</v>
      </c>
      <c r="B29" t="s">
        <v>68</v>
      </c>
      <c r="D29">
        <v>57095</v>
      </c>
      <c r="E29">
        <f t="shared" si="2"/>
        <v>228380</v>
      </c>
      <c r="F29">
        <v>115505</v>
      </c>
      <c r="G29">
        <f t="shared" si="3"/>
        <v>231010</v>
      </c>
      <c r="H29">
        <v>48811</v>
      </c>
      <c r="I29">
        <f t="shared" si="4"/>
        <v>4881100</v>
      </c>
      <c r="J29">
        <v>40376</v>
      </c>
      <c r="K29">
        <f t="shared" si="5"/>
        <v>1128630.0591838248</v>
      </c>
      <c r="L29">
        <f t="shared" si="8"/>
        <v>0.51804026058599639</v>
      </c>
      <c r="M29">
        <f t="shared" si="6"/>
        <v>-2.1291526198212898</v>
      </c>
      <c r="N29">
        <f t="shared" si="7"/>
        <v>-1.475816135410948</v>
      </c>
    </row>
    <row r="30" spans="1:18" x14ac:dyDescent="0.25">
      <c r="A30">
        <v>20</v>
      </c>
      <c r="B30" t="s">
        <v>69</v>
      </c>
      <c r="D30">
        <v>71789</v>
      </c>
      <c r="E30">
        <f t="shared" si="2"/>
        <v>287156</v>
      </c>
      <c r="F30">
        <v>133552</v>
      </c>
      <c r="G30">
        <f t="shared" si="3"/>
        <v>267104</v>
      </c>
      <c r="H30">
        <v>48102</v>
      </c>
      <c r="I30">
        <f t="shared" si="4"/>
        <v>4810200</v>
      </c>
      <c r="J30">
        <v>40287</v>
      </c>
      <c r="K30">
        <f t="shared" si="5"/>
        <v>1161984.0529155382</v>
      </c>
      <c r="L30">
        <f t="shared" si="8"/>
        <v>0.52164720365897255</v>
      </c>
      <c r="M30">
        <f t="shared" si="6"/>
        <v>-1.9450734853580256</v>
      </c>
      <c r="N30">
        <f t="shared" si="7"/>
        <v>-1.348222202357821</v>
      </c>
    </row>
    <row r="31" spans="1:18" x14ac:dyDescent="0.25">
      <c r="A31">
        <v>20</v>
      </c>
      <c r="B31" t="s">
        <v>70</v>
      </c>
      <c r="D31">
        <v>70238</v>
      </c>
      <c r="E31">
        <f t="shared" si="2"/>
        <v>280952</v>
      </c>
      <c r="F31">
        <v>121832</v>
      </c>
      <c r="G31">
        <f t="shared" si="3"/>
        <v>243664</v>
      </c>
      <c r="H31">
        <v>45924</v>
      </c>
      <c r="I31">
        <f t="shared" si="4"/>
        <v>4592400</v>
      </c>
      <c r="J31">
        <v>42034</v>
      </c>
      <c r="K31">
        <f t="shared" si="5"/>
        <v>1466485.461022269</v>
      </c>
      <c r="L31">
        <f t="shared" si="8"/>
        <v>0.64239453011055359</v>
      </c>
      <c r="M31">
        <f t="shared" si="6"/>
        <v>-1.4414549850468845</v>
      </c>
      <c r="N31">
        <f t="shared" si="7"/>
        <v>-0.999140458789326</v>
      </c>
    </row>
    <row r="32" spans="1:18" x14ac:dyDescent="0.25">
      <c r="A32">
        <v>20</v>
      </c>
      <c r="B32" t="s">
        <v>71</v>
      </c>
      <c r="D32">
        <v>75667</v>
      </c>
      <c r="E32">
        <f t="shared" si="2"/>
        <v>302668</v>
      </c>
      <c r="F32">
        <v>112777</v>
      </c>
      <c r="G32">
        <f t="shared" si="3"/>
        <v>225554</v>
      </c>
      <c r="H32">
        <v>46298</v>
      </c>
      <c r="I32">
        <f t="shared" si="4"/>
        <v>4629800</v>
      </c>
      <c r="J32">
        <v>44784</v>
      </c>
      <c r="K32">
        <f t="shared" si="5"/>
        <v>1719196.3303372748</v>
      </c>
      <c r="L32">
        <f t="shared" si="8"/>
        <v>0.74462107583923909</v>
      </c>
      <c r="M32">
        <f t="shared" si="6"/>
        <v>-1.0049522832166584</v>
      </c>
      <c r="N32">
        <f t="shared" si="7"/>
        <v>-0.69657984170890641</v>
      </c>
    </row>
    <row r="33" spans="1:28" x14ac:dyDescent="0.25">
      <c r="A33">
        <v>20</v>
      </c>
      <c r="B33" t="s">
        <v>72</v>
      </c>
      <c r="D33">
        <v>60903</v>
      </c>
      <c r="E33">
        <f t="shared" si="2"/>
        <v>243612</v>
      </c>
      <c r="F33">
        <v>118326</v>
      </c>
      <c r="G33">
        <f t="shared" si="3"/>
        <v>236652</v>
      </c>
      <c r="H33">
        <v>37838</v>
      </c>
      <c r="I33">
        <f t="shared" si="4"/>
        <v>3783800</v>
      </c>
      <c r="J33">
        <v>41568</v>
      </c>
      <c r="K33">
        <f t="shared" si="5"/>
        <v>1901783.6180245758</v>
      </c>
      <c r="L33">
        <f t="shared" si="8"/>
        <v>0.75976201584227354</v>
      </c>
      <c r="M33">
        <f t="shared" si="6"/>
        <v>-0.95066464079569724</v>
      </c>
      <c r="N33">
        <f t="shared" si="7"/>
        <v>-0.65895051542557059</v>
      </c>
      <c r="O33">
        <f>AVERAGE(L22:L33)</f>
        <v>0.70421205810480192</v>
      </c>
      <c r="P33" s="5">
        <f>_xlfn.STDEV.S(L22:L33)</f>
        <v>0.17552023555329349</v>
      </c>
      <c r="Q33" s="5">
        <f>P33/SQRT(COUNT(L22:L33))</f>
        <v>5.0668327622460263E-2</v>
      </c>
      <c r="R33">
        <f>_xlfn.T.TEST(L22:L33,[1]Sheet1!$J$10:$J$14,2,3)</f>
        <v>8.5446996614685033E-6</v>
      </c>
    </row>
    <row r="34" spans="1:28" x14ac:dyDescent="0.25">
      <c r="E34" s="3"/>
      <c r="F34" s="3"/>
      <c r="G34" s="3"/>
      <c r="H34" s="3"/>
      <c r="I34" s="3"/>
      <c r="J34" s="3"/>
      <c r="K34" s="3"/>
      <c r="O34">
        <f>O33/[1]Sheet1!$M$14</f>
        <v>0.63877403123888143</v>
      </c>
      <c r="R34" s="3"/>
      <c r="S34" s="3"/>
      <c r="T34" s="3"/>
      <c r="U34" s="3"/>
      <c r="V34" s="3"/>
      <c r="W34" s="3"/>
      <c r="X34" s="3"/>
      <c r="Y34" s="3"/>
      <c r="Z34" s="3"/>
      <c r="AA34" s="3"/>
      <c r="AB34" s="3"/>
    </row>
    <row r="40" spans="1:28" s="5" customFormat="1" x14ac:dyDescent="0.25">
      <c r="E40" s="5" t="s">
        <v>30</v>
      </c>
      <c r="O40" s="5" t="e">
        <f>1.03*O24</f>
        <v>#DIV/0!</v>
      </c>
      <c r="R40" s="3"/>
      <c r="S40" s="3"/>
      <c r="T40" s="3"/>
      <c r="U40" s="3"/>
      <c r="V40" s="3"/>
      <c r="W40" s="3"/>
      <c r="X40" s="3"/>
      <c r="Y40" s="3"/>
      <c r="Z40" s="3"/>
      <c r="AA40" s="3"/>
      <c r="AB40" s="3"/>
    </row>
    <row r="41" spans="1:28" s="5" customFormat="1" x14ac:dyDescent="0.25">
      <c r="E41" s="5" t="s">
        <v>31</v>
      </c>
      <c r="R41"/>
      <c r="S41"/>
      <c r="T41" s="3"/>
      <c r="U41" s="3"/>
      <c r="V41" s="3"/>
      <c r="W41" s="3"/>
      <c r="X41" s="3"/>
      <c r="Y41" s="3"/>
      <c r="Z41" s="3"/>
      <c r="AA41" s="3"/>
      <c r="AB41" s="3"/>
    </row>
    <row r="42" spans="1:28" x14ac:dyDescent="0.25">
      <c r="E42" s="5" t="s">
        <v>32</v>
      </c>
      <c r="F42" s="5"/>
      <c r="R42" s="3"/>
      <c r="S42" s="3"/>
      <c r="T42" s="3"/>
      <c r="U42" s="3"/>
      <c r="V42" s="3"/>
      <c r="W42" s="3"/>
      <c r="X42" s="3"/>
      <c r="Y42" s="3"/>
      <c r="Z42" s="3"/>
      <c r="AA42" s="3"/>
      <c r="AB42" s="3"/>
    </row>
    <row r="43" spans="1:28" x14ac:dyDescent="0.25">
      <c r="E43" s="7" t="s">
        <v>33</v>
      </c>
      <c r="F43" s="7"/>
    </row>
    <row r="44" spans="1:28" x14ac:dyDescent="0.25">
      <c r="E44" s="5" t="s">
        <v>34</v>
      </c>
      <c r="F44" s="5"/>
    </row>
    <row r="45" spans="1:28" x14ac:dyDescent="0.25">
      <c r="C45" t="s">
        <v>36</v>
      </c>
      <c r="E45" s="5"/>
      <c r="F45" s="5"/>
      <c r="I45" t="s">
        <v>37</v>
      </c>
      <c r="K45" t="s">
        <v>38</v>
      </c>
      <c r="L45" t="s">
        <v>40</v>
      </c>
      <c r="M45" t="s">
        <v>39</v>
      </c>
    </row>
    <row r="46" spans="1:28" x14ac:dyDescent="0.25">
      <c r="E46" s="5"/>
      <c r="F46" s="5"/>
      <c r="I46">
        <f>59535</f>
        <v>59535</v>
      </c>
      <c r="K46">
        <f>9922</f>
        <v>9922</v>
      </c>
      <c r="L46">
        <f>K46/(I46+K46)</f>
        <v>0.14285097254416401</v>
      </c>
      <c r="M46" s="8">
        <f>K46/I46</f>
        <v>0.16665826824556984</v>
      </c>
    </row>
    <row r="47" spans="1:28" x14ac:dyDescent="0.25">
      <c r="C47" t="s">
        <v>41</v>
      </c>
      <c r="E47" s="5"/>
      <c r="F47" s="5"/>
    </row>
    <row r="48" spans="1:28" x14ac:dyDescent="0.25">
      <c r="E48" s="5"/>
      <c r="F48" s="5"/>
    </row>
    <row r="49" spans="1:30" x14ac:dyDescent="0.25">
      <c r="E49" s="5"/>
      <c r="F49" s="5"/>
    </row>
    <row r="50" spans="1:30" x14ac:dyDescent="0.25">
      <c r="A50" t="s">
        <v>35</v>
      </c>
    </row>
    <row r="58" spans="1:30" s="6" customForma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s="6" customForma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s="6" customFormat="1" x14ac:dyDescent="0.25">
      <c r="A60" s="5"/>
      <c r="B60" s="5"/>
      <c r="C60" s="5"/>
      <c r="D60" s="5"/>
      <c r="E60" s="5"/>
      <c r="F60" s="5"/>
      <c r="G60" s="5"/>
      <c r="H60" s="5"/>
      <c r="I60" s="5"/>
      <c r="J60" s="5"/>
      <c r="K60" s="5"/>
      <c r="L60" s="5"/>
      <c r="M60" s="5"/>
      <c r="N60" s="5"/>
      <c r="O60" s="5"/>
      <c r="P60" s="5"/>
      <c r="Q60" s="5"/>
      <c r="R60"/>
      <c r="S60"/>
      <c r="T60" s="5"/>
      <c r="U60" s="5"/>
      <c r="V60" s="5"/>
      <c r="W60" s="5"/>
      <c r="X60" s="5"/>
      <c r="Y60" s="5"/>
      <c r="Z60" s="5"/>
      <c r="AA60" s="5"/>
      <c r="AB60" s="5"/>
      <c r="AC60" s="5"/>
      <c r="AD60" s="5"/>
    </row>
    <row r="64" spans="1:30" s="5" customFormat="1" x14ac:dyDescent="0.25"/>
    <row r="65" spans="1:30" s="5" customFormat="1" x14ac:dyDescent="0.25"/>
    <row r="66" spans="1:30" s="5" customFormat="1" x14ac:dyDescent="0.25">
      <c r="R66"/>
      <c r="S66"/>
    </row>
    <row r="69" spans="1:30" s="1" customFormat="1" x14ac:dyDescent="0.25">
      <c r="A69"/>
      <c r="B69"/>
      <c r="C69"/>
      <c r="D69"/>
      <c r="E69"/>
      <c r="F69"/>
      <c r="G69"/>
      <c r="H69"/>
      <c r="I69"/>
      <c r="J69"/>
      <c r="K69"/>
      <c r="L69"/>
      <c r="M69"/>
      <c r="N69"/>
      <c r="O69"/>
      <c r="P69"/>
      <c r="Q69"/>
      <c r="R69"/>
      <c r="S69"/>
      <c r="T69"/>
      <c r="U69"/>
      <c r="V69"/>
      <c r="W69"/>
      <c r="X69"/>
      <c r="Y69"/>
      <c r="Z69"/>
      <c r="AA69"/>
      <c r="AB69"/>
      <c r="AC69"/>
      <c r="AD69"/>
    </row>
    <row r="70" spans="1:30" x14ac:dyDescent="0.25">
      <c r="A70" t="s">
        <v>6</v>
      </c>
      <c r="B70">
        <v>1</v>
      </c>
      <c r="E70">
        <v>3970</v>
      </c>
      <c r="G70">
        <v>15690</v>
      </c>
      <c r="I70">
        <v>1160900</v>
      </c>
      <c r="K70">
        <v>810300</v>
      </c>
      <c r="L70">
        <f>(LN(K70/G70))/(LN(I70/E70))</f>
        <v>0.69465527381330128</v>
      </c>
      <c r="M70">
        <f>LOG((K70/I70)/(G70/E70),2)</f>
        <v>-2.5013500978573315</v>
      </c>
      <c r="N70">
        <f>(LN(K70/G70))-(LN(I70/E70))</f>
        <v>-1.7338037679231526</v>
      </c>
      <c r="P70">
        <f>L70/$U$72</f>
        <v>0.99154811130004306</v>
      </c>
      <c r="Q70" t="e">
        <f>L70/#REF!</f>
        <v>#REF!</v>
      </c>
    </row>
    <row r="71" spans="1:30" x14ac:dyDescent="0.25">
      <c r="A71" t="s">
        <v>6</v>
      </c>
      <c r="B71">
        <v>2</v>
      </c>
      <c r="E71">
        <v>4162</v>
      </c>
      <c r="G71">
        <v>15473</v>
      </c>
      <c r="I71">
        <v>1218300</v>
      </c>
      <c r="K71">
        <v>753900</v>
      </c>
      <c r="L71">
        <f>(LN(K71/G71))/(LN(I71/E71))</f>
        <v>0.68427810579231052</v>
      </c>
      <c r="M71">
        <f>LOG((K71/I71)/(G71/E71),2)</f>
        <v>-2.5868284283149161</v>
      </c>
      <c r="N71">
        <f>(LN(K71/G71))-(LN(I71/E71))</f>
        <v>-1.7930528316787981</v>
      </c>
      <c r="P71">
        <f>L71/$U$72</f>
        <v>0.97673578389140958</v>
      </c>
      <c r="Q71" t="e">
        <f>L71/#REF!</f>
        <v>#REF!</v>
      </c>
    </row>
    <row r="72" spans="1:30" x14ac:dyDescent="0.25">
      <c r="A72" t="s">
        <v>6</v>
      </c>
      <c r="B72">
        <v>3</v>
      </c>
      <c r="E72">
        <v>3803</v>
      </c>
      <c r="G72">
        <v>15825</v>
      </c>
      <c r="I72">
        <v>1048600</v>
      </c>
      <c r="K72">
        <v>919000</v>
      </c>
      <c r="L72">
        <f>(LN(K72/G72))/(LN(I72/E72))</f>
        <v>0.72279602483807681</v>
      </c>
      <c r="M72">
        <f>LOG((K72/I72)/(G72/E72),2)</f>
        <v>-2.2473233399124335</v>
      </c>
      <c r="N72">
        <f>(LN(K72/G72))-(LN(I72/E72))</f>
        <v>-1.5577258368668625</v>
      </c>
      <c r="O72">
        <f>AVERAGE(L70:L72)</f>
        <v>0.7005764681478962</v>
      </c>
      <c r="P72">
        <f>L72/$U$72</f>
        <v>1.0317161048085473</v>
      </c>
      <c r="Q72" t="e">
        <f>L72/#REF!</f>
        <v>#REF!</v>
      </c>
      <c r="R72" t="e">
        <f>O72/#REF!</f>
        <v>#REF!</v>
      </c>
      <c r="U72">
        <f>AVERAGE(L70:L72)</f>
        <v>0.7005764681478962</v>
      </c>
    </row>
    <row r="73" spans="1:30" x14ac:dyDescent="0.25">
      <c r="M73">
        <f>AVERAGE(M70:M72)</f>
        <v>-2.4451672886948939</v>
      </c>
      <c r="N73">
        <f>AVERAGE(N70:N72)</f>
        <v>-1.6948608121562712</v>
      </c>
      <c r="R73" t="e">
        <f>_xlfn.STDEV.S(Q70:Q72)</f>
        <v>#REF!</v>
      </c>
    </row>
    <row r="74" spans="1:30" x14ac:dyDescent="0.25">
      <c r="R74" t="e">
        <f>R73/SQRT(COUNT(Q70:Q72))</f>
        <v>#REF!</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93BC-A75C-4810-86C3-7114098BD423}">
  <dimension ref="A1:Q11"/>
  <sheetViews>
    <sheetView workbookViewId="0">
      <selection activeCell="N25" sqref="N25"/>
    </sheetView>
  </sheetViews>
  <sheetFormatPr defaultRowHeight="15" x14ac:dyDescent="0.25"/>
  <sheetData>
    <row r="1" spans="1:17" x14ac:dyDescent="0.25">
      <c r="A1" t="s">
        <v>50</v>
      </c>
      <c r="B1" t="s">
        <v>47</v>
      </c>
      <c r="C1" t="s">
        <v>49</v>
      </c>
      <c r="D1" t="s">
        <v>48</v>
      </c>
      <c r="F1" t="s">
        <v>51</v>
      </c>
      <c r="K1" t="s">
        <v>52</v>
      </c>
      <c r="L1" t="s">
        <v>47</v>
      </c>
      <c r="M1" t="s">
        <v>54</v>
      </c>
      <c r="N1" t="s">
        <v>55</v>
      </c>
      <c r="O1" t="s">
        <v>53</v>
      </c>
      <c r="Q1" t="s">
        <v>57</v>
      </c>
    </row>
    <row r="2" spans="1:17" x14ac:dyDescent="0.25">
      <c r="B2">
        <v>100</v>
      </c>
      <c r="C2">
        <v>83</v>
      </c>
      <c r="D2">
        <v>17</v>
      </c>
      <c r="G2">
        <v>100</v>
      </c>
      <c r="H2">
        <v>83</v>
      </c>
      <c r="I2">
        <v>17</v>
      </c>
      <c r="L2">
        <v>10000</v>
      </c>
      <c r="M2">
        <v>5000</v>
      </c>
      <c r="N2">
        <v>5000</v>
      </c>
      <c r="O2">
        <v>99</v>
      </c>
      <c r="Q2">
        <f>17/83</f>
        <v>0.20481927710843373</v>
      </c>
    </row>
    <row r="6" spans="1:17" x14ac:dyDescent="0.25">
      <c r="A6" t="s">
        <v>59</v>
      </c>
      <c r="D6" t="s">
        <v>56</v>
      </c>
    </row>
    <row r="7" spans="1:17" x14ac:dyDescent="0.25">
      <c r="A7" s="4" t="s">
        <v>5</v>
      </c>
      <c r="B7" s="4" t="s">
        <v>25</v>
      </c>
      <c r="C7" s="4"/>
      <c r="D7" s="4">
        <f>C2</f>
        <v>83</v>
      </c>
      <c r="E7" s="4">
        <f>O2</f>
        <v>99</v>
      </c>
      <c r="F7" s="4">
        <f>M2</f>
        <v>5000</v>
      </c>
      <c r="G7" s="4">
        <f>N2-Q2*M2</f>
        <v>3975.9036144578313</v>
      </c>
      <c r="H7" s="4">
        <f>G7-F7*$J$21</f>
        <v>3975.9036144578313</v>
      </c>
      <c r="I7" s="4">
        <f t="shared" ref="I7" si="0">(LN(H7/E7))/(LN(F7/D7))</f>
        <v>0.90106631876214505</v>
      </c>
    </row>
    <row r="10" spans="1:17" x14ac:dyDescent="0.25">
      <c r="A10" t="s">
        <v>58</v>
      </c>
      <c r="B10" t="s">
        <v>60</v>
      </c>
    </row>
    <row r="11" spans="1:17" x14ac:dyDescent="0.25">
      <c r="A11" s="4" t="s">
        <v>5</v>
      </c>
      <c r="B11" s="4" t="s">
        <v>25</v>
      </c>
      <c r="C11" s="4"/>
      <c r="D11" s="4">
        <f>B2</f>
        <v>100</v>
      </c>
      <c r="E11" s="4">
        <f>O2</f>
        <v>99</v>
      </c>
      <c r="F11" s="4">
        <f>M2+Q2*M2</f>
        <v>6024.0963855421687</v>
      </c>
      <c r="G11" s="4">
        <f>N2-Q2*M2</f>
        <v>3975.9036144578313</v>
      </c>
      <c r="H11" s="4">
        <f>G11-F11*$J$21</f>
        <v>3975.9036144578313</v>
      </c>
      <c r="I11" s="4">
        <f t="shared" ref="I11" si="1">(LN(H11/E11))/(LN(F11/D11))</f>
        <v>0.90106631876214505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what if didnt correct</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2021-03-31T23:48:47Z</dcterms:modified>
</cp:coreProperties>
</file>