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9.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style55.xml" ContentType="application/vnd.ms-office.chartstyle+xml"/>
  <Override PartName="/xl/charts/colors55.xml" ContentType="application/vnd.ms-office.chartcolorstyle+xml"/>
  <Override PartName="/xl/charts/chart57.xml" ContentType="application/vnd.openxmlformats-officedocument.drawingml.chart+xml"/>
  <Override PartName="/xl/charts/style56.xml" ContentType="application/vnd.ms-office.chartstyle+xml"/>
  <Override PartName="/xl/charts/colors56.xml" ContentType="application/vnd.ms-office.chartcolorstyle+xml"/>
  <Override PartName="/xl/charts/chart58.xml" ContentType="application/vnd.openxmlformats-officedocument.drawingml.chart+xml"/>
  <Override PartName="/xl/charts/style57.xml" ContentType="application/vnd.ms-office.chartstyle+xml"/>
  <Override PartName="/xl/charts/colors57.xml" ContentType="application/vnd.ms-office.chartcolorstyle+xml"/>
  <Override PartName="/xl/charts/chart59.xml" ContentType="application/vnd.openxmlformats-officedocument.drawingml.chart+xml"/>
  <Override PartName="/xl/charts/style58.xml" ContentType="application/vnd.ms-office.chartstyle+xml"/>
  <Override PartName="/xl/charts/colors58.xml" ContentType="application/vnd.ms-office.chartcolorstyle+xml"/>
  <Override PartName="/xl/charts/chart60.xml" ContentType="application/vnd.openxmlformats-officedocument.drawingml.chart+xml"/>
  <Override PartName="/xl/charts/style59.xml" ContentType="application/vnd.ms-office.chartstyle+xml"/>
  <Override PartName="/xl/charts/colors59.xml" ContentType="application/vnd.ms-office.chartcolorstyle+xml"/>
  <Override PartName="/xl/charts/chart61.xml" ContentType="application/vnd.openxmlformats-officedocument.drawingml.chart+xml"/>
  <Override PartName="/xl/charts/style60.xml" ContentType="application/vnd.ms-office.chartstyle+xml"/>
  <Override PartName="/xl/charts/colors60.xml" ContentType="application/vnd.ms-office.chartcolorstyle+xml"/>
  <Override PartName="/xl/charts/chart62.xml" ContentType="application/vnd.openxmlformats-officedocument.drawingml.chart+xml"/>
  <Override PartName="/xl/charts/style61.xml" ContentType="application/vnd.ms-office.chartstyle+xml"/>
  <Override PartName="/xl/charts/colors61.xml" ContentType="application/vnd.ms-office.chartcolorstyle+xml"/>
  <Override PartName="/xl/charts/chart63.xml" ContentType="application/vnd.openxmlformats-officedocument.drawingml.chart+xml"/>
  <Override PartName="/xl/charts/style62.xml" ContentType="application/vnd.ms-office.chartstyle+xml"/>
  <Override PartName="/xl/charts/colors62.xml" ContentType="application/vnd.ms-office.chartcolorstyle+xml"/>
  <Override PartName="/xl/charts/chart64.xml" ContentType="application/vnd.openxmlformats-officedocument.drawingml.chart+xml"/>
  <Override PartName="/xl/charts/style63.xml" ContentType="application/vnd.ms-office.chartstyle+xml"/>
  <Override PartName="/xl/charts/colors63.xml" ContentType="application/vnd.ms-office.chartcolorstyle+xml"/>
  <Override PartName="/xl/charts/chart65.xml" ContentType="application/vnd.openxmlformats-officedocument.drawingml.chart+xml"/>
  <Override PartName="/xl/charts/style64.xml" ContentType="application/vnd.ms-office.chartstyle+xml"/>
  <Override PartName="/xl/charts/colors64.xml" ContentType="application/vnd.ms-office.chartcolorstyle+xml"/>
  <Override PartName="/xl/charts/chart66.xml" ContentType="application/vnd.openxmlformats-officedocument.drawingml.chart+xml"/>
  <Override PartName="/xl/charts/style65.xml" ContentType="application/vnd.ms-office.chartstyle+xml"/>
  <Override PartName="/xl/charts/colors65.xml" ContentType="application/vnd.ms-office.chartcolorstyle+xml"/>
  <Override PartName="/xl/charts/chart67.xml" ContentType="application/vnd.openxmlformats-officedocument.drawingml.chart+xml"/>
  <Override PartName="/xl/charts/style66.xml" ContentType="application/vnd.ms-office.chartstyle+xml"/>
  <Override PartName="/xl/charts/colors66.xml" ContentType="application/vnd.ms-office.chartcolorstyle+xml"/>
  <Override PartName="/xl/charts/chart68.xml" ContentType="application/vnd.openxmlformats-officedocument.drawingml.chart+xml"/>
  <Override PartName="/xl/charts/style67.xml" ContentType="application/vnd.ms-office.chartstyle+xml"/>
  <Override PartName="/xl/charts/colors67.xml" ContentType="application/vnd.ms-office.chartcolorstyle+xml"/>
  <Override PartName="/xl/charts/chart69.xml" ContentType="application/vnd.openxmlformats-officedocument.drawingml.chart+xml"/>
  <Override PartName="/xl/charts/style68.xml" ContentType="application/vnd.ms-office.chartstyle+xml"/>
  <Override PartName="/xl/charts/colors68.xml" ContentType="application/vnd.ms-office.chartcolorstyle+xml"/>
  <Override PartName="/xl/charts/chart70.xml" ContentType="application/vnd.openxmlformats-officedocument.drawingml.chart+xml"/>
  <Override PartName="/xl/charts/style69.xml" ContentType="application/vnd.ms-office.chartstyle+xml"/>
  <Override PartName="/xl/charts/colors69.xml" ContentType="application/vnd.ms-office.chartcolorstyle+xml"/>
  <Override PartName="/xl/charts/chart71.xml" ContentType="application/vnd.openxmlformats-officedocument.drawingml.chart+xml"/>
  <Override PartName="/xl/charts/style70.xml" ContentType="application/vnd.ms-office.chartstyle+xml"/>
  <Override PartName="/xl/charts/colors70.xml" ContentType="application/vnd.ms-office.chartcolorstyle+xml"/>
  <Override PartName="/xl/charts/chart72.xml" ContentType="application/vnd.openxmlformats-officedocument.drawingml.chart+xml"/>
  <Override PartName="/xl/charts/style71.xml" ContentType="application/vnd.ms-office.chartstyle+xml"/>
  <Override PartName="/xl/charts/colors71.xml" ContentType="application/vnd.ms-office.chartcolorstyle+xml"/>
  <Override PartName="/xl/charts/chart73.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10.xml" ContentType="application/vnd.openxmlformats-officedocument.drawing+xml"/>
  <Override PartName="/xl/charts/chart74.xml" ContentType="application/vnd.openxmlformats-officedocument.drawingml.chart+xml"/>
  <Override PartName="/xl/charts/style73.xml" ContentType="application/vnd.ms-office.chartstyle+xml"/>
  <Override PartName="/xl/charts/colors73.xml" ContentType="application/vnd.ms-office.chartcolorstyle+xml"/>
  <Override PartName="/xl/charts/chart75.xml" ContentType="application/vnd.openxmlformats-officedocument.drawingml.chart+xml"/>
  <Override PartName="/xl/charts/style74.xml" ContentType="application/vnd.ms-office.chartstyle+xml"/>
  <Override PartName="/xl/charts/colors74.xml" ContentType="application/vnd.ms-office.chartcolorstyle+xml"/>
  <Override PartName="/xl/charts/chart76.xml" ContentType="application/vnd.openxmlformats-officedocument.drawingml.chart+xml"/>
  <Override PartName="/xl/charts/style75.xml" ContentType="application/vnd.ms-office.chartstyle+xml"/>
  <Override PartName="/xl/charts/colors75.xml" ContentType="application/vnd.ms-office.chartcolorstyle+xml"/>
  <Override PartName="/xl/charts/chart77.xml" ContentType="application/vnd.openxmlformats-officedocument.drawingml.chart+xml"/>
  <Override PartName="/xl/charts/style76.xml" ContentType="application/vnd.ms-office.chartstyle+xml"/>
  <Override PartName="/xl/charts/colors76.xml" ContentType="application/vnd.ms-office.chartcolorstyle+xml"/>
  <Override PartName="/xl/charts/chart78.xml" ContentType="application/vnd.openxmlformats-officedocument.drawingml.chart+xml"/>
  <Override PartName="/xl/charts/style77.xml" ContentType="application/vnd.ms-office.chartstyle+xml"/>
  <Override PartName="/xl/charts/colors77.xml" ContentType="application/vnd.ms-office.chartcolorstyle+xml"/>
  <Override PartName="/xl/charts/chart79.xml" ContentType="application/vnd.openxmlformats-officedocument.drawingml.chart+xml"/>
  <Override PartName="/xl/charts/style78.xml" ContentType="application/vnd.ms-office.chartstyle+xml"/>
  <Override PartName="/xl/charts/colors78.xml" ContentType="application/vnd.ms-office.chartcolorstyle+xml"/>
  <Override PartName="/xl/charts/chart80.xml" ContentType="application/vnd.openxmlformats-officedocument.drawingml.chart+xml"/>
  <Override PartName="/xl/charts/style79.xml" ContentType="application/vnd.ms-office.chartstyle+xml"/>
  <Override PartName="/xl/charts/colors79.xml" ContentType="application/vnd.ms-office.chartcolorstyle+xml"/>
  <Override PartName="/xl/charts/chart81.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82.xml" ContentType="application/vnd.openxmlformats-officedocument.drawingml.chart+xml"/>
  <Override PartName="/xl/charts/style81.xml" ContentType="application/vnd.ms-office.chartstyle+xml"/>
  <Override PartName="/xl/charts/colors81.xml" ContentType="application/vnd.ms-office.chartcolorstyle+xml"/>
  <Override PartName="/xl/charts/chart83.xml" ContentType="application/vnd.openxmlformats-officedocument.drawingml.chart+xml"/>
  <Override PartName="/xl/charts/style82.xml" ContentType="application/vnd.ms-office.chartstyle+xml"/>
  <Override PartName="/xl/charts/colors82.xml" ContentType="application/vnd.ms-office.chartcolorstyle+xml"/>
  <Override PartName="/xl/charts/chart84.xml" ContentType="application/vnd.openxmlformats-officedocument.drawingml.chart+xml"/>
  <Override PartName="/xl/charts/style83.xml" ContentType="application/vnd.ms-office.chartstyle+xml"/>
  <Override PartName="/xl/charts/colors83.xml" ContentType="application/vnd.ms-office.chartcolorstyle+xml"/>
  <Override PartName="/xl/charts/chart85.xml" ContentType="application/vnd.openxmlformats-officedocument.drawingml.chart+xml"/>
  <Override PartName="/xl/charts/style84.xml" ContentType="application/vnd.ms-office.chartstyle+xml"/>
  <Override PartName="/xl/charts/colors84.xml" ContentType="application/vnd.ms-office.chartcolorstyle+xml"/>
  <Override PartName="/xl/charts/chart86.xml" ContentType="application/vnd.openxmlformats-officedocument.drawingml.chart+xml"/>
  <Override PartName="/xl/charts/style85.xml" ContentType="application/vnd.ms-office.chartstyle+xml"/>
  <Override PartName="/xl/charts/colors85.xml" ContentType="application/vnd.ms-office.chartcolorstyle+xml"/>
  <Override PartName="/xl/charts/chart87.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88.xml" ContentType="application/vnd.openxmlformats-officedocument.drawingml.chart+xml"/>
  <Override PartName="/xl/charts/style87.xml" ContentType="application/vnd.ms-office.chartstyle+xml"/>
  <Override PartName="/xl/charts/colors87.xml" ContentType="application/vnd.ms-office.chartcolorstyle+xml"/>
  <Override PartName="/xl/charts/chart89.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90.xml" ContentType="application/vnd.openxmlformats-officedocument.drawingml.chart+xml"/>
  <Override PartName="/xl/charts/style89.xml" ContentType="application/vnd.ms-office.chartstyle+xml"/>
  <Override PartName="/xl/charts/colors8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oyal\__MyDir\Pycharm\Segregation\"/>
    </mc:Choice>
  </mc:AlternateContent>
  <xr:revisionPtr revIDLastSave="0" documentId="13_ncr:1_{EA7CD80A-20BA-4F7F-BEC6-249E8A9DBFE6}" xr6:coauthVersionLast="47" xr6:coauthVersionMax="47" xr10:uidLastSave="{00000000-0000-0000-0000-000000000000}"/>
  <bookViews>
    <workbookView xWindow="1740" yWindow="1320" windowWidth="32490" windowHeight="18810" tabRatio="960" xr2:uid="{BEA3273A-8A1D-4B47-AD15-B6C44299E9C4}"/>
  </bookViews>
  <sheets>
    <sheet name="Introduction" sheetId="38" r:id="rId1"/>
    <sheet name="No stochasticity" sheetId="50" r:id="rId2"/>
    <sheet name="Summary results 1" sheetId="23" r:id="rId3"/>
    <sheet name="Summary results (2)" sheetId="40" r:id="rId4"/>
    <sheet name="Summary results (3)" sheetId="41" r:id="rId5"/>
    <sheet name="Summary results (4)" sheetId="43" r:id="rId6"/>
    <sheet name="Summary (-s)" sheetId="30" r:id="rId7"/>
    <sheet name="Pop_10" sheetId="39" r:id="rId8"/>
    <sheet name="Pop_100" sheetId="32" r:id="rId9"/>
    <sheet name="Sum-generations vs s_A" sheetId="51" r:id="rId10"/>
    <sheet name="Sheet2" sheetId="52" r:id="rId11"/>
    <sheet name="Pop_1k" sheetId="21" r:id="rId12"/>
    <sheet name="Pop_10k" sheetId="4" r:id="rId13"/>
    <sheet name="Pop_100k" sheetId="22" r:id="rId14"/>
    <sheet name="Pop_1M" sheetId="25" r:id="rId15"/>
    <sheet name="StDev Gen" sheetId="49" r:id="rId16"/>
    <sheet name="Effect +s vs -s" sheetId="45" r:id="rId17"/>
    <sheet name="Pop_10 (-s)" sheetId="44" r:id="rId18"/>
    <sheet name="Pop_100 (-s)" sheetId="31" r:id="rId19"/>
    <sheet name="Pop_1k (-s)" sheetId="27" r:id="rId20"/>
    <sheet name="Pop_10k (-s)" sheetId="29" r:id="rId21"/>
    <sheet name="Pop_100k (-s)" sheetId="28" r:id="rId22"/>
    <sheet name="Perf. parallell proc" sheetId="13"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 i="51" l="1"/>
  <c r="M10" i="51"/>
  <c r="O10" i="51" s="1"/>
  <c r="N10" i="51"/>
  <c r="L11" i="51"/>
  <c r="M11" i="51"/>
  <c r="O11" i="51" s="1"/>
  <c r="N11" i="51"/>
  <c r="L17" i="51"/>
  <c r="M17" i="51"/>
  <c r="O17" i="51" s="1"/>
  <c r="N17" i="51"/>
  <c r="L18" i="51"/>
  <c r="M18" i="51"/>
  <c r="O18" i="51" s="1"/>
  <c r="N18" i="51"/>
  <c r="N16" i="51"/>
  <c r="M16" i="51"/>
  <c r="L16" i="51"/>
  <c r="N15" i="51"/>
  <c r="M15" i="51"/>
  <c r="L15" i="51"/>
  <c r="N9" i="51"/>
  <c r="M9" i="51"/>
  <c r="L9" i="51"/>
  <c r="N8" i="51"/>
  <c r="M8" i="51"/>
  <c r="L8" i="51"/>
  <c r="N4" i="51"/>
  <c r="M4" i="51"/>
  <c r="L4" i="51"/>
  <c r="B5" i="50"/>
  <c r="C5" i="50" s="1"/>
  <c r="L2" i="23"/>
  <c r="L3" i="23"/>
  <c r="L4" i="23"/>
  <c r="L5" i="23"/>
  <c r="L6" i="23"/>
  <c r="L7" i="23"/>
  <c r="F4" i="49"/>
  <c r="E4" i="49"/>
  <c r="E5" i="49"/>
  <c r="F5" i="49" s="1"/>
  <c r="E6" i="49"/>
  <c r="F6" i="49" s="1"/>
  <c r="E7" i="49"/>
  <c r="F7" i="49" s="1"/>
  <c r="E8" i="49"/>
  <c r="F8" i="49" s="1"/>
  <c r="E3" i="49"/>
  <c r="F3" i="49" s="1"/>
  <c r="F9" i="49" s="1"/>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 i="4"/>
  <c r="K51" i="27"/>
  <c r="L51" i="27"/>
  <c r="M51" i="27"/>
  <c r="N51" i="27"/>
  <c r="O51" i="27"/>
  <c r="K52" i="27"/>
  <c r="L52" i="27"/>
  <c r="M52" i="27"/>
  <c r="N52" i="27"/>
  <c r="O52" i="27"/>
  <c r="K49" i="27"/>
  <c r="L49" i="27"/>
  <c r="M49" i="27"/>
  <c r="N49" i="27"/>
  <c r="O49" i="27"/>
  <c r="K48" i="27"/>
  <c r="L48" i="27"/>
  <c r="N48" i="27" s="1"/>
  <c r="M48" i="27"/>
  <c r="K47" i="27"/>
  <c r="L47" i="27"/>
  <c r="N47" i="27" s="1"/>
  <c r="M47" i="27"/>
  <c r="M50" i="27"/>
  <c r="L50" i="27"/>
  <c r="K50" i="27"/>
  <c r="K30" i="39"/>
  <c r="L30" i="39"/>
  <c r="N30" i="39" s="1"/>
  <c r="M30" i="39"/>
  <c r="K31" i="39"/>
  <c r="L31" i="39"/>
  <c r="N31" i="39" s="1"/>
  <c r="M31" i="39"/>
  <c r="K32" i="39"/>
  <c r="L32" i="39"/>
  <c r="N32" i="39" s="1"/>
  <c r="M32" i="39"/>
  <c r="K33" i="39"/>
  <c r="L33" i="39"/>
  <c r="M33" i="39"/>
  <c r="K34" i="39"/>
  <c r="L34" i="39"/>
  <c r="N34" i="39" s="1"/>
  <c r="M34" i="39"/>
  <c r="K35" i="39"/>
  <c r="L35" i="39"/>
  <c r="N35" i="39" s="1"/>
  <c r="M35" i="39"/>
  <c r="K36" i="39"/>
  <c r="L36" i="39"/>
  <c r="N36" i="39" s="1"/>
  <c r="M36" i="39"/>
  <c r="K37" i="39"/>
  <c r="L37" i="39"/>
  <c r="N37" i="39" s="1"/>
  <c r="M37" i="39"/>
  <c r="K38" i="39"/>
  <c r="L38" i="39"/>
  <c r="N38" i="39" s="1"/>
  <c r="M38" i="39"/>
  <c r="K39" i="39"/>
  <c r="L39" i="39"/>
  <c r="M39" i="39"/>
  <c r="K40" i="39"/>
  <c r="L40" i="39"/>
  <c r="N40" i="39" s="1"/>
  <c r="M40" i="39"/>
  <c r="K41" i="39"/>
  <c r="L41" i="39"/>
  <c r="M41" i="39"/>
  <c r="K42" i="39"/>
  <c r="L42" i="39"/>
  <c r="N42" i="39" s="1"/>
  <c r="M42" i="39"/>
  <c r="K43" i="39"/>
  <c r="L43" i="39"/>
  <c r="N43" i="39" s="1"/>
  <c r="M43" i="39"/>
  <c r="K44" i="39"/>
  <c r="L44" i="39"/>
  <c r="N44" i="39" s="1"/>
  <c r="M44" i="39"/>
  <c r="K45" i="39"/>
  <c r="L45" i="39"/>
  <c r="N45" i="39" s="1"/>
  <c r="M45" i="39"/>
  <c r="K46" i="39"/>
  <c r="L46" i="39"/>
  <c r="N46" i="39" s="1"/>
  <c r="M46" i="39"/>
  <c r="K47" i="39"/>
  <c r="L47" i="39"/>
  <c r="N47" i="39" s="1"/>
  <c r="M47" i="39"/>
  <c r="K48" i="39"/>
  <c r="L48" i="39"/>
  <c r="N48" i="39" s="1"/>
  <c r="M48" i="39"/>
  <c r="K49" i="39"/>
  <c r="L49" i="39"/>
  <c r="N49" i="39" s="1"/>
  <c r="M49" i="39"/>
  <c r="K50" i="39"/>
  <c r="L50" i="39"/>
  <c r="N50" i="39" s="1"/>
  <c r="M50" i="39"/>
  <c r="M29" i="39"/>
  <c r="L29" i="39"/>
  <c r="K29" i="39"/>
  <c r="O53" i="44"/>
  <c r="O54" i="44"/>
  <c r="O55" i="44"/>
  <c r="O56" i="44"/>
  <c r="O57" i="44"/>
  <c r="O58" i="44"/>
  <c r="O59" i="44"/>
  <c r="O60" i="44"/>
  <c r="O61" i="44"/>
  <c r="O62" i="44"/>
  <c r="O63" i="44"/>
  <c r="O64" i="44"/>
  <c r="O65" i="44"/>
  <c r="O66" i="44"/>
  <c r="O67" i="44"/>
  <c r="O68" i="44"/>
  <c r="O69" i="44"/>
  <c r="O70" i="44"/>
  <c r="O71" i="44"/>
  <c r="O72" i="44"/>
  <c r="O73" i="44"/>
  <c r="O52" i="44"/>
  <c r="K52" i="44"/>
  <c r="L52" i="44"/>
  <c r="N52" i="44" s="1"/>
  <c r="M52" i="44"/>
  <c r="K53" i="44"/>
  <c r="L53" i="44"/>
  <c r="N53" i="44" s="1"/>
  <c r="M53" i="44"/>
  <c r="K54" i="44"/>
  <c r="L54" i="44"/>
  <c r="N54" i="44" s="1"/>
  <c r="M54" i="44"/>
  <c r="K55" i="44"/>
  <c r="L55" i="44"/>
  <c r="N55" i="44" s="1"/>
  <c r="M55" i="44"/>
  <c r="K56" i="44"/>
  <c r="L56" i="44"/>
  <c r="N56" i="44" s="1"/>
  <c r="M56" i="44"/>
  <c r="K57" i="44"/>
  <c r="L57" i="44"/>
  <c r="N57" i="44" s="1"/>
  <c r="M57" i="44"/>
  <c r="K58" i="44"/>
  <c r="L58" i="44"/>
  <c r="N58" i="44" s="1"/>
  <c r="M58" i="44"/>
  <c r="K59" i="44"/>
  <c r="L59" i="44"/>
  <c r="N59" i="44" s="1"/>
  <c r="M59" i="44"/>
  <c r="K60" i="44"/>
  <c r="L60" i="44"/>
  <c r="N60" i="44" s="1"/>
  <c r="M60" i="44"/>
  <c r="K61" i="44"/>
  <c r="L61" i="44"/>
  <c r="N61" i="44" s="1"/>
  <c r="M61" i="44"/>
  <c r="K62" i="44"/>
  <c r="L62" i="44"/>
  <c r="M62" i="44"/>
  <c r="N62" i="44"/>
  <c r="K63" i="44"/>
  <c r="L63" i="44"/>
  <c r="N63" i="44" s="1"/>
  <c r="M63" i="44"/>
  <c r="K64" i="44"/>
  <c r="L64" i="44"/>
  <c r="N64" i="44" s="1"/>
  <c r="M64" i="44"/>
  <c r="K65" i="44"/>
  <c r="L65" i="44"/>
  <c r="M65" i="44"/>
  <c r="K66" i="44"/>
  <c r="L66" i="44"/>
  <c r="N66" i="44" s="1"/>
  <c r="M66" i="44"/>
  <c r="K67" i="44"/>
  <c r="L67" i="44"/>
  <c r="N67" i="44" s="1"/>
  <c r="M67" i="44"/>
  <c r="K68" i="44"/>
  <c r="L68" i="44"/>
  <c r="N68" i="44" s="1"/>
  <c r="M68" i="44"/>
  <c r="K69" i="44"/>
  <c r="L69" i="44"/>
  <c r="N69" i="44" s="1"/>
  <c r="M69" i="44"/>
  <c r="K70" i="44"/>
  <c r="L70" i="44"/>
  <c r="M70" i="44"/>
  <c r="N70" i="44"/>
  <c r="K71" i="44"/>
  <c r="L71" i="44"/>
  <c r="N71" i="44" s="1"/>
  <c r="M71" i="44"/>
  <c r="K72" i="44"/>
  <c r="L72" i="44"/>
  <c r="N72" i="44" s="1"/>
  <c r="M72" i="44"/>
  <c r="K73" i="44"/>
  <c r="L73" i="44"/>
  <c r="N73" i="44" s="1"/>
  <c r="M73" i="44"/>
  <c r="K43" i="44"/>
  <c r="L43" i="44"/>
  <c r="M43" i="44"/>
  <c r="K44" i="44"/>
  <c r="L44" i="44"/>
  <c r="N44" i="44" s="1"/>
  <c r="M44" i="44"/>
  <c r="K45" i="44"/>
  <c r="L45" i="44"/>
  <c r="N45" i="44" s="1"/>
  <c r="M45" i="44"/>
  <c r="K46" i="44"/>
  <c r="L46" i="44"/>
  <c r="N46" i="44" s="1"/>
  <c r="M46" i="44"/>
  <c r="K47" i="44"/>
  <c r="L47" i="44"/>
  <c r="M47" i="44"/>
  <c r="N47" i="44"/>
  <c r="K48" i="44"/>
  <c r="L48" i="44"/>
  <c r="N48" i="44" s="1"/>
  <c r="M48" i="44"/>
  <c r="K28" i="44"/>
  <c r="L28" i="44"/>
  <c r="M28" i="44"/>
  <c r="K29" i="44"/>
  <c r="L29" i="44"/>
  <c r="N29" i="44" s="1"/>
  <c r="M29" i="44"/>
  <c r="K30" i="44"/>
  <c r="L30" i="44"/>
  <c r="N30" i="44" s="1"/>
  <c r="M30" i="44"/>
  <c r="K31" i="44"/>
  <c r="L31" i="44"/>
  <c r="N31" i="44" s="1"/>
  <c r="M31" i="44"/>
  <c r="M27" i="44"/>
  <c r="L27" i="44"/>
  <c r="K27" i="44"/>
  <c r="K33" i="44"/>
  <c r="L33" i="44"/>
  <c r="N33" i="44" s="1"/>
  <c r="M33" i="44"/>
  <c r="K34" i="44"/>
  <c r="L34" i="44"/>
  <c r="M34" i="44"/>
  <c r="K35" i="44"/>
  <c r="L35" i="44"/>
  <c r="N35" i="44" s="1"/>
  <c r="M35" i="44"/>
  <c r="K36" i="44"/>
  <c r="O36" i="44" s="1"/>
  <c r="L36" i="44"/>
  <c r="N36" i="44" s="1"/>
  <c r="M36" i="44"/>
  <c r="K37" i="44"/>
  <c r="L37" i="44"/>
  <c r="N37" i="44" s="1"/>
  <c r="M37" i="44"/>
  <c r="K38" i="44"/>
  <c r="L38" i="44"/>
  <c r="N38" i="44" s="1"/>
  <c r="M38" i="44"/>
  <c r="K39" i="44"/>
  <c r="L39" i="44"/>
  <c r="N39" i="44" s="1"/>
  <c r="M39" i="44"/>
  <c r="K40" i="44"/>
  <c r="L40" i="44"/>
  <c r="N40" i="44" s="1"/>
  <c r="M40" i="44"/>
  <c r="O40" i="44" s="1"/>
  <c r="K41" i="44"/>
  <c r="L41" i="44"/>
  <c r="N41" i="44" s="1"/>
  <c r="M41" i="44"/>
  <c r="K42" i="44"/>
  <c r="L42" i="44"/>
  <c r="N42" i="44" s="1"/>
  <c r="M42" i="44"/>
  <c r="M32" i="44"/>
  <c r="L32" i="44"/>
  <c r="K32" i="44"/>
  <c r="K16" i="27"/>
  <c r="M15" i="27"/>
  <c r="L15" i="27"/>
  <c r="N15" i="27" s="1"/>
  <c r="K15" i="27"/>
  <c r="N3" i="28"/>
  <c r="M3" i="28"/>
  <c r="O3" i="28" s="1"/>
  <c r="L3" i="28"/>
  <c r="K3" i="28"/>
  <c r="M4" i="29"/>
  <c r="L4" i="29"/>
  <c r="K4" i="29"/>
  <c r="M3" i="29"/>
  <c r="L3" i="29"/>
  <c r="N3" i="29" s="1"/>
  <c r="K3" i="29"/>
  <c r="M4" i="27"/>
  <c r="L4" i="27"/>
  <c r="K4" i="27"/>
  <c r="M3" i="27"/>
  <c r="L3" i="27"/>
  <c r="N3" i="27" s="1"/>
  <c r="K3" i="27"/>
  <c r="M3" i="31"/>
  <c r="L3" i="31"/>
  <c r="O3" i="31" s="1"/>
  <c r="K3" i="31"/>
  <c r="M3" i="44"/>
  <c r="L3" i="44"/>
  <c r="K3" i="44"/>
  <c r="K15" i="31"/>
  <c r="L15" i="31"/>
  <c r="O15" i="31" s="1"/>
  <c r="M15" i="31"/>
  <c r="N15" i="31"/>
  <c r="K5" i="31"/>
  <c r="L5" i="31"/>
  <c r="N5" i="31" s="1"/>
  <c r="M5" i="31"/>
  <c r="K6" i="31"/>
  <c r="L6" i="31"/>
  <c r="N6" i="31" s="1"/>
  <c r="M6" i="31"/>
  <c r="K7" i="31"/>
  <c r="L7" i="31"/>
  <c r="M7" i="31"/>
  <c r="N7" i="31"/>
  <c r="O7" i="31"/>
  <c r="K8" i="31"/>
  <c r="L8" i="31"/>
  <c r="M8" i="31"/>
  <c r="N8" i="31"/>
  <c r="O8" i="31"/>
  <c r="K9" i="31"/>
  <c r="L9" i="31"/>
  <c r="N9" i="31" s="1"/>
  <c r="M9" i="31"/>
  <c r="K10" i="31"/>
  <c r="L10" i="31"/>
  <c r="N10" i="31" s="1"/>
  <c r="M10" i="31"/>
  <c r="O10" i="31"/>
  <c r="K11" i="31"/>
  <c r="L11" i="31"/>
  <c r="M11" i="31"/>
  <c r="N11" i="31"/>
  <c r="O11" i="31"/>
  <c r="K12" i="31"/>
  <c r="L12" i="31"/>
  <c r="M12" i="31"/>
  <c r="N12" i="31"/>
  <c r="O12" i="31"/>
  <c r="K13" i="31"/>
  <c r="L13" i="31"/>
  <c r="N13" i="31" s="1"/>
  <c r="M13" i="31"/>
  <c r="O13" i="31"/>
  <c r="K14" i="31"/>
  <c r="L14" i="31"/>
  <c r="N14" i="31" s="1"/>
  <c r="M14" i="31"/>
  <c r="O14" i="31"/>
  <c r="M4" i="31"/>
  <c r="L4" i="31"/>
  <c r="K4" i="31"/>
  <c r="K5" i="44"/>
  <c r="L5" i="44"/>
  <c r="N5" i="44" s="1"/>
  <c r="M5" i="44"/>
  <c r="K6" i="44"/>
  <c r="L6" i="44"/>
  <c r="N6" i="44" s="1"/>
  <c r="M6" i="44"/>
  <c r="K7" i="44"/>
  <c r="L7" i="44"/>
  <c r="N7" i="44" s="1"/>
  <c r="M7" i="44"/>
  <c r="K8" i="44"/>
  <c r="L8" i="44"/>
  <c r="N8" i="44" s="1"/>
  <c r="M8" i="44"/>
  <c r="K9" i="44"/>
  <c r="L9" i="44"/>
  <c r="N9" i="44" s="1"/>
  <c r="M9" i="44"/>
  <c r="K10" i="44"/>
  <c r="L10" i="44"/>
  <c r="N10" i="44" s="1"/>
  <c r="M10" i="44"/>
  <c r="K11" i="44"/>
  <c r="L11" i="44"/>
  <c r="N11" i="44" s="1"/>
  <c r="M11" i="44"/>
  <c r="K12" i="44"/>
  <c r="L12" i="44"/>
  <c r="N12" i="44" s="1"/>
  <c r="M12" i="44"/>
  <c r="K13" i="44"/>
  <c r="L13" i="44"/>
  <c r="N13" i="44" s="1"/>
  <c r="M13" i="44"/>
  <c r="K14" i="44"/>
  <c r="L14" i="44"/>
  <c r="N14" i="44" s="1"/>
  <c r="M14" i="44"/>
  <c r="K15" i="44"/>
  <c r="L15" i="44"/>
  <c r="N15" i="44" s="1"/>
  <c r="M15" i="44"/>
  <c r="K16" i="44"/>
  <c r="L16" i="44"/>
  <c r="N16" i="44" s="1"/>
  <c r="M16" i="44"/>
  <c r="K17" i="44"/>
  <c r="L17" i="44"/>
  <c r="N17" i="44" s="1"/>
  <c r="M17" i="44"/>
  <c r="K18" i="44"/>
  <c r="L18" i="44"/>
  <c r="N18" i="44" s="1"/>
  <c r="M18" i="44"/>
  <c r="K19" i="44"/>
  <c r="L19" i="44"/>
  <c r="N19" i="44" s="1"/>
  <c r="M19" i="44"/>
  <c r="K20" i="44"/>
  <c r="L20" i="44"/>
  <c r="N20" i="44" s="1"/>
  <c r="M20" i="44"/>
  <c r="K21" i="44"/>
  <c r="L21" i="44"/>
  <c r="N21" i="44" s="1"/>
  <c r="M21" i="44"/>
  <c r="K22" i="44"/>
  <c r="L22" i="44"/>
  <c r="N22" i="44" s="1"/>
  <c r="M22" i="44"/>
  <c r="K23" i="44"/>
  <c r="L23" i="44"/>
  <c r="N23" i="44" s="1"/>
  <c r="M23" i="44"/>
  <c r="M4" i="44"/>
  <c r="L4" i="44"/>
  <c r="N4" i="44" s="1"/>
  <c r="K4" i="44"/>
  <c r="K13" i="29"/>
  <c r="L13" i="29"/>
  <c r="N13" i="29" s="1"/>
  <c r="M13" i="29"/>
  <c r="K14" i="29"/>
  <c r="L14" i="29"/>
  <c r="N14" i="29" s="1"/>
  <c r="M14" i="29"/>
  <c r="K15" i="29"/>
  <c r="L15" i="29"/>
  <c r="N15" i="29" s="1"/>
  <c r="M15" i="29"/>
  <c r="K16" i="29"/>
  <c r="L16" i="29"/>
  <c r="N16" i="29" s="1"/>
  <c r="M16" i="29"/>
  <c r="K5" i="28"/>
  <c r="L5" i="28"/>
  <c r="M5" i="28"/>
  <c r="N5" i="28"/>
  <c r="O5" i="28"/>
  <c r="K6" i="28"/>
  <c r="L6" i="28"/>
  <c r="M6" i="28"/>
  <c r="N6" i="28"/>
  <c r="K7" i="28"/>
  <c r="L7" i="28"/>
  <c r="N7" i="28" s="1"/>
  <c r="M7" i="28"/>
  <c r="K8" i="28"/>
  <c r="L8" i="28"/>
  <c r="M8" i="28"/>
  <c r="N8" i="28"/>
  <c r="O8" i="28"/>
  <c r="K9" i="28"/>
  <c r="L9" i="28"/>
  <c r="M9" i="28"/>
  <c r="N9" i="28"/>
  <c r="O9" i="28"/>
  <c r="K10" i="28"/>
  <c r="L10" i="28"/>
  <c r="M10" i="28"/>
  <c r="N10" i="28"/>
  <c r="K11" i="28"/>
  <c r="L11" i="28"/>
  <c r="N11" i="28" s="1"/>
  <c r="M11" i="28"/>
  <c r="O11" i="28"/>
  <c r="K12" i="28"/>
  <c r="L12" i="28"/>
  <c r="N12" i="28" s="1"/>
  <c r="M12" i="28"/>
  <c r="M4" i="28"/>
  <c r="L4" i="28"/>
  <c r="K4" i="28"/>
  <c r="K12" i="29"/>
  <c r="L12" i="29"/>
  <c r="N12" i="29" s="1"/>
  <c r="M12" i="29"/>
  <c r="K6" i="29"/>
  <c r="L6" i="29"/>
  <c r="N6" i="29" s="1"/>
  <c r="M6" i="29"/>
  <c r="K7" i="29"/>
  <c r="L7" i="29"/>
  <c r="N7" i="29" s="1"/>
  <c r="M7" i="29"/>
  <c r="K8" i="29"/>
  <c r="L8" i="29"/>
  <c r="N8" i="29" s="1"/>
  <c r="M8" i="29"/>
  <c r="K10" i="29"/>
  <c r="L10" i="29"/>
  <c r="N10" i="29" s="1"/>
  <c r="M10" i="29"/>
  <c r="K9" i="29"/>
  <c r="L9" i="29"/>
  <c r="N9" i="29" s="1"/>
  <c r="M9" i="29"/>
  <c r="K11" i="29"/>
  <c r="L11" i="29"/>
  <c r="N11" i="29" s="1"/>
  <c r="M11" i="29"/>
  <c r="L5" i="29"/>
  <c r="M5" i="29"/>
  <c r="K5" i="29"/>
  <c r="K6" i="27"/>
  <c r="K7" i="27"/>
  <c r="K8" i="27"/>
  <c r="K9" i="27"/>
  <c r="K10" i="27"/>
  <c r="K11" i="27"/>
  <c r="K12" i="27"/>
  <c r="K13" i="27"/>
  <c r="K14" i="27"/>
  <c r="M6" i="27"/>
  <c r="M7" i="27"/>
  <c r="M8" i="27"/>
  <c r="M9" i="27"/>
  <c r="M10" i="27"/>
  <c r="M11" i="27"/>
  <c r="M12" i="27"/>
  <c r="M13" i="27"/>
  <c r="M14" i="27"/>
  <c r="M5" i="27"/>
  <c r="K5" i="27"/>
  <c r="M31" i="21"/>
  <c r="L31" i="21"/>
  <c r="O31" i="21" s="1"/>
  <c r="K31" i="21"/>
  <c r="M30" i="21"/>
  <c r="L30" i="21"/>
  <c r="O30" i="21" s="1"/>
  <c r="K30" i="21"/>
  <c r="M31" i="4"/>
  <c r="L31" i="4"/>
  <c r="K31" i="4"/>
  <c r="K4" i="22"/>
  <c r="L4" i="22"/>
  <c r="N4" i="22" s="1"/>
  <c r="M4" i="22"/>
  <c r="K5" i="22"/>
  <c r="L5" i="22"/>
  <c r="N5" i="22" s="1"/>
  <c r="M5" i="22"/>
  <c r="K6" i="22"/>
  <c r="L6" i="22"/>
  <c r="N6" i="22" s="1"/>
  <c r="M6" i="22"/>
  <c r="O6" i="22"/>
  <c r="K7" i="22"/>
  <c r="L7" i="22"/>
  <c r="M7" i="22"/>
  <c r="N7" i="22"/>
  <c r="O7" i="22"/>
  <c r="M3" i="22"/>
  <c r="L3" i="22"/>
  <c r="N3" i="22" s="1"/>
  <c r="K3" i="22"/>
  <c r="K4" i="25"/>
  <c r="L4" i="25"/>
  <c r="M4" i="25"/>
  <c r="N4" i="25"/>
  <c r="O4" i="25"/>
  <c r="P4" i="25"/>
  <c r="K5" i="25"/>
  <c r="L5" i="25"/>
  <c r="P5" i="25" s="1"/>
  <c r="M5" i="25"/>
  <c r="N5" i="25"/>
  <c r="O5" i="25"/>
  <c r="K6" i="25"/>
  <c r="L6" i="25"/>
  <c r="M6" i="25"/>
  <c r="N6" i="25"/>
  <c r="O6" i="25"/>
  <c r="P6" i="25"/>
  <c r="K7" i="25"/>
  <c r="L7" i="25"/>
  <c r="M7" i="25"/>
  <c r="N7" i="25"/>
  <c r="O7" i="25"/>
  <c r="P7" i="25"/>
  <c r="O3" i="25"/>
  <c r="N3" i="25"/>
  <c r="M3" i="25"/>
  <c r="L3" i="25"/>
  <c r="P3" i="25" s="1"/>
  <c r="K3" i="25"/>
  <c r="K4" i="4"/>
  <c r="L4" i="4"/>
  <c r="N4" i="4" s="1"/>
  <c r="M4" i="4"/>
  <c r="K5" i="4"/>
  <c r="L5" i="4"/>
  <c r="N5" i="4" s="1"/>
  <c r="M5" i="4"/>
  <c r="K6" i="4"/>
  <c r="L6" i="4"/>
  <c r="M6" i="4"/>
  <c r="K7" i="4"/>
  <c r="L7" i="4"/>
  <c r="N7" i="4" s="1"/>
  <c r="M7" i="4"/>
  <c r="M3" i="4"/>
  <c r="L3" i="4"/>
  <c r="K3" i="4"/>
  <c r="O9" i="25"/>
  <c r="O10" i="25"/>
  <c r="O11" i="25"/>
  <c r="O12" i="25"/>
  <c r="O13" i="25"/>
  <c r="O14" i="25"/>
  <c r="O15" i="25"/>
  <c r="O16" i="25"/>
  <c r="O17" i="25"/>
  <c r="O18" i="25"/>
  <c r="O19" i="25"/>
  <c r="O20" i="25"/>
  <c r="O21" i="25"/>
  <c r="O22" i="25"/>
  <c r="O8" i="25"/>
  <c r="O4" i="32"/>
  <c r="O5" i="32"/>
  <c r="O6" i="32"/>
  <c r="O7" i="32"/>
  <c r="O8" i="32"/>
  <c r="O9" i="32"/>
  <c r="O10" i="32"/>
  <c r="O11" i="32"/>
  <c r="O12" i="32"/>
  <c r="O3" i="32"/>
  <c r="K7" i="21"/>
  <c r="L7" i="21"/>
  <c r="M7" i="21"/>
  <c r="N7" i="21"/>
  <c r="K4" i="21"/>
  <c r="L4" i="21"/>
  <c r="N4" i="21" s="1"/>
  <c r="M4" i="21"/>
  <c r="K5" i="21"/>
  <c r="L5" i="21"/>
  <c r="M5" i="21"/>
  <c r="N5" i="21"/>
  <c r="K6" i="21"/>
  <c r="L6" i="21"/>
  <c r="N6" i="21" s="1"/>
  <c r="M6" i="21"/>
  <c r="O6" i="21" s="1"/>
  <c r="M3" i="21"/>
  <c r="L3" i="21"/>
  <c r="K3" i="21"/>
  <c r="K22" i="25"/>
  <c r="L22" i="25"/>
  <c r="N22" i="25" s="1"/>
  <c r="M22" i="25"/>
  <c r="K23" i="25"/>
  <c r="L23" i="25"/>
  <c r="M23" i="25"/>
  <c r="K24" i="25"/>
  <c r="L24" i="25"/>
  <c r="M24" i="25"/>
  <c r="P24" i="25" s="1"/>
  <c r="N24" i="25"/>
  <c r="K23" i="22"/>
  <c r="L23" i="22"/>
  <c r="N23" i="22" s="1"/>
  <c r="M23" i="22"/>
  <c r="K24" i="22"/>
  <c r="K30" i="4"/>
  <c r="L30" i="4"/>
  <c r="N30" i="4" s="1"/>
  <c r="M30" i="4"/>
  <c r="K22" i="22"/>
  <c r="L22" i="22"/>
  <c r="M22" i="22"/>
  <c r="N22" i="22"/>
  <c r="O22" i="22"/>
  <c r="K30" i="25"/>
  <c r="K31" i="25"/>
  <c r="K32" i="25"/>
  <c r="K33" i="25"/>
  <c r="K34" i="25"/>
  <c r="K35" i="25"/>
  <c r="K36" i="25"/>
  <c r="K37" i="25"/>
  <c r="K38" i="25"/>
  <c r="K39" i="25"/>
  <c r="K40" i="25"/>
  <c r="K41" i="25"/>
  <c r="K42" i="25"/>
  <c r="K29" i="25"/>
  <c r="M30" i="25"/>
  <c r="M31" i="25"/>
  <c r="M32" i="25"/>
  <c r="M33" i="25"/>
  <c r="M34" i="25"/>
  <c r="M35" i="25"/>
  <c r="M36" i="25"/>
  <c r="M37" i="25"/>
  <c r="M38" i="25"/>
  <c r="M39" i="25"/>
  <c r="M40" i="25"/>
  <c r="M41" i="25"/>
  <c r="M42" i="25"/>
  <c r="M29" i="25"/>
  <c r="M9" i="25"/>
  <c r="M10" i="25"/>
  <c r="M11" i="25"/>
  <c r="M12" i="25"/>
  <c r="M13" i="25"/>
  <c r="M14" i="25"/>
  <c r="M15" i="25"/>
  <c r="M16" i="25"/>
  <c r="M17" i="25"/>
  <c r="M18" i="25"/>
  <c r="M19" i="25"/>
  <c r="M20" i="25"/>
  <c r="M21" i="25"/>
  <c r="M25" i="25"/>
  <c r="M8" i="25"/>
  <c r="K9" i="25"/>
  <c r="K10" i="25"/>
  <c r="K11" i="25"/>
  <c r="K12" i="25"/>
  <c r="K13" i="25"/>
  <c r="K14" i="25"/>
  <c r="K15" i="25"/>
  <c r="K16" i="25"/>
  <c r="K17" i="25"/>
  <c r="K18" i="25"/>
  <c r="K19" i="25"/>
  <c r="K20" i="25"/>
  <c r="K21" i="25"/>
  <c r="K25" i="25"/>
  <c r="K8" i="25"/>
  <c r="K32" i="22"/>
  <c r="K33" i="22"/>
  <c r="K34" i="22"/>
  <c r="K35" i="22"/>
  <c r="K36" i="22"/>
  <c r="K37" i="22"/>
  <c r="K38" i="22"/>
  <c r="K39" i="22"/>
  <c r="K40" i="22"/>
  <c r="K41" i="22"/>
  <c r="K42" i="22"/>
  <c r="K43" i="22"/>
  <c r="K44" i="22"/>
  <c r="K45" i="22"/>
  <c r="M55" i="22"/>
  <c r="M56" i="22"/>
  <c r="M57" i="22"/>
  <c r="M58" i="22"/>
  <c r="M59" i="22"/>
  <c r="M60" i="22"/>
  <c r="M61" i="22"/>
  <c r="M62" i="22"/>
  <c r="M63" i="22"/>
  <c r="M64" i="22"/>
  <c r="M65" i="22"/>
  <c r="M66" i="22"/>
  <c r="M54" i="22"/>
  <c r="M32" i="22"/>
  <c r="M33" i="22"/>
  <c r="M34" i="22"/>
  <c r="M35" i="22"/>
  <c r="M36" i="22"/>
  <c r="M37" i="22"/>
  <c r="M38" i="22"/>
  <c r="M39" i="22"/>
  <c r="M40" i="22"/>
  <c r="M41" i="22"/>
  <c r="M42" i="22"/>
  <c r="M43" i="22"/>
  <c r="M44" i="22"/>
  <c r="M45" i="22"/>
  <c r="M31" i="22"/>
  <c r="M9" i="22"/>
  <c r="M10" i="22"/>
  <c r="M11" i="22"/>
  <c r="M12" i="22"/>
  <c r="M13" i="22"/>
  <c r="M14" i="22"/>
  <c r="M15" i="22"/>
  <c r="M16" i="22"/>
  <c r="M17" i="22"/>
  <c r="M18" i="22"/>
  <c r="M19" i="22"/>
  <c r="M20" i="22"/>
  <c r="M21" i="22"/>
  <c r="M8" i="22"/>
  <c r="K54" i="22"/>
  <c r="K31" i="22"/>
  <c r="K9" i="22"/>
  <c r="K10" i="22"/>
  <c r="K11" i="22"/>
  <c r="K12" i="22"/>
  <c r="K13" i="22"/>
  <c r="K14" i="22"/>
  <c r="K15" i="22"/>
  <c r="K16" i="22"/>
  <c r="K17" i="22"/>
  <c r="K18" i="22"/>
  <c r="K19" i="22"/>
  <c r="K20" i="22"/>
  <c r="K21" i="22"/>
  <c r="K8" i="22"/>
  <c r="M4" i="39"/>
  <c r="M5" i="39"/>
  <c r="M6" i="39"/>
  <c r="M7" i="39"/>
  <c r="M8" i="39"/>
  <c r="M9" i="39"/>
  <c r="M10" i="39"/>
  <c r="M11" i="39"/>
  <c r="M12" i="39"/>
  <c r="M13" i="39"/>
  <c r="M14" i="39"/>
  <c r="M15" i="39"/>
  <c r="M16" i="39"/>
  <c r="M17" i="39"/>
  <c r="M18" i="39"/>
  <c r="M19" i="39"/>
  <c r="M20" i="39"/>
  <c r="M21" i="39"/>
  <c r="M22" i="39"/>
  <c r="M23" i="39"/>
  <c r="M24" i="39"/>
  <c r="M25" i="39"/>
  <c r="M3" i="39"/>
  <c r="N25" i="39"/>
  <c r="K4" i="39"/>
  <c r="K5" i="39"/>
  <c r="K6" i="39"/>
  <c r="K7" i="39"/>
  <c r="K8" i="39"/>
  <c r="K9" i="39"/>
  <c r="K10" i="39"/>
  <c r="K11" i="39"/>
  <c r="K12" i="39"/>
  <c r="K13" i="39"/>
  <c r="K14" i="39"/>
  <c r="K15" i="39"/>
  <c r="K16" i="39"/>
  <c r="K17" i="39"/>
  <c r="K18" i="39"/>
  <c r="K19" i="39"/>
  <c r="K20" i="39"/>
  <c r="K21" i="39"/>
  <c r="K22" i="39"/>
  <c r="K23" i="39"/>
  <c r="K24" i="39"/>
  <c r="K25" i="39"/>
  <c r="K3" i="39"/>
  <c r="M64" i="21"/>
  <c r="M65" i="21"/>
  <c r="M66" i="21"/>
  <c r="M67" i="21"/>
  <c r="M68" i="21"/>
  <c r="M69" i="21"/>
  <c r="M70" i="21"/>
  <c r="M71" i="21"/>
  <c r="M72" i="21"/>
  <c r="M73" i="21"/>
  <c r="M74" i="21"/>
  <c r="M75" i="21"/>
  <c r="M76" i="21"/>
  <c r="M77" i="21"/>
  <c r="M78" i="21"/>
  <c r="M79" i="21"/>
  <c r="M80" i="21"/>
  <c r="M81" i="21"/>
  <c r="M82" i="21"/>
  <c r="M83" i="21"/>
  <c r="M84" i="21"/>
  <c r="M85" i="21"/>
  <c r="K64" i="21"/>
  <c r="K65" i="21"/>
  <c r="K66" i="21"/>
  <c r="K67" i="21"/>
  <c r="K68" i="21"/>
  <c r="K69" i="21"/>
  <c r="K70" i="21"/>
  <c r="K71" i="21"/>
  <c r="K72" i="21"/>
  <c r="K73" i="21"/>
  <c r="K74" i="21"/>
  <c r="K75" i="21"/>
  <c r="K76" i="21"/>
  <c r="K77" i="21"/>
  <c r="K78" i="21"/>
  <c r="K79" i="21"/>
  <c r="K80" i="21"/>
  <c r="K81" i="21"/>
  <c r="K82" i="21"/>
  <c r="K83" i="21"/>
  <c r="K84" i="21"/>
  <c r="K85" i="21"/>
  <c r="M63" i="21"/>
  <c r="K63" i="21"/>
  <c r="M38" i="21"/>
  <c r="M39" i="21"/>
  <c r="M40" i="21"/>
  <c r="M41" i="21"/>
  <c r="M42" i="21"/>
  <c r="M43" i="21"/>
  <c r="M44" i="21"/>
  <c r="M45" i="21"/>
  <c r="M46" i="21"/>
  <c r="M47" i="21"/>
  <c r="M48" i="21"/>
  <c r="M49" i="21"/>
  <c r="M50" i="21"/>
  <c r="M51" i="21"/>
  <c r="M52" i="21"/>
  <c r="M53" i="21"/>
  <c r="M54" i="21"/>
  <c r="M55" i="21"/>
  <c r="M56" i="21"/>
  <c r="M57" i="21"/>
  <c r="M58" i="21"/>
  <c r="M59" i="21"/>
  <c r="K38" i="21"/>
  <c r="K39" i="21"/>
  <c r="K40" i="21"/>
  <c r="K41" i="21"/>
  <c r="K42" i="21"/>
  <c r="K43" i="21"/>
  <c r="K44" i="21"/>
  <c r="K45" i="21"/>
  <c r="K46" i="21"/>
  <c r="K47" i="21"/>
  <c r="K48" i="21"/>
  <c r="K49" i="21"/>
  <c r="K50" i="21"/>
  <c r="K51" i="21"/>
  <c r="K52" i="21"/>
  <c r="K53" i="21"/>
  <c r="K54" i="21"/>
  <c r="K55" i="21"/>
  <c r="K56" i="21"/>
  <c r="K57" i="21"/>
  <c r="K58" i="21"/>
  <c r="K59" i="21"/>
  <c r="M37" i="21"/>
  <c r="K37" i="21"/>
  <c r="M9" i="21"/>
  <c r="M10" i="21"/>
  <c r="M11" i="21"/>
  <c r="M12" i="21"/>
  <c r="M13" i="21"/>
  <c r="M14" i="21"/>
  <c r="M15" i="21"/>
  <c r="M16" i="21"/>
  <c r="M17" i="21"/>
  <c r="M18" i="21"/>
  <c r="M19" i="21"/>
  <c r="M20" i="21"/>
  <c r="M21" i="21"/>
  <c r="M22" i="21"/>
  <c r="M23" i="21"/>
  <c r="M24" i="21"/>
  <c r="M25" i="21"/>
  <c r="M26" i="21"/>
  <c r="M27" i="21"/>
  <c r="M28" i="21"/>
  <c r="M29" i="21"/>
  <c r="M32" i="21"/>
  <c r="M8" i="21"/>
  <c r="K9" i="21"/>
  <c r="K10" i="21"/>
  <c r="K11" i="21"/>
  <c r="K12" i="21"/>
  <c r="K13" i="21"/>
  <c r="K14" i="21"/>
  <c r="K15" i="21"/>
  <c r="K16" i="21"/>
  <c r="K17" i="21"/>
  <c r="K18" i="21"/>
  <c r="K19" i="21"/>
  <c r="K20" i="21"/>
  <c r="K21" i="21"/>
  <c r="K22" i="21"/>
  <c r="K23" i="21"/>
  <c r="K24" i="21"/>
  <c r="K25" i="21"/>
  <c r="K26" i="21"/>
  <c r="K27" i="21"/>
  <c r="K28" i="21"/>
  <c r="K29" i="21"/>
  <c r="K32" i="21"/>
  <c r="K8" i="21"/>
  <c r="M65" i="4"/>
  <c r="M66" i="4"/>
  <c r="M67" i="4"/>
  <c r="M68" i="4"/>
  <c r="M69" i="4"/>
  <c r="M70" i="4"/>
  <c r="M71" i="4"/>
  <c r="M72" i="4"/>
  <c r="M73" i="4"/>
  <c r="M74" i="4"/>
  <c r="M75" i="4"/>
  <c r="M76" i="4"/>
  <c r="M77" i="4"/>
  <c r="M78" i="4"/>
  <c r="M79" i="4"/>
  <c r="M80" i="4"/>
  <c r="M81" i="4"/>
  <c r="M82" i="4"/>
  <c r="M83" i="4"/>
  <c r="M84" i="4"/>
  <c r="M85" i="4"/>
  <c r="K65" i="4"/>
  <c r="K66" i="4"/>
  <c r="K67" i="4"/>
  <c r="K68" i="4"/>
  <c r="K69" i="4"/>
  <c r="K70" i="4"/>
  <c r="K71" i="4"/>
  <c r="K72" i="4"/>
  <c r="K73" i="4"/>
  <c r="K74" i="4"/>
  <c r="K75" i="4"/>
  <c r="K76" i="4"/>
  <c r="K77" i="4"/>
  <c r="K78" i="4"/>
  <c r="K79" i="4"/>
  <c r="K80" i="4"/>
  <c r="K81" i="4"/>
  <c r="K82" i="4"/>
  <c r="K83" i="4"/>
  <c r="K84" i="4"/>
  <c r="K85" i="4"/>
  <c r="M64" i="4"/>
  <c r="K64" i="4"/>
  <c r="M38" i="4"/>
  <c r="M39" i="4"/>
  <c r="M40" i="4"/>
  <c r="M41" i="4"/>
  <c r="M42" i="4"/>
  <c r="M43" i="4"/>
  <c r="M44" i="4"/>
  <c r="M45" i="4"/>
  <c r="M46" i="4"/>
  <c r="M47" i="4"/>
  <c r="M48" i="4"/>
  <c r="M49" i="4"/>
  <c r="M50" i="4"/>
  <c r="M51" i="4"/>
  <c r="M52" i="4"/>
  <c r="M53" i="4"/>
  <c r="M54" i="4"/>
  <c r="M55" i="4"/>
  <c r="M56" i="4"/>
  <c r="M57" i="4"/>
  <c r="M58" i="4"/>
  <c r="M59" i="4"/>
  <c r="K38" i="4"/>
  <c r="K39" i="4"/>
  <c r="K40" i="4"/>
  <c r="K41" i="4"/>
  <c r="K42" i="4"/>
  <c r="K43" i="4"/>
  <c r="K44" i="4"/>
  <c r="K45" i="4"/>
  <c r="K46" i="4"/>
  <c r="K47" i="4"/>
  <c r="K48" i="4"/>
  <c r="K49" i="4"/>
  <c r="K50" i="4"/>
  <c r="K51" i="4"/>
  <c r="K52" i="4"/>
  <c r="K53" i="4"/>
  <c r="K54" i="4"/>
  <c r="K55" i="4"/>
  <c r="K56" i="4"/>
  <c r="K57" i="4"/>
  <c r="K58" i="4"/>
  <c r="K59" i="4"/>
  <c r="M37" i="4"/>
  <c r="K37" i="4"/>
  <c r="M9" i="4"/>
  <c r="M10" i="4"/>
  <c r="M11" i="4"/>
  <c r="M12" i="4"/>
  <c r="M13" i="4"/>
  <c r="M14" i="4"/>
  <c r="M15" i="4"/>
  <c r="M16" i="4"/>
  <c r="M17" i="4"/>
  <c r="M18" i="4"/>
  <c r="M19" i="4"/>
  <c r="M20" i="4"/>
  <c r="M21" i="4"/>
  <c r="M22" i="4"/>
  <c r="M23" i="4"/>
  <c r="M24" i="4"/>
  <c r="M25" i="4"/>
  <c r="M26" i="4"/>
  <c r="M27" i="4"/>
  <c r="M28" i="4"/>
  <c r="M29" i="4"/>
  <c r="M32" i="4"/>
  <c r="M8" i="4"/>
  <c r="K9" i="4"/>
  <c r="K10" i="4"/>
  <c r="K11" i="4"/>
  <c r="K12" i="4"/>
  <c r="K13" i="4"/>
  <c r="K14" i="4"/>
  <c r="K15" i="4"/>
  <c r="K16" i="4"/>
  <c r="K17" i="4"/>
  <c r="K18" i="4"/>
  <c r="K19" i="4"/>
  <c r="K20" i="4"/>
  <c r="K21" i="4"/>
  <c r="K22" i="4"/>
  <c r="K23" i="4"/>
  <c r="K24" i="4"/>
  <c r="K25" i="4"/>
  <c r="K26" i="4"/>
  <c r="K27" i="4"/>
  <c r="K28" i="4"/>
  <c r="K29" i="4"/>
  <c r="K32" i="4"/>
  <c r="K8" i="4"/>
  <c r="P12" i="32"/>
  <c r="P13" i="32"/>
  <c r="N15" i="22"/>
  <c r="M4" i="32"/>
  <c r="M5" i="32"/>
  <c r="M6" i="32"/>
  <c r="M7" i="32"/>
  <c r="M8" i="32"/>
  <c r="M9" i="32"/>
  <c r="M10" i="32"/>
  <c r="M11" i="32"/>
  <c r="M12" i="32"/>
  <c r="M13" i="32"/>
  <c r="M14" i="32"/>
  <c r="M15" i="32"/>
  <c r="M16" i="32"/>
  <c r="M17" i="32"/>
  <c r="M18" i="32"/>
  <c r="M19" i="32"/>
  <c r="M20" i="32"/>
  <c r="M21" i="32"/>
  <c r="M22" i="32"/>
  <c r="M23" i="32"/>
  <c r="M24" i="32"/>
  <c r="M25" i="32"/>
  <c r="K4" i="32"/>
  <c r="K5" i="32"/>
  <c r="K6" i="32"/>
  <c r="K7" i="32"/>
  <c r="K8" i="32"/>
  <c r="K9" i="32"/>
  <c r="K10" i="32"/>
  <c r="K11" i="32"/>
  <c r="K12" i="32"/>
  <c r="K13" i="32"/>
  <c r="K14" i="32"/>
  <c r="K15" i="32"/>
  <c r="K16" i="32"/>
  <c r="K17" i="32"/>
  <c r="K18" i="32"/>
  <c r="K19" i="32"/>
  <c r="K20" i="32"/>
  <c r="K21" i="32"/>
  <c r="K22" i="32"/>
  <c r="K23" i="32"/>
  <c r="K24" i="32"/>
  <c r="K25" i="32"/>
  <c r="M3" i="32"/>
  <c r="K3" i="32"/>
  <c r="N45" i="22"/>
  <c r="N85" i="21"/>
  <c r="N59" i="21"/>
  <c r="N32" i="21"/>
  <c r="N25" i="25"/>
  <c r="N32" i="4"/>
  <c r="N25" i="32"/>
  <c r="B45" i="23"/>
  <c r="B44" i="23"/>
  <c r="B43" i="23"/>
  <c r="B42" i="23"/>
  <c r="B41" i="23"/>
  <c r="B40" i="23"/>
  <c r="L9" i="25"/>
  <c r="N9" i="25" s="1"/>
  <c r="L10" i="25"/>
  <c r="N10" i="25" s="1"/>
  <c r="L11" i="25"/>
  <c r="N11" i="25" s="1"/>
  <c r="L12" i="25"/>
  <c r="N12" i="25" s="1"/>
  <c r="L13" i="25"/>
  <c r="N13" i="25" s="1"/>
  <c r="L14" i="25"/>
  <c r="N14" i="25" s="1"/>
  <c r="L15" i="25"/>
  <c r="N15" i="25" s="1"/>
  <c r="L16" i="25"/>
  <c r="N16" i="25" s="1"/>
  <c r="L17" i="25"/>
  <c r="N17" i="25" s="1"/>
  <c r="L18" i="25"/>
  <c r="N18" i="25" s="1"/>
  <c r="L19" i="25"/>
  <c r="N19" i="25" s="1"/>
  <c r="L20" i="25"/>
  <c r="N20" i="25" s="1"/>
  <c r="L21" i="25"/>
  <c r="N21" i="25" s="1"/>
  <c r="L8" i="25"/>
  <c r="N8" i="25" s="1"/>
  <c r="L8" i="22"/>
  <c r="N8" i="22" s="1"/>
  <c r="B35" i="23"/>
  <c r="B34" i="23"/>
  <c r="B33" i="23"/>
  <c r="B32" i="23"/>
  <c r="B31" i="23"/>
  <c r="B30" i="23"/>
  <c r="L24" i="39"/>
  <c r="L23" i="39"/>
  <c r="L22" i="39"/>
  <c r="N22" i="39" s="1"/>
  <c r="L21" i="39"/>
  <c r="N21" i="39" s="1"/>
  <c r="L20" i="39"/>
  <c r="N20" i="39" s="1"/>
  <c r="L19" i="39"/>
  <c r="N19" i="39" s="1"/>
  <c r="L18" i="39"/>
  <c r="N18" i="39" s="1"/>
  <c r="L17" i="39"/>
  <c r="N17" i="39" s="1"/>
  <c r="L16" i="39"/>
  <c r="N16" i="39" s="1"/>
  <c r="L15" i="39"/>
  <c r="N15" i="39" s="1"/>
  <c r="L14" i="39"/>
  <c r="N14" i="39" s="1"/>
  <c r="L13" i="39"/>
  <c r="L12" i="39"/>
  <c r="L11" i="39"/>
  <c r="N11" i="39" s="1"/>
  <c r="L10" i="39"/>
  <c r="N10" i="39" s="1"/>
  <c r="L9" i="39"/>
  <c r="N9" i="39" s="1"/>
  <c r="L8" i="39"/>
  <c r="N8" i="39" s="1"/>
  <c r="L7" i="39"/>
  <c r="N7" i="39" s="1"/>
  <c r="L6" i="39"/>
  <c r="N6" i="39" s="1"/>
  <c r="L5" i="39"/>
  <c r="N5" i="39" s="1"/>
  <c r="L4" i="39"/>
  <c r="N4" i="39" s="1"/>
  <c r="L3" i="39"/>
  <c r="B16" i="23"/>
  <c r="B15" i="23"/>
  <c r="B14" i="23"/>
  <c r="B13" i="23"/>
  <c r="L4" i="32"/>
  <c r="N4" i="32" s="1"/>
  <c r="L5" i="32"/>
  <c r="N5" i="32" s="1"/>
  <c r="L6" i="32"/>
  <c r="N6" i="32" s="1"/>
  <c r="L7" i="32"/>
  <c r="N7" i="32" s="1"/>
  <c r="L8" i="32"/>
  <c r="N8" i="32" s="1"/>
  <c r="L9" i="32"/>
  <c r="N9" i="32" s="1"/>
  <c r="L10" i="32"/>
  <c r="N10" i="32" s="1"/>
  <c r="L11" i="32"/>
  <c r="N11" i="32" s="1"/>
  <c r="L12" i="32"/>
  <c r="N12" i="32" s="1"/>
  <c r="L13" i="32"/>
  <c r="N13" i="32" s="1"/>
  <c r="L14" i="32"/>
  <c r="N14" i="32" s="1"/>
  <c r="L15" i="32"/>
  <c r="N15" i="32" s="1"/>
  <c r="L16" i="32"/>
  <c r="N16" i="32" s="1"/>
  <c r="L17" i="32"/>
  <c r="N17" i="32" s="1"/>
  <c r="L18" i="32"/>
  <c r="N18" i="32" s="1"/>
  <c r="L19" i="32"/>
  <c r="N19" i="32" s="1"/>
  <c r="L20" i="32"/>
  <c r="N20" i="32" s="1"/>
  <c r="L21" i="32"/>
  <c r="L22" i="32"/>
  <c r="N22" i="32" s="1"/>
  <c r="L23" i="32"/>
  <c r="N23" i="32" s="1"/>
  <c r="L24" i="32"/>
  <c r="N24" i="32" s="1"/>
  <c r="L3" i="32"/>
  <c r="N3" i="32" s="1"/>
  <c r="H68" i="30"/>
  <c r="H6" i="30"/>
  <c r="H50" i="30"/>
  <c r="H35" i="30"/>
  <c r="H22" i="30"/>
  <c r="H65" i="30"/>
  <c r="G65" i="30"/>
  <c r="H33" i="30"/>
  <c r="G33" i="30"/>
  <c r="H20" i="30"/>
  <c r="G20" i="30"/>
  <c r="H3" i="30"/>
  <c r="G3" i="30"/>
  <c r="D41" i="30"/>
  <c r="L33" i="29"/>
  <c r="L34" i="29"/>
  <c r="L35" i="29"/>
  <c r="L36" i="29"/>
  <c r="L37" i="29"/>
  <c r="L39" i="29"/>
  <c r="L38" i="29"/>
  <c r="L41" i="29"/>
  <c r="L40" i="29"/>
  <c r="L20" i="29"/>
  <c r="L21" i="29"/>
  <c r="L22" i="29"/>
  <c r="L23" i="29"/>
  <c r="L24" i="29"/>
  <c r="L26" i="29"/>
  <c r="L25" i="29"/>
  <c r="L28" i="29"/>
  <c r="L27" i="29"/>
  <c r="L32" i="27"/>
  <c r="L33" i="27"/>
  <c r="L34" i="27"/>
  <c r="L35" i="27"/>
  <c r="L36" i="27"/>
  <c r="L37" i="27"/>
  <c r="L38" i="27"/>
  <c r="L39" i="27"/>
  <c r="L40" i="27"/>
  <c r="L41" i="27"/>
  <c r="L31" i="27"/>
  <c r="L20" i="27"/>
  <c r="L21" i="27"/>
  <c r="L22" i="27"/>
  <c r="L23" i="27"/>
  <c r="L24" i="27"/>
  <c r="L25" i="27"/>
  <c r="L26" i="27"/>
  <c r="L27" i="27"/>
  <c r="L28" i="27"/>
  <c r="L19" i="27"/>
  <c r="L6" i="27"/>
  <c r="N6" i="27" s="1"/>
  <c r="L7" i="27"/>
  <c r="N7" i="27" s="1"/>
  <c r="L8" i="27"/>
  <c r="N8" i="27" s="1"/>
  <c r="L9" i="27"/>
  <c r="N9" i="27" s="1"/>
  <c r="L10" i="27"/>
  <c r="N10" i="27" s="1"/>
  <c r="L12" i="27"/>
  <c r="N12" i="27" s="1"/>
  <c r="L11" i="27"/>
  <c r="N11" i="27" s="1"/>
  <c r="L13" i="27"/>
  <c r="N13" i="27" s="1"/>
  <c r="L14" i="27"/>
  <c r="N14" i="27" s="1"/>
  <c r="L5" i="27"/>
  <c r="G42" i="27"/>
  <c r="G29" i="27"/>
  <c r="G17" i="27"/>
  <c r="L30" i="25"/>
  <c r="N30" i="25" s="1"/>
  <c r="L31" i="25"/>
  <c r="N31" i="25" s="1"/>
  <c r="L32" i="25"/>
  <c r="N32" i="25" s="1"/>
  <c r="L33" i="25"/>
  <c r="N33" i="25" s="1"/>
  <c r="L34" i="25"/>
  <c r="N34" i="25" s="1"/>
  <c r="L35" i="25"/>
  <c r="N35" i="25" s="1"/>
  <c r="L36" i="25"/>
  <c r="N36" i="25" s="1"/>
  <c r="L37" i="25"/>
  <c r="L38" i="25"/>
  <c r="N38" i="25" s="1"/>
  <c r="L39" i="25"/>
  <c r="N39" i="25" s="1"/>
  <c r="L40" i="25"/>
  <c r="N40" i="25" s="1"/>
  <c r="L41" i="25"/>
  <c r="N41" i="25" s="1"/>
  <c r="L42" i="25"/>
  <c r="N42" i="25" s="1"/>
  <c r="L29" i="25"/>
  <c r="N29" i="25" s="1"/>
  <c r="B38" i="23"/>
  <c r="B37" i="23"/>
  <c r="B36" i="23"/>
  <c r="B28" i="23"/>
  <c r="B27" i="23"/>
  <c r="B26" i="23"/>
  <c r="B25" i="23"/>
  <c r="B24" i="23"/>
  <c r="B23" i="23"/>
  <c r="B22" i="23"/>
  <c r="B21" i="23"/>
  <c r="B20" i="23"/>
  <c r="B18" i="23"/>
  <c r="B17" i="23"/>
  <c r="L9" i="22"/>
  <c r="N9" i="22" s="1"/>
  <c r="L10" i="22"/>
  <c r="N10" i="22" s="1"/>
  <c r="L11" i="22"/>
  <c r="N11" i="22" s="1"/>
  <c r="L12" i="22"/>
  <c r="N12" i="22" s="1"/>
  <c r="L13" i="22"/>
  <c r="N13" i="22" s="1"/>
  <c r="L14" i="22"/>
  <c r="N14" i="22" s="1"/>
  <c r="L15" i="22"/>
  <c r="L16" i="22"/>
  <c r="N16" i="22" s="1"/>
  <c r="L17" i="22"/>
  <c r="N17" i="22" s="1"/>
  <c r="L18" i="22"/>
  <c r="N18" i="22" s="1"/>
  <c r="L19" i="22"/>
  <c r="N19" i="22" s="1"/>
  <c r="L20" i="22"/>
  <c r="N20" i="22" s="1"/>
  <c r="L21" i="22"/>
  <c r="N21" i="22" s="1"/>
  <c r="L32" i="22"/>
  <c r="N32" i="22" s="1"/>
  <c r="L33" i="22"/>
  <c r="N33" i="22" s="1"/>
  <c r="L34" i="22"/>
  <c r="N34" i="22" s="1"/>
  <c r="L35" i="22"/>
  <c r="N35" i="22" s="1"/>
  <c r="L36" i="22"/>
  <c r="N36" i="22" s="1"/>
  <c r="L37" i="22"/>
  <c r="N37" i="22" s="1"/>
  <c r="L38" i="22"/>
  <c r="N38" i="22" s="1"/>
  <c r="L39" i="22"/>
  <c r="N39" i="22" s="1"/>
  <c r="L40" i="22"/>
  <c r="N40" i="22" s="1"/>
  <c r="L41" i="22"/>
  <c r="L42" i="22"/>
  <c r="L43" i="22"/>
  <c r="N43" i="22" s="1"/>
  <c r="L44" i="22"/>
  <c r="L31" i="22"/>
  <c r="N31" i="22" s="1"/>
  <c r="L65" i="4"/>
  <c r="N65" i="4" s="1"/>
  <c r="L66" i="4"/>
  <c r="N66" i="4" s="1"/>
  <c r="L67" i="4"/>
  <c r="N67" i="4" s="1"/>
  <c r="L68" i="4"/>
  <c r="N68" i="4" s="1"/>
  <c r="L69" i="4"/>
  <c r="N69" i="4" s="1"/>
  <c r="L70" i="4"/>
  <c r="N70" i="4" s="1"/>
  <c r="L71" i="4"/>
  <c r="N71" i="4" s="1"/>
  <c r="L72" i="4"/>
  <c r="N72" i="4" s="1"/>
  <c r="L73" i="4"/>
  <c r="N73" i="4" s="1"/>
  <c r="L74" i="4"/>
  <c r="N74" i="4" s="1"/>
  <c r="L75" i="4"/>
  <c r="N75" i="4" s="1"/>
  <c r="L76" i="4"/>
  <c r="N76" i="4" s="1"/>
  <c r="L77" i="4"/>
  <c r="N77" i="4" s="1"/>
  <c r="L78" i="4"/>
  <c r="N78" i="4" s="1"/>
  <c r="L79" i="4"/>
  <c r="N79" i="4" s="1"/>
  <c r="L80" i="4"/>
  <c r="N80" i="4" s="1"/>
  <c r="L81" i="4"/>
  <c r="N81" i="4" s="1"/>
  <c r="L82" i="4"/>
  <c r="N82" i="4" s="1"/>
  <c r="L83" i="4"/>
  <c r="N83" i="4" s="1"/>
  <c r="L84" i="4"/>
  <c r="N84" i="4" s="1"/>
  <c r="L85" i="4"/>
  <c r="N85" i="4" s="1"/>
  <c r="L64" i="4"/>
  <c r="N64" i="4" s="1"/>
  <c r="I69" i="22"/>
  <c r="G69" i="22"/>
  <c r="L55" i="22"/>
  <c r="N55" i="22" s="1"/>
  <c r="L56" i="22"/>
  <c r="N56" i="22" s="1"/>
  <c r="L57" i="22"/>
  <c r="N57" i="22" s="1"/>
  <c r="L58" i="22"/>
  <c r="N58" i="22" s="1"/>
  <c r="L59" i="22"/>
  <c r="N59" i="22" s="1"/>
  <c r="L60" i="22"/>
  <c r="N60" i="22" s="1"/>
  <c r="L61" i="22"/>
  <c r="N61" i="22" s="1"/>
  <c r="L62" i="22"/>
  <c r="N62" i="22" s="1"/>
  <c r="L63" i="22"/>
  <c r="N63" i="22" s="1"/>
  <c r="L64" i="22"/>
  <c r="N64" i="22" s="1"/>
  <c r="L65" i="22"/>
  <c r="N65" i="22" s="1"/>
  <c r="L66" i="22"/>
  <c r="N66" i="22" s="1"/>
  <c r="L54" i="22"/>
  <c r="N54" i="22" s="1"/>
  <c r="L9" i="4"/>
  <c r="N9" i="4" s="1"/>
  <c r="L10" i="4"/>
  <c r="N10" i="4" s="1"/>
  <c r="L11" i="4"/>
  <c r="N11" i="4" s="1"/>
  <c r="L12" i="4"/>
  <c r="N12" i="4" s="1"/>
  <c r="L13" i="4"/>
  <c r="N13" i="4" s="1"/>
  <c r="L14" i="4"/>
  <c r="N14" i="4" s="1"/>
  <c r="L15" i="4"/>
  <c r="N15" i="4" s="1"/>
  <c r="L16" i="4"/>
  <c r="N16" i="4" s="1"/>
  <c r="L17" i="4"/>
  <c r="N17" i="4" s="1"/>
  <c r="L18" i="4"/>
  <c r="N18" i="4" s="1"/>
  <c r="L19" i="4"/>
  <c r="N19" i="4" s="1"/>
  <c r="L20" i="4"/>
  <c r="N20" i="4" s="1"/>
  <c r="L21" i="4"/>
  <c r="N21" i="4" s="1"/>
  <c r="L22" i="4"/>
  <c r="N22" i="4" s="1"/>
  <c r="L23" i="4"/>
  <c r="N23" i="4" s="1"/>
  <c r="L24" i="4"/>
  <c r="L25" i="4"/>
  <c r="L26" i="4"/>
  <c r="N26" i="4" s="1"/>
  <c r="L27" i="4"/>
  <c r="N27" i="4" s="1"/>
  <c r="L28" i="4"/>
  <c r="N28" i="4" s="1"/>
  <c r="L29" i="4"/>
  <c r="N29" i="4" s="1"/>
  <c r="L8" i="4"/>
  <c r="N8" i="4" s="1"/>
  <c r="L64" i="21"/>
  <c r="N64" i="21" s="1"/>
  <c r="L65" i="21"/>
  <c r="N65" i="21" s="1"/>
  <c r="L66" i="21"/>
  <c r="N66" i="21" s="1"/>
  <c r="L67" i="21"/>
  <c r="N67" i="21" s="1"/>
  <c r="L68" i="21"/>
  <c r="N68" i="21" s="1"/>
  <c r="L69" i="21"/>
  <c r="N69" i="21" s="1"/>
  <c r="L70" i="21"/>
  <c r="N70" i="21" s="1"/>
  <c r="L71" i="21"/>
  <c r="N71" i="21" s="1"/>
  <c r="L72" i="21"/>
  <c r="N72" i="21" s="1"/>
  <c r="L73" i="21"/>
  <c r="N73" i="21" s="1"/>
  <c r="L74" i="21"/>
  <c r="N74" i="21" s="1"/>
  <c r="L75" i="21"/>
  <c r="N75" i="21" s="1"/>
  <c r="L76" i="21"/>
  <c r="L77" i="21"/>
  <c r="L78" i="21"/>
  <c r="N78" i="21" s="1"/>
  <c r="L79" i="21"/>
  <c r="N79" i="21" s="1"/>
  <c r="L80" i="21"/>
  <c r="N80" i="21" s="1"/>
  <c r="L81" i="21"/>
  <c r="N81" i="21" s="1"/>
  <c r="L82" i="21"/>
  <c r="N82" i="21" s="1"/>
  <c r="L83" i="21"/>
  <c r="N83" i="21" s="1"/>
  <c r="L84" i="21"/>
  <c r="N84" i="21" s="1"/>
  <c r="L63" i="21"/>
  <c r="N63" i="21" s="1"/>
  <c r="L38" i="21"/>
  <c r="N38" i="21" s="1"/>
  <c r="L39" i="21"/>
  <c r="N39" i="21" s="1"/>
  <c r="L40" i="21"/>
  <c r="N40" i="21" s="1"/>
  <c r="L41" i="21"/>
  <c r="N41" i="21" s="1"/>
  <c r="L42" i="21"/>
  <c r="N42" i="21" s="1"/>
  <c r="L43" i="21"/>
  <c r="N43" i="21" s="1"/>
  <c r="L44" i="21"/>
  <c r="N44" i="21" s="1"/>
  <c r="L45" i="21"/>
  <c r="N45" i="21" s="1"/>
  <c r="L46" i="21"/>
  <c r="N46" i="21" s="1"/>
  <c r="L47" i="21"/>
  <c r="N47" i="21" s="1"/>
  <c r="L48" i="21"/>
  <c r="N48" i="21" s="1"/>
  <c r="L49" i="21"/>
  <c r="N49" i="21" s="1"/>
  <c r="L50" i="21"/>
  <c r="L51" i="21"/>
  <c r="N51" i="21" s="1"/>
  <c r="L52" i="21"/>
  <c r="N52" i="21" s="1"/>
  <c r="L53" i="21"/>
  <c r="N53" i="21" s="1"/>
  <c r="L54" i="21"/>
  <c r="N54" i="21" s="1"/>
  <c r="L55" i="21"/>
  <c r="N55" i="21" s="1"/>
  <c r="L56" i="21"/>
  <c r="N56" i="21" s="1"/>
  <c r="L57" i="21"/>
  <c r="N57" i="21" s="1"/>
  <c r="L58" i="21"/>
  <c r="N58" i="21" s="1"/>
  <c r="L37" i="21"/>
  <c r="N37" i="21" s="1"/>
  <c r="L9" i="21"/>
  <c r="N9" i="21" s="1"/>
  <c r="L10" i="21"/>
  <c r="N10" i="21" s="1"/>
  <c r="L11" i="21"/>
  <c r="N11" i="21" s="1"/>
  <c r="L12" i="21"/>
  <c r="N12" i="21" s="1"/>
  <c r="L13" i="21"/>
  <c r="N13" i="21" s="1"/>
  <c r="L14" i="21"/>
  <c r="N14" i="21" s="1"/>
  <c r="L15" i="21"/>
  <c r="N15" i="21" s="1"/>
  <c r="L16" i="21"/>
  <c r="N16" i="21" s="1"/>
  <c r="L17" i="21"/>
  <c r="N17" i="21" s="1"/>
  <c r="L18" i="21"/>
  <c r="L19" i="21"/>
  <c r="N19" i="21" s="1"/>
  <c r="L20" i="21"/>
  <c r="N20" i="21" s="1"/>
  <c r="L21" i="21"/>
  <c r="N21" i="21" s="1"/>
  <c r="L22" i="21"/>
  <c r="N22" i="21" s="1"/>
  <c r="L23" i="21"/>
  <c r="N23" i="21" s="1"/>
  <c r="L24" i="21"/>
  <c r="N24" i="21" s="1"/>
  <c r="L25" i="21"/>
  <c r="N25" i="21" s="1"/>
  <c r="L26" i="21"/>
  <c r="N26" i="21" s="1"/>
  <c r="L27" i="21"/>
  <c r="N27" i="21" s="1"/>
  <c r="L28" i="21"/>
  <c r="N28" i="21" s="1"/>
  <c r="L29" i="21"/>
  <c r="N29" i="21" s="1"/>
  <c r="L8" i="21"/>
  <c r="N8" i="21" s="1"/>
  <c r="I60" i="4"/>
  <c r="G60" i="4"/>
  <c r="L59" i="4"/>
  <c r="N59" i="4" s="1"/>
  <c r="L38" i="4"/>
  <c r="N38" i="4" s="1"/>
  <c r="L39" i="4"/>
  <c r="N39" i="4" s="1"/>
  <c r="L40" i="4"/>
  <c r="N40" i="4" s="1"/>
  <c r="L41" i="4"/>
  <c r="N41" i="4" s="1"/>
  <c r="L42" i="4"/>
  <c r="N42" i="4" s="1"/>
  <c r="L43" i="4"/>
  <c r="L44" i="4"/>
  <c r="N44" i="4" s="1"/>
  <c r="L45" i="4"/>
  <c r="N45" i="4" s="1"/>
  <c r="L46" i="4"/>
  <c r="N46" i="4" s="1"/>
  <c r="L47" i="4"/>
  <c r="N47" i="4" s="1"/>
  <c r="L48" i="4"/>
  <c r="N48" i="4" s="1"/>
  <c r="L49" i="4"/>
  <c r="N49" i="4" s="1"/>
  <c r="L50" i="4"/>
  <c r="N50" i="4" s="1"/>
  <c r="L51" i="4"/>
  <c r="N51" i="4" s="1"/>
  <c r="L52" i="4"/>
  <c r="N52" i="4" s="1"/>
  <c r="L53" i="4"/>
  <c r="N53" i="4" s="1"/>
  <c r="L54" i="4"/>
  <c r="N54" i="4" s="1"/>
  <c r="L55" i="4"/>
  <c r="N55" i="4" s="1"/>
  <c r="L56" i="4"/>
  <c r="N56" i="4" s="1"/>
  <c r="L57" i="4"/>
  <c r="N57" i="4" s="1"/>
  <c r="L58" i="4"/>
  <c r="N58" i="4" s="1"/>
  <c r="L37" i="4"/>
  <c r="N37" i="4" s="1"/>
  <c r="M4" i="13"/>
  <c r="M5" i="13"/>
  <c r="M6" i="13"/>
  <c r="M7" i="13"/>
  <c r="M3" i="13"/>
  <c r="K4" i="13"/>
  <c r="K5" i="13"/>
  <c r="K6" i="13"/>
  <c r="K7" i="13"/>
  <c r="K3" i="13"/>
  <c r="L10" i="13"/>
  <c r="K12" i="13" s="1"/>
  <c r="P18" i="51" l="1"/>
  <c r="P17" i="51"/>
  <c r="P11" i="51"/>
  <c r="P10" i="51"/>
  <c r="P16" i="51"/>
  <c r="P4" i="51"/>
  <c r="P8" i="51"/>
  <c r="P9" i="51"/>
  <c r="P15" i="51"/>
  <c r="O16" i="51"/>
  <c r="O15" i="51"/>
  <c r="O9" i="51"/>
  <c r="O8" i="51"/>
  <c r="O4" i="51"/>
  <c r="D5" i="50"/>
  <c r="E5" i="50" s="1"/>
  <c r="B6" i="50" s="1"/>
  <c r="O68" i="4"/>
  <c r="O36" i="39"/>
  <c r="O44" i="39"/>
  <c r="O7" i="39"/>
  <c r="O6" i="39"/>
  <c r="O47" i="39"/>
  <c r="O31" i="39"/>
  <c r="O23" i="39"/>
  <c r="O10" i="39"/>
  <c r="O48" i="39"/>
  <c r="O8" i="39"/>
  <c r="O35" i="39"/>
  <c r="O12" i="39"/>
  <c r="O46" i="39"/>
  <c r="O39" i="39"/>
  <c r="O3" i="39"/>
  <c r="O13" i="39"/>
  <c r="O41" i="39"/>
  <c r="O29" i="39"/>
  <c r="O45" i="39"/>
  <c r="O34" i="39"/>
  <c r="O24" i="39"/>
  <c r="N13" i="39"/>
  <c r="O49" i="39"/>
  <c r="O38" i="39"/>
  <c r="O33" i="39"/>
  <c r="O40" i="39"/>
  <c r="O17" i="39"/>
  <c r="O11" i="39"/>
  <c r="O43" i="39"/>
  <c r="O37" i="39"/>
  <c r="O20" i="39"/>
  <c r="O42" i="39"/>
  <c r="N33" i="39"/>
  <c r="O19" i="39"/>
  <c r="N41" i="39"/>
  <c r="O32" i="39"/>
  <c r="O15" i="39"/>
  <c r="O9" i="39"/>
  <c r="N39" i="39"/>
  <c r="O5" i="39"/>
  <c r="O4" i="39"/>
  <c r="O21" i="39"/>
  <c r="O3" i="27"/>
  <c r="O50" i="27"/>
  <c r="O48" i="27"/>
  <c r="O47" i="27"/>
  <c r="N50" i="27"/>
  <c r="O15" i="27"/>
  <c r="O4" i="27"/>
  <c r="O14" i="27"/>
  <c r="O50" i="39"/>
  <c r="O30" i="39"/>
  <c r="N29" i="39"/>
  <c r="O46" i="44"/>
  <c r="O31" i="44"/>
  <c r="O30" i="44"/>
  <c r="O47" i="44"/>
  <c r="O43" i="44"/>
  <c r="O41" i="44"/>
  <c r="P7" i="32"/>
  <c r="O8" i="44"/>
  <c r="O45" i="44"/>
  <c r="P11" i="32"/>
  <c r="O29" i="44"/>
  <c r="P10" i="32"/>
  <c r="P6" i="32"/>
  <c r="O28" i="44"/>
  <c r="N43" i="44"/>
  <c r="N65" i="44"/>
  <c r="O44" i="44"/>
  <c r="O48" i="44"/>
  <c r="O20" i="44"/>
  <c r="O27" i="44"/>
  <c r="O6" i="44"/>
  <c r="N28" i="44"/>
  <c r="N27" i="44"/>
  <c r="O35" i="44"/>
  <c r="O34" i="44"/>
  <c r="O39" i="44"/>
  <c r="O37" i="44"/>
  <c r="O32" i="44"/>
  <c r="O33" i="44"/>
  <c r="O42" i="44"/>
  <c r="O38" i="44"/>
  <c r="N34" i="44"/>
  <c r="N32" i="44"/>
  <c r="O18" i="44"/>
  <c r="O3" i="44"/>
  <c r="O10" i="44"/>
  <c r="O16" i="44"/>
  <c r="O4" i="29"/>
  <c r="O3" i="29"/>
  <c r="N4" i="29"/>
  <c r="N4" i="27"/>
  <c r="N3" i="31"/>
  <c r="N3" i="44"/>
  <c r="O6" i="28"/>
  <c r="O12" i="28"/>
  <c r="O4" i="28"/>
  <c r="O10" i="28"/>
  <c r="O7" i="28"/>
  <c r="O12" i="29"/>
  <c r="O10" i="29"/>
  <c r="O15" i="29"/>
  <c r="O14" i="29"/>
  <c r="O11" i="29"/>
  <c r="O13" i="29"/>
  <c r="O6" i="29"/>
  <c r="O13" i="27"/>
  <c r="O9" i="27"/>
  <c r="O10" i="27"/>
  <c r="O5" i="27"/>
  <c r="O11" i="27"/>
  <c r="O8" i="27"/>
  <c r="O12" i="27"/>
  <c r="O7" i="27"/>
  <c r="O6" i="27"/>
  <c r="N5" i="27"/>
  <c r="O4" i="31"/>
  <c r="O5" i="31"/>
  <c r="O9" i="31"/>
  <c r="O22" i="44"/>
  <c r="O12" i="44"/>
  <c r="O14" i="44"/>
  <c r="O4" i="44"/>
  <c r="O6" i="31"/>
  <c r="N4" i="31"/>
  <c r="O23" i="44"/>
  <c r="O19" i="44"/>
  <c r="O15" i="44"/>
  <c r="O11" i="44"/>
  <c r="O7" i="44"/>
  <c r="O21" i="44"/>
  <c r="O17" i="44"/>
  <c r="O13" i="44"/>
  <c r="O9" i="44"/>
  <c r="O5" i="44"/>
  <c r="O31" i="4"/>
  <c r="O3" i="4"/>
  <c r="O5" i="29"/>
  <c r="O8" i="29"/>
  <c r="O16" i="29"/>
  <c r="N4" i="28"/>
  <c r="O9" i="29"/>
  <c r="O7" i="29"/>
  <c r="N5" i="29"/>
  <c r="N31" i="21"/>
  <c r="N30" i="21"/>
  <c r="O18" i="39"/>
  <c r="O22" i="39"/>
  <c r="N31" i="4"/>
  <c r="O6" i="4"/>
  <c r="O4" i="4"/>
  <c r="O5" i="4"/>
  <c r="O53" i="4"/>
  <c r="N3" i="4"/>
  <c r="O7" i="4"/>
  <c r="O5" i="22"/>
  <c r="O4" i="22"/>
  <c r="O3" i="22"/>
  <c r="O7" i="21"/>
  <c r="O66" i="22"/>
  <c r="O65" i="22"/>
  <c r="O42" i="22"/>
  <c r="O41" i="22"/>
  <c r="O13" i="22"/>
  <c r="O54" i="22"/>
  <c r="O31" i="22"/>
  <c r="O44" i="22"/>
  <c r="O12" i="22"/>
  <c r="N6" i="4"/>
  <c r="P22" i="25"/>
  <c r="P23" i="25"/>
  <c r="O52" i="4"/>
  <c r="O67" i="4"/>
  <c r="O32" i="4"/>
  <c r="O30" i="4"/>
  <c r="N23" i="25"/>
  <c r="O54" i="4"/>
  <c r="P3" i="32"/>
  <c r="P24" i="32"/>
  <c r="P19" i="32"/>
  <c r="P17" i="32"/>
  <c r="P21" i="32"/>
  <c r="P16" i="32"/>
  <c r="P20" i="32"/>
  <c r="P15" i="32"/>
  <c r="P9" i="32"/>
  <c r="P8" i="32"/>
  <c r="P5" i="32"/>
  <c r="P4" i="32"/>
  <c r="O4" i="21"/>
  <c r="O3" i="21"/>
  <c r="O5" i="21"/>
  <c r="N3" i="21"/>
  <c r="O77" i="21"/>
  <c r="O76" i="21"/>
  <c r="O10" i="21"/>
  <c r="O18" i="21"/>
  <c r="O83" i="21"/>
  <c r="O50" i="21"/>
  <c r="O20" i="21"/>
  <c r="O81" i="21"/>
  <c r="O44" i="21"/>
  <c r="O46" i="21"/>
  <c r="O78" i="21"/>
  <c r="O80" i="21"/>
  <c r="O19" i="21"/>
  <c r="O43" i="21"/>
  <c r="O45" i="21"/>
  <c r="O79" i="21"/>
  <c r="O74" i="21"/>
  <c r="O73" i="21"/>
  <c r="O75" i="21"/>
  <c r="O17" i="21"/>
  <c r="O12" i="21"/>
  <c r="O8" i="21"/>
  <c r="O48" i="21"/>
  <c r="O72" i="21"/>
  <c r="N50" i="21"/>
  <c r="O16" i="21"/>
  <c r="O49" i="21"/>
  <c r="O53" i="21"/>
  <c r="O51" i="21"/>
  <c r="O47" i="21"/>
  <c r="O25" i="21"/>
  <c r="O24" i="21"/>
  <c r="O40" i="21"/>
  <c r="O23" i="21"/>
  <c r="O39" i="21"/>
  <c r="O22" i="21"/>
  <c r="O58" i="21"/>
  <c r="O38" i="21"/>
  <c r="O21" i="21"/>
  <c r="O57" i="21"/>
  <c r="O71" i="21"/>
  <c r="O70" i="21"/>
  <c r="O56" i="21"/>
  <c r="N77" i="21"/>
  <c r="O55" i="21"/>
  <c r="O63" i="21"/>
  <c r="O69" i="21"/>
  <c r="N76" i="21"/>
  <c r="O54" i="21"/>
  <c r="O68" i="21"/>
  <c r="O9" i="21"/>
  <c r="O67" i="21"/>
  <c r="O14" i="21"/>
  <c r="O65" i="21"/>
  <c r="O41" i="21"/>
  <c r="O15" i="21"/>
  <c r="O52" i="21"/>
  <c r="O66" i="21"/>
  <c r="O13" i="21"/>
  <c r="O84" i="21"/>
  <c r="O64" i="21"/>
  <c r="O11" i="21"/>
  <c r="O82" i="21"/>
  <c r="O29" i="21"/>
  <c r="O37" i="21"/>
  <c r="O26" i="21"/>
  <c r="O42" i="21"/>
  <c r="O23" i="22"/>
  <c r="P37" i="25"/>
  <c r="P12" i="25"/>
  <c r="P32" i="25"/>
  <c r="P31" i="25"/>
  <c r="O46" i="4"/>
  <c r="O24" i="4"/>
  <c r="O43" i="4"/>
  <c r="O25" i="4"/>
  <c r="O57" i="4"/>
  <c r="O70" i="4"/>
  <c r="O15" i="4"/>
  <c r="O14" i="4"/>
  <c r="O10" i="4"/>
  <c r="N25" i="4"/>
  <c r="O26" i="4"/>
  <c r="N43" i="4"/>
  <c r="O56" i="4"/>
  <c r="O69" i="4"/>
  <c r="O66" i="4"/>
  <c r="O85" i="4"/>
  <c r="O82" i="4"/>
  <c r="O47" i="4"/>
  <c r="O81" i="4"/>
  <c r="O29" i="4"/>
  <c r="O28" i="4"/>
  <c r="O27" i="4"/>
  <c r="O55" i="4"/>
  <c r="O18" i="4"/>
  <c r="O17" i="4"/>
  <c r="O65" i="4"/>
  <c r="O50" i="4"/>
  <c r="O8" i="4"/>
  <c r="O78" i="4"/>
  <c r="O19" i="4"/>
  <c r="O9" i="4"/>
  <c r="O77" i="4"/>
  <c r="O20" i="4"/>
  <c r="O44" i="4"/>
  <c r="O13" i="4"/>
  <c r="O16" i="4"/>
  <c r="O49" i="4"/>
  <c r="O83" i="4"/>
  <c r="O79" i="4"/>
  <c r="O42" i="4"/>
  <c r="O80" i="4"/>
  <c r="O45" i="4"/>
  <c r="O64" i="4"/>
  <c r="O51" i="4"/>
  <c r="O84" i="4"/>
  <c r="N18" i="21"/>
  <c r="O27" i="21"/>
  <c r="N21" i="32"/>
  <c r="P22" i="32"/>
  <c r="P23" i="32"/>
  <c r="P14" i="32"/>
  <c r="P18" i="32"/>
  <c r="O14" i="39"/>
  <c r="O16" i="39"/>
  <c r="O18" i="22"/>
  <c r="O17" i="22"/>
  <c r="O16" i="22"/>
  <c r="O19" i="22"/>
  <c r="O15" i="22"/>
  <c r="O14" i="22"/>
  <c r="O11" i="22"/>
  <c r="O10" i="22"/>
  <c r="O64" i="22"/>
  <c r="O43" i="22"/>
  <c r="O39" i="22"/>
  <c r="N41" i="22"/>
  <c r="N44" i="22"/>
  <c r="N42" i="22"/>
  <c r="P25" i="25"/>
  <c r="P30" i="25"/>
  <c r="P34" i="25"/>
  <c r="P19" i="25"/>
  <c r="P20" i="25"/>
  <c r="P33" i="25"/>
  <c r="P17" i="25"/>
  <c r="P14" i="25"/>
  <c r="P13" i="25"/>
  <c r="P9" i="25"/>
  <c r="P36" i="25"/>
  <c r="P18" i="25"/>
  <c r="P10" i="25"/>
  <c r="P42" i="25"/>
  <c r="P38" i="25"/>
  <c r="P41" i="25"/>
  <c r="N37" i="25"/>
  <c r="P40" i="25"/>
  <c r="P11" i="25"/>
  <c r="P39" i="25"/>
  <c r="P29" i="25"/>
  <c r="P35" i="25"/>
  <c r="P16" i="25"/>
  <c r="P15" i="25"/>
  <c r="P8" i="25"/>
  <c r="P21" i="25"/>
  <c r="O11" i="4"/>
  <c r="O48" i="4"/>
  <c r="O12" i="4"/>
  <c r="N24" i="4"/>
  <c r="O37" i="4"/>
  <c r="O76" i="4"/>
  <c r="O75" i="4"/>
  <c r="O41" i="4"/>
  <c r="O74" i="4"/>
  <c r="O23" i="4"/>
  <c r="O40" i="4"/>
  <c r="O73" i="4"/>
  <c r="O22" i="4"/>
  <c r="O39" i="4"/>
  <c r="O72" i="4"/>
  <c r="O21" i="4"/>
  <c r="O58" i="4"/>
  <c r="O38" i="4"/>
  <c r="O71" i="4"/>
  <c r="O28" i="21"/>
  <c r="O8" i="22"/>
  <c r="O55" i="22"/>
  <c r="O34" i="22"/>
  <c r="O21" i="22"/>
  <c r="O38" i="22"/>
  <c r="O20" i="22"/>
  <c r="O37" i="22"/>
  <c r="O35" i="22"/>
  <c r="O36" i="22"/>
  <c r="O9" i="22"/>
  <c r="O61" i="22"/>
  <c r="O62" i="22"/>
  <c r="O60" i="22"/>
  <c r="O33" i="22"/>
  <c r="O59" i="22"/>
  <c r="O32" i="22"/>
  <c r="O58" i="22"/>
  <c r="O57" i="22"/>
  <c r="O63" i="22"/>
  <c r="O40" i="22"/>
  <c r="O56" i="22"/>
  <c r="N24" i="39"/>
  <c r="N23" i="39"/>
  <c r="N12" i="39"/>
  <c r="N3" i="39"/>
  <c r="K13" i="13"/>
  <c r="K11" i="13"/>
  <c r="K20" i="13"/>
  <c r="K19" i="13"/>
  <c r="K18" i="13"/>
  <c r="K17" i="13"/>
  <c r="K16" i="13"/>
  <c r="K15" i="13"/>
  <c r="K14" i="13"/>
  <c r="D6" i="50" l="1"/>
  <c r="C6" i="50"/>
  <c r="E6" i="50" l="1"/>
  <c r="B7" i="50" l="1"/>
  <c r="D7" i="50"/>
  <c r="C7" i="50"/>
  <c r="E7" i="50" s="1"/>
  <c r="B8" i="50" l="1"/>
  <c r="C8" i="50"/>
  <c r="D8" i="50"/>
  <c r="E8" i="50" l="1"/>
  <c r="B9" i="50" l="1"/>
  <c r="C9" i="50"/>
  <c r="D9" i="50"/>
  <c r="E9" i="50" l="1"/>
  <c r="B10" i="50" l="1"/>
  <c r="D10" i="50"/>
  <c r="C10" i="50"/>
  <c r="E10" i="50" s="1"/>
  <c r="B11" i="50" l="1"/>
  <c r="D11" i="50"/>
  <c r="C11" i="50"/>
  <c r="E11" i="50" s="1"/>
  <c r="B12" i="50" l="1"/>
  <c r="D12" i="50"/>
  <c r="C12" i="50"/>
  <c r="E12" i="50" l="1"/>
  <c r="B13" i="50" l="1"/>
  <c r="D13" i="50" l="1"/>
  <c r="C13" i="50"/>
  <c r="E13" i="50" s="1"/>
  <c r="B14" i="50" l="1"/>
  <c r="C14" i="50" l="1"/>
  <c r="D14" i="50"/>
  <c r="E14" i="50" l="1"/>
  <c r="B15" i="50" l="1"/>
  <c r="D15" i="50" l="1"/>
  <c r="C15" i="50"/>
  <c r="E15" i="50" s="1"/>
  <c r="B16" i="50" l="1"/>
  <c r="D16" i="50" l="1"/>
  <c r="C16" i="50"/>
  <c r="E16" i="50" s="1"/>
  <c r="B17" i="50" l="1"/>
  <c r="D17" i="50" l="1"/>
  <c r="C17" i="50"/>
  <c r="E17" i="50" s="1"/>
  <c r="B18" i="50" l="1"/>
  <c r="C18" i="50" l="1"/>
  <c r="D18" i="50"/>
  <c r="E18" i="50" l="1"/>
  <c r="B19" i="50" l="1"/>
  <c r="C19" i="50" l="1"/>
  <c r="D19" i="50"/>
  <c r="E19" i="50" l="1"/>
  <c r="B20" i="50" l="1"/>
  <c r="D20" i="50" l="1"/>
  <c r="C20" i="50"/>
  <c r="E20" i="50" s="1"/>
  <c r="B21" i="50" l="1"/>
  <c r="C21" i="50" l="1"/>
  <c r="D21" i="50"/>
  <c r="E21" i="50" l="1"/>
  <c r="B22" i="50" l="1"/>
  <c r="C22" i="50" l="1"/>
  <c r="D22" i="50"/>
  <c r="E22" i="50" l="1"/>
  <c r="B23" i="50" l="1"/>
  <c r="D23" i="50" l="1"/>
  <c r="C23" i="50"/>
  <c r="E23" i="50" s="1"/>
  <c r="B24" i="50" l="1"/>
  <c r="D24" i="50" l="1"/>
  <c r="C24" i="50"/>
  <c r="E24" i="50" s="1"/>
  <c r="B25" i="50" l="1"/>
  <c r="D25" i="50" l="1"/>
  <c r="C25" i="50"/>
  <c r="E25" i="50" s="1"/>
  <c r="B26" i="50" l="1"/>
  <c r="C26" i="50" l="1"/>
  <c r="D26" i="50"/>
  <c r="E26" i="50" l="1"/>
  <c r="B27" i="50" l="1"/>
  <c r="D27" i="50" l="1"/>
  <c r="C27" i="50"/>
  <c r="E27" i="50" s="1"/>
  <c r="B28" i="50" l="1"/>
  <c r="D28" i="50" l="1"/>
  <c r="C28" i="50"/>
  <c r="E28" i="50" s="1"/>
  <c r="B29" i="50" l="1"/>
  <c r="D29" i="50" l="1"/>
  <c r="C29" i="50"/>
  <c r="E29" i="50" s="1"/>
  <c r="B30" i="50" l="1"/>
  <c r="C30" i="50" l="1"/>
  <c r="D30" i="50"/>
  <c r="E30" i="50" l="1"/>
  <c r="B31" i="50" l="1"/>
  <c r="D31" i="50" l="1"/>
  <c r="C31" i="50"/>
  <c r="E31" i="50" s="1"/>
  <c r="B32" i="50" l="1"/>
  <c r="D32" i="50" l="1"/>
  <c r="C32" i="50"/>
  <c r="E32" i="50" s="1"/>
  <c r="B33" i="50" l="1"/>
  <c r="D33" i="50" l="1"/>
  <c r="C33" i="50"/>
  <c r="E33" i="50" s="1"/>
  <c r="B34" i="50" l="1"/>
  <c r="C34" i="50" l="1"/>
  <c r="D34" i="50"/>
  <c r="E34" i="50" l="1"/>
  <c r="B35" i="50" l="1"/>
  <c r="D35" i="50" l="1"/>
  <c r="C35" i="50"/>
  <c r="E35" i="50" s="1"/>
  <c r="B36" i="50" l="1"/>
  <c r="C36" i="50" l="1"/>
  <c r="D36" i="50"/>
  <c r="E36" i="50" l="1"/>
  <c r="B37" i="50" l="1"/>
  <c r="C37" i="50" l="1"/>
  <c r="D37" i="50"/>
  <c r="E37" i="50" l="1"/>
  <c r="B38" i="50" l="1"/>
  <c r="D38" i="50" l="1"/>
  <c r="C38" i="50"/>
  <c r="E38" i="50" s="1"/>
  <c r="B39" i="50" l="1"/>
  <c r="D39" i="50" l="1"/>
  <c r="C39" i="50"/>
  <c r="E39" i="50" s="1"/>
  <c r="B40" i="50" l="1"/>
  <c r="D40" i="50" l="1"/>
  <c r="C40" i="50"/>
  <c r="E40" i="50" s="1"/>
  <c r="B41" i="50" l="1"/>
  <c r="C41" i="50" l="1"/>
  <c r="D41" i="50"/>
  <c r="E41" i="50" l="1"/>
  <c r="B42" i="50" l="1"/>
  <c r="D42" i="50" l="1"/>
  <c r="C42" i="50"/>
  <c r="E42" i="50" s="1"/>
  <c r="B43" i="50" l="1"/>
  <c r="C43" i="50" l="1"/>
  <c r="D43" i="50"/>
  <c r="E43" i="50" l="1"/>
  <c r="B44" i="50" l="1"/>
  <c r="D44" i="50" l="1"/>
  <c r="C44" i="50"/>
  <c r="E44" i="50" s="1"/>
  <c r="B45" i="50" l="1"/>
  <c r="C45" i="50" l="1"/>
  <c r="D45" i="50"/>
  <c r="E45" i="50" l="1"/>
  <c r="B46" i="50" l="1"/>
  <c r="D46" i="50" l="1"/>
  <c r="C46" i="50"/>
  <c r="E46" i="50" s="1"/>
  <c r="B47" i="50" l="1"/>
  <c r="D47" i="50" l="1"/>
  <c r="C47" i="50"/>
  <c r="E47" i="50" s="1"/>
  <c r="B48" i="50" l="1"/>
  <c r="D48" i="50" l="1"/>
  <c r="C48" i="50"/>
  <c r="E48" i="50" s="1"/>
  <c r="B49" i="50" l="1"/>
  <c r="C49" i="50" l="1"/>
  <c r="D49" i="50"/>
  <c r="E49" i="50" l="1"/>
  <c r="B50" i="50" l="1"/>
  <c r="D50" i="50" l="1"/>
  <c r="C50" i="50"/>
  <c r="E50" i="50" s="1"/>
  <c r="B51" i="50" l="1"/>
  <c r="D51" i="50" l="1"/>
  <c r="C51" i="50"/>
  <c r="E51" i="50" s="1"/>
  <c r="B52" i="50" l="1"/>
  <c r="D52" i="50" l="1"/>
  <c r="C52" i="50"/>
  <c r="E52" i="50" s="1"/>
  <c r="B53" i="50" l="1"/>
  <c r="C53" i="50" l="1"/>
  <c r="D53" i="50"/>
  <c r="E53" i="50" l="1"/>
  <c r="B54" i="50" l="1"/>
  <c r="D54" i="50" l="1"/>
  <c r="C54" i="50"/>
  <c r="E54" i="50" s="1"/>
  <c r="B55" i="50" l="1"/>
  <c r="D55" i="50" l="1"/>
  <c r="C55" i="50"/>
  <c r="E55" i="50" s="1"/>
  <c r="B56" i="50" l="1"/>
  <c r="D56" i="50" l="1"/>
  <c r="C56" i="50"/>
  <c r="E56" i="50" s="1"/>
  <c r="B57" i="50" l="1"/>
  <c r="C57" i="50" l="1"/>
  <c r="D57" i="50"/>
  <c r="E57" i="50" l="1"/>
  <c r="B58" i="50" l="1"/>
  <c r="D58" i="50" l="1"/>
  <c r="C58" i="50"/>
  <c r="E58" i="50" s="1"/>
  <c r="B59" i="50" l="1"/>
  <c r="D59" i="50" l="1"/>
  <c r="C59" i="50"/>
  <c r="E59" i="50" s="1"/>
  <c r="B60" i="50" l="1"/>
  <c r="C60" i="50" l="1"/>
  <c r="D60" i="50"/>
  <c r="E60" i="50" l="1"/>
  <c r="B61" i="50" l="1"/>
  <c r="D61" i="50" l="1"/>
  <c r="C61" i="50"/>
  <c r="E61" i="50" s="1"/>
  <c r="B62" i="50" l="1"/>
  <c r="D62" i="50" l="1"/>
  <c r="C62" i="50"/>
  <c r="E62" i="50" s="1"/>
  <c r="B63" i="50" l="1"/>
  <c r="D63" i="50" l="1"/>
  <c r="C63" i="50"/>
  <c r="E63" i="50" s="1"/>
  <c r="B64" i="50" l="1"/>
  <c r="D64" i="50" l="1"/>
  <c r="C64" i="50"/>
  <c r="E64" i="50" s="1"/>
  <c r="B65" i="50" l="1"/>
  <c r="C65" i="50" l="1"/>
  <c r="D65" i="50"/>
  <c r="E65" i="50" l="1"/>
  <c r="B66" i="50" l="1"/>
  <c r="D66" i="50" l="1"/>
  <c r="C66" i="50"/>
  <c r="E66" i="50" s="1"/>
  <c r="B67" i="50" l="1"/>
  <c r="C67" i="50" l="1"/>
  <c r="D67" i="50"/>
  <c r="E67" i="50" l="1"/>
  <c r="B68" i="50" l="1"/>
  <c r="D68" i="50" l="1"/>
  <c r="C68" i="50"/>
  <c r="E68" i="50" s="1"/>
  <c r="B69" i="50" l="1"/>
  <c r="C69" i="50" l="1"/>
  <c r="D69" i="50"/>
  <c r="E69" i="50" l="1"/>
  <c r="B70" i="50" l="1"/>
  <c r="C70" i="50" l="1"/>
  <c r="D70" i="50"/>
  <c r="E70" i="50" l="1"/>
  <c r="B71" i="50" l="1"/>
  <c r="D71" i="50" l="1"/>
  <c r="C71" i="50"/>
  <c r="E71" i="50" s="1"/>
  <c r="B72" i="50" l="1"/>
  <c r="D72" i="50" l="1"/>
  <c r="C72" i="50"/>
  <c r="E72" i="50" s="1"/>
  <c r="B73" i="50" l="1"/>
  <c r="C73" i="50" l="1"/>
  <c r="D73" i="50"/>
  <c r="E73" i="50" l="1"/>
  <c r="B74" i="50" l="1"/>
  <c r="D74" i="50" l="1"/>
  <c r="C74" i="50"/>
  <c r="E74" i="50" s="1"/>
  <c r="B75" i="50" l="1"/>
  <c r="D75" i="50" l="1"/>
  <c r="C75" i="50"/>
  <c r="E75" i="50" s="1"/>
  <c r="B76" i="50" l="1"/>
  <c r="D76" i="50" l="1"/>
  <c r="C76" i="50"/>
  <c r="E76" i="50" s="1"/>
  <c r="B77" i="50" l="1"/>
  <c r="C77" i="50" l="1"/>
  <c r="D77" i="50"/>
  <c r="E77" i="50" l="1"/>
  <c r="B78" i="50" l="1"/>
  <c r="D78" i="50" l="1"/>
  <c r="C78" i="50"/>
  <c r="E78" i="50" s="1"/>
  <c r="B79" i="50" l="1"/>
  <c r="D79" i="50" l="1"/>
  <c r="C79" i="50"/>
  <c r="E79" i="50" l="1"/>
  <c r="B80" i="50"/>
  <c r="C80" i="50" l="1"/>
  <c r="D80" i="50"/>
  <c r="E80" i="50" l="1"/>
  <c r="B81" i="50" l="1"/>
  <c r="C81" i="50" l="1"/>
  <c r="D81" i="50"/>
  <c r="E81" i="50" l="1"/>
  <c r="B82" i="50" l="1"/>
  <c r="C82" i="50" l="1"/>
  <c r="D82" i="50"/>
  <c r="E82" i="50" l="1"/>
  <c r="B83" i="50" l="1"/>
  <c r="C83" i="50" l="1"/>
  <c r="D83" i="50"/>
  <c r="E83" i="50" l="1"/>
  <c r="B84" i="50" l="1"/>
  <c r="D84" i="50" l="1"/>
  <c r="C84" i="50"/>
  <c r="E84" i="50" s="1"/>
  <c r="B85" i="50" l="1"/>
  <c r="C85" i="50" l="1"/>
  <c r="D85" i="50"/>
  <c r="E85" i="50" l="1"/>
  <c r="B86" i="50" l="1"/>
  <c r="D86" i="50" l="1"/>
  <c r="C86" i="50"/>
  <c r="E86" i="50" s="1"/>
  <c r="B87" i="50" l="1"/>
  <c r="D87" i="50" l="1"/>
  <c r="C87" i="50"/>
  <c r="E87" i="50" s="1"/>
  <c r="B88" i="50" l="1"/>
  <c r="D88" i="50" l="1"/>
  <c r="C88" i="50"/>
  <c r="E88" i="50" s="1"/>
  <c r="B89" i="50" l="1"/>
  <c r="C89" i="50" l="1"/>
  <c r="D89" i="50"/>
  <c r="E89" i="50" l="1"/>
  <c r="B90" i="50" l="1"/>
  <c r="D90" i="50" l="1"/>
  <c r="C90" i="50"/>
  <c r="E90" i="50" s="1"/>
  <c r="B91" i="50" l="1"/>
  <c r="D91" i="50" l="1"/>
  <c r="C91" i="50"/>
  <c r="E91" i="50" s="1"/>
  <c r="B92" i="50" l="1"/>
  <c r="D92" i="50" l="1"/>
  <c r="C92" i="50"/>
  <c r="E92" i="50" s="1"/>
  <c r="B93" i="50" l="1"/>
  <c r="C93" i="50" l="1"/>
  <c r="D93" i="50"/>
  <c r="E93" i="50" l="1"/>
  <c r="B94" i="50" l="1"/>
  <c r="D94" i="50" l="1"/>
  <c r="C94" i="50"/>
  <c r="E94" i="50" s="1"/>
  <c r="B95" i="50" l="1"/>
  <c r="D95" i="50" l="1"/>
  <c r="C95" i="50"/>
  <c r="E95" i="50" s="1"/>
  <c r="B96" i="50" l="1"/>
  <c r="D96" i="50" l="1"/>
  <c r="C96" i="50"/>
  <c r="E96" i="50" s="1"/>
  <c r="B97" i="50" l="1"/>
  <c r="C97" i="50" l="1"/>
  <c r="D97" i="50"/>
  <c r="E97" i="50" l="1"/>
  <c r="B98" i="50" l="1"/>
  <c r="D98" i="50" l="1"/>
  <c r="C98" i="50"/>
  <c r="E98" i="50" s="1"/>
  <c r="B99" i="50" l="1"/>
  <c r="D99" i="50" l="1"/>
  <c r="C99" i="50"/>
  <c r="E99" i="50" s="1"/>
  <c r="B100" i="50" l="1"/>
  <c r="D100" i="50" l="1"/>
  <c r="C100" i="50"/>
  <c r="E100" i="50" s="1"/>
  <c r="B101" i="50" l="1"/>
  <c r="C101" i="50" l="1"/>
  <c r="D101" i="50"/>
  <c r="E101" i="50" l="1"/>
  <c r="B102" i="50" l="1"/>
  <c r="D102" i="50" l="1"/>
  <c r="C102" i="50"/>
  <c r="E102" i="50" s="1"/>
  <c r="B103" i="50" l="1"/>
  <c r="D103" i="50" l="1"/>
  <c r="C103" i="50"/>
  <c r="E103" i="50" s="1"/>
  <c r="B104" i="50" l="1"/>
  <c r="D104" i="50" l="1"/>
  <c r="C104" i="50"/>
  <c r="E104" i="50" s="1"/>
  <c r="B105" i="50" l="1"/>
  <c r="C105" i="50" l="1"/>
  <c r="D105" i="50"/>
  <c r="E105" i="50" l="1"/>
  <c r="B106" i="50" l="1"/>
  <c r="D106" i="50" l="1"/>
  <c r="C106" i="50"/>
  <c r="E106" i="50" s="1"/>
  <c r="B107" i="50" l="1"/>
  <c r="D107" i="50" l="1"/>
  <c r="C107" i="50"/>
  <c r="E107" i="50" s="1"/>
  <c r="B108" i="50" l="1"/>
  <c r="D108" i="50" l="1"/>
  <c r="C108" i="50"/>
  <c r="E108" i="50" s="1"/>
  <c r="B109" i="50" l="1"/>
  <c r="C109" i="50" l="1"/>
  <c r="D109" i="50"/>
  <c r="E109" i="50" l="1"/>
  <c r="B110" i="50" l="1"/>
  <c r="D110" i="50" l="1"/>
  <c r="C110" i="50"/>
  <c r="E110" i="50" s="1"/>
  <c r="B111" i="50" l="1"/>
  <c r="D111" i="50" l="1"/>
  <c r="C111" i="50"/>
  <c r="E111" i="50" s="1"/>
  <c r="B112" i="50" l="1"/>
  <c r="D112" i="50" l="1"/>
  <c r="C112" i="50"/>
  <c r="E112" i="50" s="1"/>
  <c r="B113" i="50" l="1"/>
  <c r="C113" i="50" l="1"/>
  <c r="D113" i="50"/>
  <c r="E113" i="50" l="1"/>
  <c r="B114" i="50" l="1"/>
  <c r="D114" i="50" l="1"/>
  <c r="C114" i="50"/>
  <c r="E114" i="50" s="1"/>
  <c r="B115" i="50" l="1"/>
  <c r="D115" i="50" l="1"/>
  <c r="C115" i="50"/>
  <c r="E115" i="50" s="1"/>
  <c r="B116" i="50" l="1"/>
  <c r="D116" i="50" l="1"/>
  <c r="C116" i="50"/>
  <c r="E116" i="50" s="1"/>
  <c r="B117" i="50" l="1"/>
  <c r="C117" i="50" l="1"/>
  <c r="D117" i="50"/>
  <c r="E117" i="50" l="1"/>
  <c r="B118" i="50" l="1"/>
  <c r="C118" i="50" l="1"/>
  <c r="D118" i="50"/>
  <c r="E118" i="50" l="1"/>
  <c r="B119" i="50" l="1"/>
  <c r="D119" i="50" l="1"/>
  <c r="C119" i="50"/>
  <c r="E119" i="50" s="1"/>
  <c r="B120" i="50" l="1"/>
  <c r="D120" i="50" l="1"/>
  <c r="C120" i="50"/>
  <c r="E120" i="50" s="1"/>
  <c r="B121" i="50" l="1"/>
  <c r="C121" i="50" l="1"/>
  <c r="D121" i="50"/>
  <c r="E121" i="50" l="1"/>
  <c r="B122" i="50" l="1"/>
  <c r="C122" i="50" l="1"/>
  <c r="D122" i="50"/>
  <c r="E122" i="50" l="1"/>
  <c r="B123" i="50" l="1"/>
  <c r="D123" i="50" l="1"/>
  <c r="C123" i="50"/>
  <c r="E123" i="50" s="1"/>
  <c r="B124" i="50" l="1"/>
  <c r="D124" i="50" l="1"/>
  <c r="C124" i="50"/>
  <c r="E124" i="50" s="1"/>
  <c r="B125" i="50" l="1"/>
  <c r="C125" i="50" l="1"/>
  <c r="D125" i="50"/>
  <c r="E125" i="50" l="1"/>
  <c r="B126" i="50" l="1"/>
  <c r="D126" i="50" l="1"/>
  <c r="C126" i="50"/>
  <c r="E126" i="50" s="1"/>
  <c r="B127" i="50" l="1"/>
  <c r="D127" i="50" l="1"/>
  <c r="C127" i="50"/>
  <c r="E127" i="50" s="1"/>
  <c r="B128" i="50" l="1"/>
  <c r="D128" i="50" l="1"/>
  <c r="C128" i="50"/>
  <c r="E128" i="50" s="1"/>
  <c r="B129" i="50" l="1"/>
  <c r="C129" i="50" l="1"/>
  <c r="D129" i="50"/>
  <c r="E129" i="50" l="1"/>
  <c r="B130" i="50" l="1"/>
  <c r="D130" i="50" l="1"/>
  <c r="C130" i="50"/>
  <c r="E130" i="50" s="1"/>
  <c r="B131" i="50" l="1"/>
  <c r="D131" i="50" l="1"/>
  <c r="C131" i="50"/>
  <c r="E131" i="50" s="1"/>
  <c r="B132" i="50" l="1"/>
  <c r="D132" i="50" l="1"/>
  <c r="C132" i="50"/>
  <c r="E132" i="50" s="1"/>
  <c r="B133" i="50" l="1"/>
  <c r="C133" i="50" l="1"/>
  <c r="D133" i="50"/>
  <c r="E133" i="50" l="1"/>
  <c r="B134" i="50" l="1"/>
  <c r="D134" i="50" l="1"/>
  <c r="C134" i="50"/>
  <c r="E134" i="50" l="1"/>
  <c r="B135" i="50" l="1"/>
  <c r="D135" i="50" l="1"/>
  <c r="C135" i="50"/>
  <c r="E135" i="50" s="1"/>
  <c r="B136" i="50" l="1"/>
  <c r="D136" i="50" l="1"/>
  <c r="C136" i="50"/>
  <c r="E136" i="50" s="1"/>
  <c r="B137" i="50" l="1"/>
  <c r="C137" i="50" l="1"/>
  <c r="D137" i="50"/>
  <c r="E137" i="50" l="1"/>
  <c r="B138" i="50" l="1"/>
  <c r="D138" i="50" l="1"/>
  <c r="C138" i="50"/>
  <c r="E138" i="50" s="1"/>
  <c r="B139" i="50" l="1"/>
  <c r="C139" i="50" l="1"/>
  <c r="D139" i="50"/>
  <c r="E139" i="50" l="1"/>
  <c r="B140" i="50" l="1"/>
  <c r="D140" i="50" l="1"/>
  <c r="C140" i="50"/>
  <c r="E140" i="50" s="1"/>
  <c r="B141" i="50" l="1"/>
  <c r="C141" i="50" l="1"/>
  <c r="D141" i="50"/>
  <c r="E141" i="50" l="1"/>
  <c r="B142" i="50" l="1"/>
  <c r="D142" i="50" l="1"/>
  <c r="C142" i="50"/>
  <c r="E142" i="50" s="1"/>
  <c r="B143" i="50" l="1"/>
  <c r="D143" i="50" l="1"/>
  <c r="C143" i="50"/>
  <c r="E143" i="50" l="1"/>
  <c r="B144" i="50" l="1"/>
  <c r="C144" i="50" l="1"/>
  <c r="D144" i="50"/>
  <c r="E144" i="50" l="1"/>
  <c r="B145" i="50"/>
  <c r="C145" i="50" l="1"/>
  <c r="D145" i="50"/>
  <c r="E145" i="50" l="1"/>
  <c r="B146" i="50" l="1"/>
  <c r="D146" i="50" l="1"/>
  <c r="C146" i="50"/>
  <c r="E146" i="50" s="1"/>
  <c r="B147" i="50" l="1"/>
  <c r="D147" i="50" l="1"/>
  <c r="C147" i="50"/>
  <c r="E147" i="50" s="1"/>
  <c r="B148" i="50" l="1"/>
  <c r="C148" i="50" l="1"/>
  <c r="D148" i="50"/>
  <c r="E148" i="50" l="1"/>
  <c r="B149" i="50" l="1"/>
  <c r="C149" i="50" l="1"/>
  <c r="D149" i="50"/>
  <c r="E149" i="50" l="1"/>
  <c r="B150" i="50" l="1"/>
  <c r="D150" i="50" l="1"/>
  <c r="C150" i="50"/>
  <c r="E150" i="50" s="1"/>
  <c r="B151" i="50" l="1"/>
  <c r="C151" i="50" l="1"/>
  <c r="D151" i="50"/>
  <c r="E151" i="50" l="1"/>
  <c r="B152" i="50" l="1"/>
  <c r="D152" i="50" l="1"/>
  <c r="C152" i="50"/>
  <c r="E152" i="50" s="1"/>
  <c r="B153" i="50" l="1"/>
  <c r="C153" i="50" l="1"/>
  <c r="D153" i="50"/>
  <c r="E153" i="50" l="1"/>
  <c r="B154" i="50" l="1"/>
  <c r="D154" i="50" l="1"/>
  <c r="C154" i="50"/>
  <c r="E154" i="50" s="1"/>
  <c r="B155" i="50" l="1"/>
  <c r="D155" i="50" l="1"/>
  <c r="C155" i="50"/>
  <c r="E155" i="50" s="1"/>
  <c r="B156" i="50" l="1"/>
  <c r="D156" i="50" l="1"/>
  <c r="C156" i="50"/>
  <c r="E156" i="50" s="1"/>
  <c r="B157" i="50" l="1"/>
  <c r="C157" i="50" l="1"/>
  <c r="D157" i="50"/>
  <c r="E157" i="50" l="1"/>
  <c r="B158" i="50" l="1"/>
  <c r="D158" i="50" l="1"/>
  <c r="C158" i="50"/>
  <c r="E158" i="50" s="1"/>
  <c r="B159" i="50" l="1"/>
  <c r="D159" i="50" l="1"/>
  <c r="C159" i="50"/>
  <c r="E159" i="50" s="1"/>
  <c r="B160" i="50" l="1"/>
  <c r="D160" i="50" l="1"/>
  <c r="C160" i="50"/>
  <c r="E160" i="50" s="1"/>
  <c r="B161" i="50" l="1"/>
  <c r="D161" i="50" l="1"/>
  <c r="C161" i="50"/>
  <c r="E161" i="50" s="1"/>
  <c r="B162" i="50" l="1"/>
  <c r="D162" i="50" l="1"/>
  <c r="C162" i="50"/>
  <c r="E162" i="50" s="1"/>
  <c r="B163" i="50" l="1"/>
  <c r="D163" i="50" l="1"/>
  <c r="C163" i="50"/>
  <c r="E163" i="50" s="1"/>
  <c r="B164" i="50" l="1"/>
  <c r="D164" i="50" l="1"/>
  <c r="C164" i="50"/>
  <c r="E164" i="50" s="1"/>
  <c r="B165" i="50" l="1"/>
  <c r="C165" i="50" l="1"/>
  <c r="D165" i="50"/>
  <c r="E165" i="50" l="1"/>
  <c r="B166" i="50" l="1"/>
  <c r="D166" i="50" l="1"/>
  <c r="C166" i="50"/>
  <c r="E166" i="50" s="1"/>
  <c r="B167" i="50" l="1"/>
  <c r="D167" i="50" l="1"/>
  <c r="C167" i="50"/>
  <c r="E167" i="50" s="1"/>
  <c r="B168" i="50" l="1"/>
  <c r="D168" i="50" l="1"/>
  <c r="C168" i="50"/>
  <c r="E168" i="50" s="1"/>
  <c r="B169" i="50" l="1"/>
  <c r="D169" i="50" l="1"/>
  <c r="C169" i="50"/>
  <c r="E169" i="50" s="1"/>
  <c r="B170" i="50" l="1"/>
  <c r="C170" i="50" l="1"/>
  <c r="D170" i="50"/>
  <c r="E170" i="50" l="1"/>
  <c r="B171" i="50" l="1"/>
  <c r="C171" i="50" l="1"/>
  <c r="D171" i="50"/>
  <c r="E171" i="50" l="1"/>
  <c r="B172" i="50" l="1"/>
  <c r="D172" i="50" l="1"/>
  <c r="C172" i="50"/>
  <c r="E172" i="50" s="1"/>
  <c r="B173" i="50" l="1"/>
  <c r="C173" i="50" l="1"/>
  <c r="D173" i="50"/>
  <c r="E173" i="50" l="1"/>
  <c r="B174" i="50" l="1"/>
  <c r="D174" i="50" l="1"/>
  <c r="C174" i="50"/>
  <c r="E174" i="50" s="1"/>
  <c r="B175" i="50" l="1"/>
  <c r="D175" i="50" l="1"/>
  <c r="C175" i="50"/>
  <c r="E175" i="50" s="1"/>
  <c r="B176" i="50" l="1"/>
  <c r="D176" i="50" l="1"/>
  <c r="C176" i="50"/>
  <c r="E176" i="50" s="1"/>
  <c r="B177" i="50" l="1"/>
  <c r="C177" i="50" l="1"/>
  <c r="D177" i="50"/>
  <c r="E177" i="50" l="1"/>
  <c r="B178" i="50" l="1"/>
  <c r="D178" i="50" l="1"/>
  <c r="C178" i="50"/>
  <c r="E178" i="50" s="1"/>
  <c r="B179" i="50" l="1"/>
  <c r="D179" i="50" l="1"/>
  <c r="C179" i="50"/>
  <c r="E179" i="50" s="1"/>
  <c r="B180" i="50" l="1"/>
  <c r="D180" i="50" l="1"/>
  <c r="C180" i="50"/>
  <c r="E180" i="50" s="1"/>
  <c r="B181" i="50" l="1"/>
  <c r="C181" i="50" l="1"/>
  <c r="D181" i="50"/>
  <c r="E181" i="50" l="1"/>
  <c r="B182" i="50" l="1"/>
  <c r="D182" i="50" l="1"/>
  <c r="C182" i="50"/>
  <c r="E182" i="50" s="1"/>
  <c r="B183" i="50" l="1"/>
  <c r="D183" i="50" l="1"/>
  <c r="C183" i="50"/>
  <c r="E183" i="50" s="1"/>
  <c r="B184" i="50" l="1"/>
  <c r="D184" i="50" l="1"/>
  <c r="C184" i="50"/>
  <c r="E184" i="50" s="1"/>
  <c r="B185" i="50" l="1"/>
  <c r="C185" i="50" l="1"/>
  <c r="D185" i="50"/>
  <c r="E185" i="50" l="1"/>
  <c r="B186" i="50" l="1"/>
  <c r="D186" i="50" l="1"/>
  <c r="C186" i="50"/>
  <c r="E186" i="50" s="1"/>
  <c r="B187" i="50" l="1"/>
  <c r="D187" i="50" l="1"/>
  <c r="C187" i="50"/>
  <c r="E187" i="50" s="1"/>
  <c r="B188" i="50" l="1"/>
  <c r="D188" i="50" l="1"/>
  <c r="C188" i="50"/>
  <c r="E188" i="50" s="1"/>
  <c r="B189" i="50" l="1"/>
  <c r="C189" i="50" l="1"/>
  <c r="D189" i="50"/>
  <c r="E189" i="50" l="1"/>
  <c r="B190" i="50" l="1"/>
  <c r="D190" i="50" l="1"/>
  <c r="C190" i="50"/>
  <c r="E190" i="50" s="1"/>
  <c r="B191" i="50" l="1"/>
  <c r="D191" i="50" l="1"/>
  <c r="C191" i="50"/>
  <c r="E191" i="50" s="1"/>
  <c r="B192" i="50" l="1"/>
  <c r="D192" i="50" l="1"/>
  <c r="C192" i="50"/>
  <c r="E192" i="50" s="1"/>
  <c r="B193" i="50" l="1"/>
  <c r="C193" i="50" l="1"/>
  <c r="D193" i="50"/>
  <c r="E193" i="50" l="1"/>
  <c r="B194" i="50" l="1"/>
  <c r="D194" i="50" l="1"/>
  <c r="C194" i="50"/>
  <c r="E194" i="50" s="1"/>
  <c r="B195" i="50" l="1"/>
  <c r="D195" i="50" l="1"/>
  <c r="C195" i="50"/>
  <c r="E195" i="50" s="1"/>
  <c r="B196" i="50" l="1"/>
  <c r="D196" i="50" l="1"/>
  <c r="C196" i="50"/>
  <c r="E196" i="50" s="1"/>
  <c r="B197" i="50" l="1"/>
  <c r="C197" i="50" l="1"/>
  <c r="D197" i="50"/>
  <c r="E197" i="50" l="1"/>
  <c r="B198" i="50" l="1"/>
  <c r="D198" i="50" l="1"/>
  <c r="C198" i="50"/>
  <c r="E198" i="50" s="1"/>
  <c r="B199" i="50" l="1"/>
  <c r="D199" i="50" l="1"/>
  <c r="C199" i="50"/>
  <c r="E199" i="50" s="1"/>
  <c r="B200" i="50" l="1"/>
  <c r="D200" i="50" l="1"/>
  <c r="C200" i="50"/>
  <c r="E200" i="50" s="1"/>
  <c r="B201" i="50" l="1"/>
  <c r="C201" i="50" l="1"/>
  <c r="D201" i="50"/>
  <c r="E201" i="50" l="1"/>
  <c r="B202" i="50" l="1"/>
  <c r="D202" i="50" l="1"/>
  <c r="C202" i="50"/>
  <c r="E202" i="50" s="1"/>
  <c r="B203" i="50" l="1"/>
  <c r="D203" i="50" l="1"/>
  <c r="C203" i="50"/>
  <c r="E203" i="50" s="1"/>
  <c r="B204" i="50" l="1"/>
  <c r="D204" i="50" l="1"/>
  <c r="C204" i="50"/>
  <c r="E204" i="50" s="1"/>
  <c r="B205" i="50" l="1"/>
  <c r="C205" i="50" l="1"/>
  <c r="D205" i="50"/>
  <c r="E205" i="50" l="1"/>
  <c r="B206" i="50" l="1"/>
  <c r="D206" i="50" l="1"/>
  <c r="C206" i="50"/>
  <c r="E206" i="50" s="1"/>
  <c r="B207" i="50" l="1"/>
  <c r="D207" i="50" l="1"/>
  <c r="C207" i="50"/>
  <c r="E207" i="50" s="1"/>
  <c r="B208" i="50" l="1"/>
  <c r="D208" i="50" l="1"/>
  <c r="C208" i="50"/>
  <c r="E208" i="50" s="1"/>
  <c r="B209" i="50" l="1"/>
  <c r="C209" i="50" l="1"/>
  <c r="D209" i="50"/>
  <c r="E209" i="50" l="1"/>
  <c r="B210" i="50" l="1"/>
  <c r="D210" i="50" l="1"/>
  <c r="C210" i="50"/>
  <c r="E210" i="50" s="1"/>
  <c r="B211" i="50" l="1"/>
  <c r="D211" i="50" l="1"/>
  <c r="C211" i="50"/>
  <c r="E211" i="50" s="1"/>
  <c r="B212" i="50" l="1"/>
  <c r="D212" i="50" l="1"/>
  <c r="C212" i="50"/>
  <c r="E212" i="50" s="1"/>
  <c r="B213" i="50" l="1"/>
  <c r="C213" i="50" l="1"/>
  <c r="D213" i="50"/>
  <c r="E213" i="50" l="1"/>
  <c r="B214" i="50" l="1"/>
  <c r="D214" i="50" l="1"/>
  <c r="C214" i="50"/>
  <c r="E214" i="50" s="1"/>
  <c r="B215" i="50" l="1"/>
  <c r="D215" i="50" l="1"/>
  <c r="C215" i="50"/>
  <c r="E215" i="50" s="1"/>
  <c r="B216" i="50" l="1"/>
  <c r="D216" i="50" l="1"/>
  <c r="C216" i="50"/>
  <c r="E216" i="50" s="1"/>
  <c r="B217" i="50" l="1"/>
  <c r="C217" i="50" l="1"/>
  <c r="D217" i="50"/>
  <c r="E217" i="50" l="1"/>
  <c r="B218" i="50" l="1"/>
  <c r="D218" i="50" l="1"/>
  <c r="C218" i="50"/>
  <c r="E218" i="50" s="1"/>
  <c r="B219" i="50" l="1"/>
  <c r="D219" i="50" l="1"/>
  <c r="C219" i="50"/>
  <c r="E219" i="50" s="1"/>
  <c r="B220" i="50" l="1"/>
  <c r="D220" i="50" l="1"/>
  <c r="C220" i="50"/>
  <c r="E220" i="50" s="1"/>
  <c r="B221" i="50" l="1"/>
  <c r="C221" i="50" l="1"/>
  <c r="D221" i="50"/>
  <c r="E221" i="50" l="1"/>
  <c r="B222" i="50" l="1"/>
  <c r="D222" i="50" l="1"/>
  <c r="C222" i="50"/>
  <c r="E222" i="50" s="1"/>
  <c r="B223" i="50" l="1"/>
  <c r="D223" i="50" l="1"/>
  <c r="C223" i="50"/>
  <c r="E223" i="50" s="1"/>
  <c r="B224" i="50" l="1"/>
  <c r="D224" i="50" l="1"/>
  <c r="C224" i="50"/>
  <c r="E224" i="50" s="1"/>
  <c r="B225" i="50" l="1"/>
  <c r="C225" i="50" l="1"/>
  <c r="D225" i="50"/>
  <c r="E225" i="50" l="1"/>
  <c r="B226" i="50" l="1"/>
  <c r="D226" i="50" l="1"/>
  <c r="C226" i="50"/>
  <c r="E226" i="50" s="1"/>
  <c r="B227" i="50" l="1"/>
  <c r="D227" i="50" l="1"/>
  <c r="C227" i="50"/>
  <c r="E227" i="50" s="1"/>
  <c r="B228" i="50" l="1"/>
  <c r="D228" i="50" l="1"/>
  <c r="C228" i="50"/>
  <c r="E228" i="50" s="1"/>
  <c r="B229" i="50" l="1"/>
  <c r="C229" i="50" l="1"/>
  <c r="D229" i="50"/>
  <c r="E229" i="50" l="1"/>
  <c r="B230" i="50" l="1"/>
  <c r="D230" i="50" l="1"/>
  <c r="C230" i="50"/>
  <c r="E230" i="50" s="1"/>
  <c r="B231" i="50" l="1"/>
  <c r="D231" i="50" l="1"/>
  <c r="C231" i="50"/>
  <c r="E231" i="50" s="1"/>
  <c r="B232" i="50" l="1"/>
  <c r="D232" i="50" l="1"/>
  <c r="C232" i="50"/>
  <c r="E232" i="50" s="1"/>
  <c r="B233" i="50" l="1"/>
  <c r="C233" i="50" l="1"/>
  <c r="D233" i="50"/>
  <c r="E233" i="50" l="1"/>
  <c r="B234" i="50" l="1"/>
  <c r="C234" i="50" l="1"/>
  <c r="D234" i="50"/>
  <c r="E234" i="50" l="1"/>
  <c r="B235" i="50" l="1"/>
  <c r="D235" i="50" l="1"/>
  <c r="C235" i="50"/>
  <c r="E235" i="50" s="1"/>
  <c r="B236" i="50" l="1"/>
  <c r="D236" i="50" l="1"/>
  <c r="C236" i="50"/>
  <c r="E236" i="50" s="1"/>
  <c r="B237" i="50" l="1"/>
  <c r="C237" i="50" l="1"/>
  <c r="D237" i="50"/>
  <c r="E237" i="50" l="1"/>
  <c r="B238" i="50" l="1"/>
  <c r="D238" i="50" l="1"/>
  <c r="C238" i="50"/>
  <c r="E238" i="50" s="1"/>
  <c r="B239" i="50" l="1"/>
  <c r="D239" i="50" l="1"/>
  <c r="C239" i="50"/>
  <c r="E239" i="50" s="1"/>
  <c r="B240" i="50" l="1"/>
  <c r="D240" i="50" l="1"/>
  <c r="C240" i="50"/>
  <c r="E240" i="50" s="1"/>
  <c r="B241" i="50" l="1"/>
  <c r="C241" i="50" l="1"/>
  <c r="D241" i="50"/>
  <c r="E241" i="50" l="1"/>
  <c r="B242" i="50" l="1"/>
  <c r="D242" i="50" l="1"/>
  <c r="C242" i="50"/>
  <c r="E242" i="50" s="1"/>
  <c r="B243" i="50" l="1"/>
  <c r="D243" i="50" l="1"/>
  <c r="C243" i="50"/>
  <c r="E243" i="50" s="1"/>
  <c r="B244" i="50" l="1"/>
  <c r="D244" i="50" l="1"/>
  <c r="C244" i="50"/>
  <c r="E244" i="50" s="1"/>
  <c r="B245" i="50" l="1"/>
  <c r="D245" i="50" l="1"/>
  <c r="C245" i="50"/>
  <c r="E245" i="50" s="1"/>
  <c r="B246" i="50" l="1"/>
  <c r="D246" i="50" l="1"/>
  <c r="C246" i="50"/>
  <c r="E246" i="50" s="1"/>
  <c r="B247" i="50" l="1"/>
  <c r="D247" i="50" l="1"/>
  <c r="C247" i="50"/>
  <c r="E247" i="50" s="1"/>
  <c r="B248" i="50" l="1"/>
  <c r="C248" i="50" l="1"/>
  <c r="D248" i="50"/>
  <c r="E248" i="50" l="1"/>
  <c r="B249" i="50" l="1"/>
  <c r="C249" i="50" l="1"/>
  <c r="D249" i="50"/>
  <c r="E249" i="50" l="1"/>
  <c r="B250" i="50" l="1"/>
  <c r="D250" i="50" l="1"/>
  <c r="C250" i="50"/>
  <c r="E250" i="50" s="1"/>
  <c r="B251" i="50" l="1"/>
  <c r="D251" i="50" l="1"/>
  <c r="C251" i="50"/>
  <c r="E251" i="50" s="1"/>
  <c r="B252" i="50" l="1"/>
  <c r="D252" i="50" l="1"/>
  <c r="C252" i="50"/>
  <c r="E252" i="50" s="1"/>
  <c r="B253" i="50" l="1"/>
  <c r="D253" i="50" l="1"/>
  <c r="C253" i="50"/>
  <c r="E253" i="50" s="1"/>
  <c r="B254" i="50" l="1"/>
  <c r="D254" i="50" l="1"/>
  <c r="C254" i="50"/>
  <c r="E254" i="50" s="1"/>
  <c r="B255" i="50" l="1"/>
  <c r="D255" i="50" l="1"/>
  <c r="C255" i="50"/>
  <c r="E255" i="50" s="1"/>
  <c r="B256" i="50" l="1"/>
  <c r="D256" i="50" l="1"/>
  <c r="C256" i="50"/>
  <c r="E256" i="50" s="1"/>
  <c r="B257" i="50" l="1"/>
  <c r="C257" i="50" l="1"/>
  <c r="D257" i="50"/>
  <c r="E257" i="50" l="1"/>
  <c r="B258" i="50" l="1"/>
  <c r="D258" i="50" l="1"/>
  <c r="C258" i="50"/>
  <c r="E258" i="50" s="1"/>
  <c r="B259" i="50" l="1"/>
  <c r="D259" i="50" l="1"/>
  <c r="C259" i="50"/>
  <c r="E259" i="50" s="1"/>
  <c r="B260" i="50" l="1"/>
  <c r="C260" i="50" l="1"/>
  <c r="D260" i="50"/>
  <c r="E260" i="50" l="1"/>
  <c r="B261" i="50" l="1"/>
  <c r="C261" i="50" l="1"/>
  <c r="D261" i="50"/>
  <c r="E261" i="50" l="1"/>
  <c r="B262" i="50" l="1"/>
  <c r="D262" i="50" l="1"/>
  <c r="C262" i="50"/>
  <c r="E262" i="50" s="1"/>
  <c r="B263" i="50" l="1"/>
  <c r="D263" i="50" l="1"/>
  <c r="C263" i="50"/>
  <c r="E263" i="50" s="1"/>
  <c r="B264" i="50" l="1"/>
  <c r="C264" i="50" l="1"/>
  <c r="D264" i="50"/>
  <c r="E264" i="50" l="1"/>
  <c r="B265" i="50" l="1"/>
  <c r="C265" i="50" l="1"/>
  <c r="D265" i="50"/>
  <c r="E265" i="50" l="1"/>
  <c r="B266" i="50" l="1"/>
  <c r="D266" i="50" l="1"/>
  <c r="C266" i="50"/>
  <c r="E266" i="50" s="1"/>
  <c r="B267" i="50" l="1"/>
  <c r="C267" i="50" l="1"/>
  <c r="D267" i="50"/>
  <c r="E267" i="50" l="1"/>
  <c r="B268" i="50" l="1"/>
  <c r="C268" i="50" l="1"/>
  <c r="D268" i="50"/>
  <c r="E268" i="50" l="1"/>
  <c r="B269" i="50" l="1"/>
  <c r="C269" i="50" l="1"/>
  <c r="D269" i="50"/>
  <c r="E269" i="50" l="1"/>
  <c r="B270" i="50" l="1"/>
  <c r="D270" i="50" l="1"/>
  <c r="C270" i="50"/>
  <c r="E270" i="50" s="1"/>
  <c r="B271" i="50" l="1"/>
  <c r="D271" i="50" l="1"/>
  <c r="C271" i="50"/>
  <c r="E271" i="50" s="1"/>
  <c r="B272" i="50" l="1"/>
  <c r="C272" i="50" l="1"/>
  <c r="D272" i="50"/>
  <c r="E272" i="50" l="1"/>
  <c r="B273" i="50" l="1"/>
  <c r="C273" i="50" l="1"/>
  <c r="D273" i="50"/>
  <c r="E273" i="50" l="1"/>
  <c r="B274" i="50" l="1"/>
  <c r="D274" i="50" l="1"/>
  <c r="C274" i="50"/>
  <c r="E274" i="50" s="1"/>
  <c r="B275" i="50" l="1"/>
  <c r="D275" i="50" l="1"/>
  <c r="C275" i="50"/>
  <c r="E275" i="50" s="1"/>
  <c r="B276" i="50" l="1"/>
  <c r="C276" i="50" l="1"/>
  <c r="D276" i="50"/>
  <c r="E276" i="50" l="1"/>
  <c r="B277" i="50"/>
  <c r="C277" i="50" l="1"/>
  <c r="D277" i="50"/>
  <c r="E277" i="50" l="1"/>
  <c r="B278" i="50" l="1"/>
  <c r="D278" i="50" l="1"/>
  <c r="C278" i="50"/>
  <c r="E278" i="50" s="1"/>
  <c r="B279" i="50" l="1"/>
  <c r="D279" i="50" l="1"/>
  <c r="C279" i="50"/>
  <c r="E279" i="50" s="1"/>
  <c r="B280" i="50" l="1"/>
  <c r="C280" i="50" l="1"/>
  <c r="D280" i="50"/>
  <c r="E280" i="50" l="1"/>
  <c r="B281" i="50" l="1"/>
  <c r="C281" i="50" l="1"/>
  <c r="D281" i="50"/>
  <c r="E281" i="50" l="1"/>
  <c r="B282" i="50" l="1"/>
  <c r="D282" i="50" l="1"/>
  <c r="C282" i="50"/>
  <c r="E282" i="50" s="1"/>
  <c r="B283" i="50" l="1"/>
  <c r="D283" i="50" l="1"/>
  <c r="C283" i="50"/>
  <c r="E283" i="50" s="1"/>
  <c r="B284" i="50" l="1"/>
  <c r="C284" i="50" l="1"/>
  <c r="D284" i="50"/>
  <c r="E284" i="50" l="1"/>
  <c r="B285" i="50" l="1"/>
  <c r="C285" i="50" l="1"/>
  <c r="D285" i="50"/>
  <c r="E285" i="50" l="1"/>
  <c r="B286" i="50" l="1"/>
  <c r="D286" i="50" l="1"/>
  <c r="C286" i="50"/>
  <c r="E286" i="50" s="1"/>
  <c r="B287" i="50" l="1"/>
  <c r="D287" i="50" l="1"/>
  <c r="C287" i="50"/>
  <c r="E287" i="50" s="1"/>
  <c r="B288" i="50" l="1"/>
  <c r="C288" i="50" l="1"/>
  <c r="D288" i="50"/>
  <c r="E288" i="50" l="1"/>
  <c r="B289" i="50" l="1"/>
  <c r="C289" i="50" l="1"/>
  <c r="D289" i="50"/>
  <c r="E289" i="50" l="1"/>
  <c r="B290" i="50" l="1"/>
  <c r="D290" i="50" l="1"/>
  <c r="C290" i="50"/>
  <c r="E290" i="50" s="1"/>
  <c r="B291" i="50" l="1"/>
  <c r="D291" i="50" l="1"/>
  <c r="C291" i="50"/>
  <c r="E291" i="50" s="1"/>
  <c r="B292" i="50" l="1"/>
  <c r="D292" i="50" l="1"/>
  <c r="C292" i="50"/>
  <c r="E292" i="50" s="1"/>
  <c r="B293" i="50" l="1"/>
  <c r="C293" i="50" l="1"/>
  <c r="D293" i="50"/>
  <c r="E293" i="50" l="1"/>
  <c r="B294" i="50" l="1"/>
  <c r="D294" i="50" l="1"/>
  <c r="C294" i="50"/>
  <c r="E294" i="50" s="1"/>
  <c r="B295" i="50" l="1"/>
  <c r="D295" i="50" l="1"/>
  <c r="C295" i="50"/>
  <c r="E295" i="50" s="1"/>
  <c r="B296" i="50" l="1"/>
  <c r="D296" i="50" l="1"/>
  <c r="C296" i="50"/>
  <c r="E296" i="50" s="1"/>
  <c r="B297" i="50" l="1"/>
  <c r="C297" i="50" l="1"/>
  <c r="D297" i="50"/>
  <c r="E297" i="50" l="1"/>
  <c r="B298" i="50" l="1"/>
  <c r="C298" i="50" l="1"/>
  <c r="D298" i="50"/>
  <c r="E298" i="50" l="1"/>
  <c r="B299" i="50" l="1"/>
  <c r="D299" i="50" l="1"/>
  <c r="C299" i="50"/>
  <c r="E299" i="50" s="1"/>
  <c r="B300" i="50" l="1"/>
  <c r="D300" i="50" l="1"/>
  <c r="C300" i="50"/>
  <c r="E300" i="50" s="1"/>
  <c r="B301" i="50" l="1"/>
  <c r="C301" i="50" l="1"/>
  <c r="D301" i="50"/>
  <c r="E301" i="50" l="1"/>
  <c r="B302" i="50" l="1"/>
  <c r="D302" i="50" l="1"/>
  <c r="C302" i="50"/>
  <c r="E302" i="50" s="1"/>
  <c r="B303" i="50" l="1"/>
  <c r="D303" i="50" l="1"/>
  <c r="C303" i="50"/>
  <c r="E303" i="50" s="1"/>
  <c r="B304" i="50" l="1"/>
  <c r="C304" i="50" l="1"/>
  <c r="D304" i="50"/>
  <c r="E304" i="50" l="1"/>
</calcChain>
</file>

<file path=xl/sharedStrings.xml><?xml version="1.0" encoding="utf-8"?>
<sst xmlns="http://schemas.openxmlformats.org/spreadsheetml/2006/main" count="1167" uniqueCount="231">
  <si>
    <t>Reps</t>
  </si>
  <si>
    <t>Pop size (N)</t>
  </si>
  <si>
    <t>Select coeff</t>
  </si>
  <si>
    <t>Attempts</t>
  </si>
  <si>
    <t>Prob allele loss</t>
  </si>
  <si>
    <t>Prob of allele fix</t>
  </si>
  <si>
    <t>Aver gen to fix</t>
  </si>
  <si>
    <t>St, dev, allele fix</t>
  </si>
  <si>
    <t>St, dev, gen to fix</t>
  </si>
  <si>
    <t>s</t>
  </si>
  <si>
    <t>Sim Nr</t>
  </si>
  <si>
    <t>N</t>
  </si>
  <si>
    <t>nan</t>
  </si>
  <si>
    <t>Run time (sec)</t>
  </si>
  <si>
    <t>Validate that the program is using the 20 CPUs available to run repeated experiments in parallel.</t>
  </si>
  <si>
    <t>The time savings of parallel processing will be documented</t>
  </si>
  <si>
    <t>Secs/rep when Rep &gt;= 20</t>
  </si>
  <si>
    <t>secs /rep:</t>
  </si>
  <si>
    <t>Conclusions:</t>
  </si>
  <si>
    <t>(1) No run time is saved when more than 20 CPUs are run on this computer</t>
  </si>
  <si>
    <t>Improvement factor</t>
  </si>
  <si>
    <t>Total attempts</t>
  </si>
  <si>
    <t>(2) Using 20 CPUs saves a factor of 13 time and executes the same total number of attempts.</t>
  </si>
  <si>
    <t>For very much larger population sizes and Attempts the PC could run into memory constaints and no longer</t>
  </si>
  <si>
    <t>benefit as much from parallel processing.</t>
  </si>
  <si>
    <t>Gen</t>
  </si>
  <si>
    <t>St dev Gen</t>
  </si>
  <si>
    <t>Prob fix</t>
  </si>
  <si>
    <t>St dev fix</t>
  </si>
  <si>
    <t>Prob loss</t>
  </si>
  <si>
    <t>1/(2N):</t>
  </si>
  <si>
    <t>4N:</t>
  </si>
  <si>
    <t>Time, all 23 runs: 160 sec</t>
  </si>
  <si>
    <t>P(fixation) ≈
(1 - e^(-2s))/
(1 - e^(-4Ns))</t>
  </si>
  <si>
    <t>Time, all 23 runs: 119 sec</t>
  </si>
  <si>
    <t>Time, all 23 runs: 10 sec</t>
  </si>
  <si>
    <t>Time, all 23 runs: 2 sec</t>
  </si>
  <si>
    <t>Time, all 23 runs: 13 sec</t>
  </si>
  <si>
    <t>Caoculated:</t>
  </si>
  <si>
    <t>Time, all 23 runs: 5043 sec</t>
  </si>
  <si>
    <t>Calculated:</t>
  </si>
  <si>
    <t>Time, all 23 runs: 1330 sec = 22 min, 10 sec</t>
  </si>
  <si>
    <t>Time, all 23 runs: 130 sec = 2 in, 10 sec</t>
  </si>
  <si>
    <t>Time, all 23 runs: 37177 sec = 10.3 hr</t>
  </si>
  <si>
    <t>0 - 0.01</t>
  </si>
  <si>
    <t>0 - 0.1</t>
  </si>
  <si>
    <t>0 - 0.5</t>
  </si>
  <si>
    <t>0-0.01</t>
  </si>
  <si>
    <t>0-0.1</t>
  </si>
  <si>
    <t>0-0.5</t>
  </si>
  <si>
    <t>R²</t>
  </si>
  <si>
    <t>Time, all 23 runs: 6920 sec</t>
  </si>
  <si>
    <t>Time, all 23 runs: 15997 sec</t>
  </si>
  <si>
    <t>=4,4 hr</t>
  </si>
  <si>
    <t>Calc:</t>
  </si>
  <si>
    <t>Time, for all the runs together: 29.5 sec</t>
  </si>
  <si>
    <t>Time, for all the runs together: 1781 sec</t>
  </si>
  <si>
    <t>Calculations:</t>
  </si>
  <si>
    <t>=29.7 min</t>
  </si>
  <si>
    <t>Time, for all the runs together: 3.4 sec</t>
  </si>
  <si>
    <t>Expected:</t>
  </si>
  <si>
    <t>2/N</t>
  </si>
  <si>
    <t>1/(10N)</t>
  </si>
  <si>
    <t>Around what value of s will none of the allele at all with fix:</t>
  </si>
  <si>
    <t>N=10, s &lt;= -0.2</t>
  </si>
  <si>
    <t>N=100, s &lt;= -0.01</t>
  </si>
  <si>
    <t>N=1K, s &lt;= -1xE-03</t>
  </si>
  <si>
    <t>N=10K, s &lt;= -5xE-05</t>
  </si>
  <si>
    <t>N=100K, s &lt;= -5xE-06</t>
  </si>
  <si>
    <t>As a reasonable rule of thumb, Pfix &gt; 0 when -s &lt;= 1/(2N)</t>
  </si>
  <si>
    <t>At what s is theprob of fixing ≈ neutral:</t>
  </si>
  <si>
    <t>N=10, s &gt;= -0.01</t>
  </si>
  <si>
    <t>N=100, s &gt;= -0.001</t>
  </si>
  <si>
    <t>N=1K, s &gt;= -0.0001</t>
  </si>
  <si>
    <t>N=10K, s &gt;= -0.00001</t>
  </si>
  <si>
    <t>N=100K, s &gt;= -0.000001</t>
  </si>
  <si>
    <t>Time, for all the runs together: 70 sec</t>
  </si>
  <si>
    <t>N:</t>
  </si>
  <si>
    <t xml:space="preserve">Time </t>
  </si>
  <si>
    <t>p</t>
  </si>
  <si>
    <t>heterozygous</t>
  </si>
  <si>
    <t>homozygous</t>
  </si>
  <si>
    <t>homoz:</t>
  </si>
  <si>
    <t>heteroz:</t>
  </si>
  <si>
    <t>inh_prob:</t>
  </si>
  <si>
    <t>1.9115s + 0.0005</t>
  </si>
  <si>
    <t>1.7759s + 0.0005</t>
  </si>
  <si>
    <r>
      <t>-1.3417s</t>
    </r>
    <r>
      <rPr>
        <vertAlign val="superscript"/>
        <sz val="11"/>
        <color theme="1"/>
        <rFont val="Calibri"/>
        <family val="2"/>
        <scheme val="minor"/>
      </rPr>
      <t>2</t>
    </r>
    <r>
      <rPr>
        <sz val="11"/>
        <color theme="1"/>
        <rFont val="Calibri"/>
        <family val="2"/>
        <scheme val="minor"/>
      </rPr>
      <t xml:space="preserve"> + 1.8205s + 0.0005</t>
    </r>
  </si>
  <si>
    <t>1.9043s + 0.0005</t>
  </si>
  <si>
    <t>1.7839s + 0.0005</t>
  </si>
  <si>
    <r>
      <t>-1.3460s</t>
    </r>
    <r>
      <rPr>
        <vertAlign val="superscript"/>
        <sz val="11"/>
        <color theme="1"/>
        <rFont val="Calibri"/>
        <family val="2"/>
        <scheme val="minor"/>
      </rPr>
      <t>2</t>
    </r>
    <r>
      <rPr>
        <sz val="11"/>
        <color theme="1"/>
        <rFont val="Calibri"/>
        <family val="2"/>
        <scheme val="minor"/>
      </rPr>
      <t xml:space="preserve"> + 1.8248s + 0.0005</t>
    </r>
  </si>
  <si>
    <t>1.8686s + 0.0005</t>
  </si>
  <si>
    <t>1.7962s + 0.0005</t>
  </si>
  <si>
    <r>
      <t>-1.3346s</t>
    </r>
    <r>
      <rPr>
        <vertAlign val="superscript"/>
        <sz val="11"/>
        <color theme="1"/>
        <rFont val="Calibri"/>
        <family val="2"/>
        <scheme val="minor"/>
      </rPr>
      <t>2</t>
    </r>
    <r>
      <rPr>
        <sz val="11"/>
        <color theme="1"/>
        <rFont val="Calibri"/>
        <family val="2"/>
        <scheme val="minor"/>
      </rPr>
      <t xml:space="preserve"> + 1.8265s + 0.0005</t>
    </r>
  </si>
  <si>
    <t>Sheet</t>
  </si>
  <si>
    <t>Pop_1k</t>
  </si>
  <si>
    <t>s = 0 - 001; 0 - 0.1; 0 - 0.5</t>
  </si>
  <si>
    <t>Two kinds of graphs are generated: (1) The probability of fixing vs. s. (2) The number of generations until fixing for these alleles that do fix.</t>
  </si>
  <si>
    <r>
      <rPr>
        <b/>
        <sz val="12"/>
        <color theme="1"/>
        <rFont val="Calibri"/>
        <family val="2"/>
        <scheme val="minor"/>
      </rPr>
      <t>N</t>
    </r>
    <r>
      <rPr>
        <sz val="12"/>
        <color theme="1"/>
        <rFont val="Calibri"/>
        <family val="2"/>
        <scheme val="minor"/>
      </rPr>
      <t xml:space="preserve"> = population, and total alleles = 2N.</t>
    </r>
  </si>
  <si>
    <r>
      <rPr>
        <b/>
        <sz val="12"/>
        <color theme="1"/>
        <rFont val="Calibri"/>
        <family val="2"/>
        <scheme val="minor"/>
      </rPr>
      <t>Attempts</t>
    </r>
    <r>
      <rPr>
        <sz val="12"/>
        <color theme="1"/>
        <rFont val="Calibri"/>
        <family val="2"/>
        <scheme val="minor"/>
      </rPr>
      <t xml:space="preserve"> = the number of random simulation attempts to fix  a newly arisen allele.</t>
    </r>
  </si>
  <si>
    <r>
      <rPr>
        <b/>
        <sz val="12"/>
        <color theme="1"/>
        <rFont val="Calibri"/>
        <family val="2"/>
        <scheme val="minor"/>
      </rPr>
      <t>Reps</t>
    </r>
    <r>
      <rPr>
        <sz val="12"/>
        <color theme="1"/>
        <rFont val="Calibri"/>
        <family val="2"/>
        <scheme val="minor"/>
      </rPr>
      <t xml:space="preserve"> = the number of repetitions of each new random Attempts. It represent the number of parallel simulations that can be executed. 20 is the best value for Windows computers with 32 GB memory. Each repetition begins with a different random number used to assign chromosome segregation probability, centered around 50% change. The total number of attempts to fix a new allele is therefor Attempts x Reps.</t>
    </r>
  </si>
  <si>
    <r>
      <rPr>
        <b/>
        <sz val="12"/>
        <color theme="1"/>
        <rFont val="Calibri"/>
        <family val="2"/>
        <scheme val="minor"/>
      </rPr>
      <t>s</t>
    </r>
    <r>
      <rPr>
        <sz val="12"/>
        <color theme="1"/>
        <rFont val="Calibri"/>
        <family val="2"/>
        <scheme val="minor"/>
      </rPr>
      <t xml:space="preserve"> = selectivity coefficient. Different ranges of s were used to produce graphs and regression equations:</t>
    </r>
  </si>
  <si>
    <t>4N (neutral):</t>
  </si>
  <si>
    <t>The probability of fixing was compared to formula often reported in population genetics derived from Kimura’s diffusion approximation. This formula accounts for both selection (s) and genetic drift (effective population size N) and is widely cited in textbooks.</t>
  </si>
  <si>
    <t>1.9716s + 5E-05</t>
  </si>
  <si>
    <t>1.789s + 5E-05</t>
  </si>
  <si>
    <t>1.9707s + 5E-05</t>
  </si>
  <si>
    <t>1.7891s + 5E-05</t>
  </si>
  <si>
    <t>1.9861s + 3E-05</t>
  </si>
  <si>
    <t>Pop_10k</t>
  </si>
  <si>
    <t>Pop_100k</t>
  </si>
  <si>
    <t>1.9782s + 5E-06</t>
  </si>
  <si>
    <t>1.7875s + 5E-06</t>
  </si>
  <si>
    <t>1.9799s + 5E-06</t>
  </si>
  <si>
    <t>1.788s + 5E-06</t>
  </si>
  <si>
    <t>1.983s + 5E-06</t>
  </si>
  <si>
    <t>1.8815s + 5E-06</t>
  </si>
  <si>
    <r>
      <t>-1.3509s</t>
    </r>
    <r>
      <rPr>
        <vertAlign val="subscript"/>
        <sz val="11"/>
        <color theme="1"/>
        <rFont val="Calibri"/>
        <family val="2"/>
        <scheme val="minor"/>
      </rPr>
      <t>2</t>
    </r>
    <r>
      <rPr>
        <sz val="11"/>
        <color theme="1"/>
        <rFont val="Calibri"/>
        <family val="2"/>
        <scheme val="minor"/>
      </rPr>
      <t xml:space="preserve"> + 1.8316s + 5E-06</t>
    </r>
  </si>
  <si>
    <t>-1.3474s2 + 1.8301s + 5E-06</t>
  </si>
  <si>
    <t>-1.3466s2 + 1.8294s + 5E-06</t>
  </si>
  <si>
    <r>
      <t>-1.3544s</t>
    </r>
    <r>
      <rPr>
        <vertAlign val="superscript"/>
        <sz val="11"/>
        <color theme="1"/>
        <rFont val="Calibri"/>
        <family val="2"/>
        <scheme val="minor"/>
      </rPr>
      <t>2</t>
    </r>
    <r>
      <rPr>
        <sz val="11"/>
        <color theme="1"/>
        <rFont val="Calibri"/>
        <family val="2"/>
        <scheme val="minor"/>
      </rPr>
      <t xml:space="preserve"> + 1.8298s + 5E-05</t>
    </r>
  </si>
  <si>
    <r>
      <t>-1.3618s</t>
    </r>
    <r>
      <rPr>
        <vertAlign val="superscript"/>
        <sz val="11"/>
        <color theme="1"/>
        <rFont val="Calibri"/>
        <family val="2"/>
        <scheme val="minor"/>
      </rPr>
      <t>2</t>
    </r>
    <r>
      <rPr>
        <sz val="11"/>
        <color theme="1"/>
        <rFont val="Calibri"/>
        <family val="2"/>
        <scheme val="minor"/>
      </rPr>
      <t xml:space="preserve"> + 1.8329s + 5E-05</t>
    </r>
  </si>
  <si>
    <t>1.7928s + 3E-05</t>
  </si>
  <si>
    <r>
      <t>-1.3631s</t>
    </r>
    <r>
      <rPr>
        <vertAlign val="superscript"/>
        <sz val="11"/>
        <color theme="1"/>
        <rFont val="Calibri"/>
        <family val="2"/>
        <scheme val="minor"/>
      </rPr>
      <t>2</t>
    </r>
    <r>
      <rPr>
        <sz val="11"/>
        <color theme="1"/>
        <rFont val="Calibri"/>
        <family val="2"/>
        <scheme val="minor"/>
      </rPr>
      <t xml:space="preserve"> + 1.8309s + 5E-05</t>
    </r>
  </si>
  <si>
    <t>Pop_1M</t>
  </si>
  <si>
    <t>1.9789s + 5E-07</t>
  </si>
  <si>
    <t>1.7869s + 5E-07</t>
  </si>
  <si>
    <t>1.9759s + 5E-07</t>
  </si>
  <si>
    <t>1.7881s + 5E-07</t>
  </si>
  <si>
    <r>
      <t>-1.3442s</t>
    </r>
    <r>
      <rPr>
        <vertAlign val="superscript"/>
        <sz val="11"/>
        <color theme="1"/>
        <rFont val="Calibri"/>
        <family val="2"/>
        <scheme val="minor"/>
      </rPr>
      <t>2</t>
    </r>
    <r>
      <rPr>
        <sz val="11"/>
        <color theme="1"/>
        <rFont val="Calibri"/>
        <family val="2"/>
        <scheme val="minor"/>
      </rPr>
      <t xml:space="preserve"> + 1.8291</t>
    </r>
    <r>
      <rPr>
        <vertAlign val="superscript"/>
        <sz val="11"/>
        <color theme="1"/>
        <rFont val="Calibri"/>
        <family val="2"/>
        <scheme val="minor"/>
      </rPr>
      <t>s</t>
    </r>
    <r>
      <rPr>
        <sz val="11"/>
        <color theme="1"/>
        <rFont val="Calibri"/>
        <family val="2"/>
        <scheme val="minor"/>
      </rPr>
      <t xml:space="preserve"> + 5E-07</t>
    </r>
  </si>
  <si>
    <r>
      <t>-1.3463s</t>
    </r>
    <r>
      <rPr>
        <vertAlign val="superscript"/>
        <sz val="11"/>
        <color theme="1"/>
        <rFont val="Calibri"/>
        <family val="2"/>
        <scheme val="minor"/>
      </rPr>
      <t xml:space="preserve">2 </t>
    </r>
    <r>
      <rPr>
        <sz val="11"/>
        <color theme="1"/>
        <rFont val="Calibri"/>
        <family val="2"/>
        <scheme val="minor"/>
      </rPr>
      <t>+ 1.8296s + 5E-07</t>
    </r>
  </si>
  <si>
    <t>s=0 - 0.1</t>
  </si>
  <si>
    <t>s=0 - 1</t>
  </si>
  <si>
    <t>1.4833s + 0.005</t>
  </si>
  <si>
    <t>1.7226s + 0.005</t>
  </si>
  <si>
    <t>Pop_100</t>
  </si>
  <si>
    <t>0.6234s3 - 1.6703s2 + 1.841s + 0.005</t>
  </si>
  <si>
    <t>Time, for all the runs together: 12 sec</t>
  </si>
  <si>
    <t>Prob allele will fix</t>
  </si>
  <si>
    <t>Pop_10</t>
  </si>
  <si>
    <t>1.2376s + 0.05</t>
  </si>
  <si>
    <t>0.9057s + 0.05</t>
  </si>
  <si>
    <t>-0.658s2 + 1.3839s + 0.05</t>
  </si>
  <si>
    <t>Prob fix
(Simul.)</t>
  </si>
  <si>
    <t>Prob fix
(Kimura)</t>
  </si>
  <si>
    <t>Kimura/
Simul.</t>
  </si>
  <si>
    <t>N=100, Attempts=10,000</t>
  </si>
  <si>
    <t>Reps=20</t>
  </si>
  <si>
    <t>N=10,000, Attempts=1,000,000</t>
  </si>
  <si>
    <t>N=1,000,000, Attempts=10,000,000</t>
  </si>
  <si>
    <t>Selectivity Coeff. (s)</t>
  </si>
  <si>
    <t>Prob fix - St dev</t>
  </si>
  <si>
    <t>Prob fix + St dev</t>
  </si>
  <si>
    <t>Kimura</t>
  </si>
  <si>
    <t>Kimura +/- within 1 St. dev Prof fix</t>
  </si>
  <si>
    <t>Prop  fix (Kimura)/
Prop  fix (Simul)</t>
  </si>
  <si>
    <t>Kimura +/- within 1 St. dev Prob fix</t>
  </si>
  <si>
    <t>Probability of inheriting the new allele</t>
  </si>
  <si>
    <t>N = 1,000</t>
  </si>
  <si>
    <t>N = 100,000</t>
  </si>
  <si>
    <t>N = 1,000,000</t>
  </si>
  <si>
    <t>Selectivity coeff. (s)</t>
  </si>
  <si>
    <t>Generations</t>
  </si>
  <si>
    <t>St dev
fixing</t>
  </si>
  <si>
    <t>Prob
fixing</t>
  </si>
  <si>
    <t>St dev
Gener.</t>
  </si>
  <si>
    <t>Effect of Attempts on the prob and generations for fixing and st. dev.</t>
  </si>
  <si>
    <t>N = 10, attempts = 1000</t>
  </si>
  <si>
    <t>N = 100, attempts = 10,000</t>
  </si>
  <si>
    <t>N = 1000, attempts = 100,000</t>
  </si>
  <si>
    <t>N = 10,000, attempts = 1,000,000</t>
  </si>
  <si>
    <t>N = 100,000, attempts = 10,000,000</t>
  </si>
  <si>
    <t>N = 1,000,000, attempts = 10,000,000</t>
  </si>
  <si>
    <t>Simplified
Kimura</t>
  </si>
  <si>
    <t>Red: s = 1/(10N) where probability of fixing  and generations are essentially neutral</t>
  </si>
  <si>
    <t>When s &lt;= 1/10N the prob of fixing and generations are essentially the same as for s = 0.</t>
  </si>
  <si>
    <t>s=1</t>
  </si>
  <si>
    <r>
      <t>s=10</t>
    </r>
    <r>
      <rPr>
        <b/>
        <vertAlign val="superscript"/>
        <sz val="12"/>
        <color theme="1"/>
        <rFont val="Calibri"/>
        <family val="2"/>
      </rPr>
      <t>‒1</t>
    </r>
  </si>
  <si>
    <r>
      <t>s=10</t>
    </r>
    <r>
      <rPr>
        <b/>
        <vertAlign val="superscript"/>
        <sz val="12"/>
        <color theme="1"/>
        <rFont val="Calibri"/>
        <family val="2"/>
      </rPr>
      <t>‒</t>
    </r>
    <r>
      <rPr>
        <b/>
        <vertAlign val="superscript"/>
        <sz val="12"/>
        <color theme="1"/>
        <rFont val="Calibri"/>
        <family val="2"/>
        <scheme val="minor"/>
      </rPr>
      <t>2</t>
    </r>
  </si>
  <si>
    <r>
      <t>s=10</t>
    </r>
    <r>
      <rPr>
        <b/>
        <vertAlign val="superscript"/>
        <sz val="12"/>
        <color theme="1"/>
        <rFont val="Calibri"/>
        <family val="2"/>
      </rPr>
      <t>‒</t>
    </r>
    <r>
      <rPr>
        <b/>
        <vertAlign val="superscript"/>
        <sz val="12"/>
        <color theme="1"/>
        <rFont val="Calibri"/>
        <family val="2"/>
        <scheme val="minor"/>
      </rPr>
      <t>3</t>
    </r>
  </si>
  <si>
    <r>
      <t>s=10</t>
    </r>
    <r>
      <rPr>
        <b/>
        <vertAlign val="superscript"/>
        <sz val="12"/>
        <color theme="1"/>
        <rFont val="Calibri"/>
        <family val="2"/>
      </rPr>
      <t>‒4</t>
    </r>
  </si>
  <si>
    <r>
      <t>s=10</t>
    </r>
    <r>
      <rPr>
        <b/>
        <vertAlign val="superscript"/>
        <sz val="12"/>
        <color theme="1"/>
        <rFont val="Calibri"/>
        <family val="2"/>
      </rPr>
      <t>‒5</t>
    </r>
  </si>
  <si>
    <r>
      <t>s=10</t>
    </r>
    <r>
      <rPr>
        <b/>
        <vertAlign val="superscript"/>
        <sz val="12"/>
        <color theme="1"/>
        <rFont val="Calibri"/>
        <family val="2"/>
      </rPr>
      <t>‒6</t>
    </r>
  </si>
  <si>
    <r>
      <t>s=10</t>
    </r>
    <r>
      <rPr>
        <b/>
        <vertAlign val="superscript"/>
        <sz val="12"/>
        <color theme="1"/>
        <rFont val="Calibri"/>
        <family val="2"/>
      </rPr>
      <t>‒7</t>
    </r>
  </si>
  <si>
    <t>s=0</t>
  </si>
  <si>
    <t>Generations to fix as a function of N and s</t>
  </si>
  <si>
    <t>Probability of fixation predicted by the simulation program and Kimura's equation.</t>
  </si>
  <si>
    <t>Prop  fix (Kimura)/
Prop  fix (Sim)</t>
  </si>
  <si>
    <t>Time, for all the runs together: 400 sec</t>
  </si>
  <si>
    <t>1/2N:</t>
  </si>
  <si>
    <t>The Prob. are so small that 100,000 attemps x 20 repetitions are unlikely to obtain 1 fix e.g. when -s &lt; -0.005</t>
  </si>
  <si>
    <t>The Prob. are so small that 100 k attemps x 20 repetitions are unlikely to obtain 1 fix e.g. when -s &lt;= -0.0005</t>
  </si>
  <si>
    <t>The Prob. are so small that 1 million attemps x 20 repetitions are unlikely to obtain 1 fix e.g. when -s &lt; -0.0001</t>
  </si>
  <si>
    <t>Run # 1</t>
  </si>
  <si>
    <t>Run # 2</t>
  </si>
  <si>
    <t>N = 10; Attempt = 10,000,000</t>
  </si>
  <si>
    <t>N = 10,000; Attempt = 1,000,000</t>
  </si>
  <si>
    <t>Gener.</t>
  </si>
  <si>
    <t>4392 secs</t>
  </si>
  <si>
    <r>
      <t>P</t>
    </r>
    <r>
      <rPr>
        <vertAlign val="subscript"/>
        <sz val="11"/>
        <color theme="1"/>
        <rFont val="Calibri"/>
        <family val="2"/>
        <scheme val="minor"/>
      </rPr>
      <t>init</t>
    </r>
  </si>
  <si>
    <t>N = 10; 2 = 0.1; Attempts = 10,000</t>
  </si>
  <si>
    <t>N = 100; s = 0.1; Attempts = 100,000</t>
  </si>
  <si>
    <t>Prob fixing</t>
  </si>
  <si>
    <t>N=10</t>
  </si>
  <si>
    <t>N=100</t>
  </si>
  <si>
    <r>
      <t xml:space="preserve">Copies of allele </t>
    </r>
    <r>
      <rPr>
        <i/>
        <sz val="11"/>
        <color theme="1"/>
        <rFont val="Calibri"/>
        <family val="2"/>
        <scheme val="minor"/>
      </rPr>
      <t>A</t>
    </r>
  </si>
  <si>
    <r>
      <t>1 ‒ e</t>
    </r>
    <r>
      <rPr>
        <vertAlign val="superscript"/>
        <sz val="12"/>
        <color rgb="FF000000"/>
        <rFont val="Times New Roman"/>
        <family val="1"/>
      </rPr>
      <t>‒2s</t>
    </r>
  </si>
  <si>
    <t>When s is small but s &gt;&gt;0</t>
  </si>
  <si>
    <t>% Diff</t>
  </si>
  <si>
    <t>Gener</t>
  </si>
  <si>
    <t>σ</t>
  </si>
  <si>
    <t>2.15N</t>
  </si>
  <si>
    <t>% diff</t>
  </si>
  <si>
    <t>Average:</t>
  </si>
  <si>
    <t>s = 0</t>
  </si>
  <si>
    <t>4N</t>
  </si>
  <si>
    <t>σ Generations</t>
  </si>
  <si>
    <t>Analysis of probability a new allele will fix and the number of generations needed.</t>
  </si>
  <si>
    <t>Sheet "Pop" refer the N, the population isze. For example, Pop_1k means N = 1000</t>
  </si>
  <si>
    <r>
      <t>p</t>
    </r>
    <r>
      <rPr>
        <vertAlign val="subscript"/>
        <sz val="12"/>
        <color theme="1"/>
        <rFont val="Times New Roman"/>
        <family val="1"/>
      </rPr>
      <t>t</t>
    </r>
  </si>
  <si>
    <r>
      <t>homoz =
p</t>
    </r>
    <r>
      <rPr>
        <vertAlign val="subscript"/>
        <sz val="12"/>
        <color theme="1"/>
        <rFont val="Times New Roman"/>
        <family val="1"/>
      </rPr>
      <t>t</t>
    </r>
    <r>
      <rPr>
        <vertAlign val="superscript"/>
        <sz val="12"/>
        <color theme="1"/>
        <rFont val="Times New Roman"/>
        <family val="1"/>
      </rPr>
      <t>2</t>
    </r>
  </si>
  <si>
    <r>
      <t>heteroz =
2p</t>
    </r>
    <r>
      <rPr>
        <vertAlign val="subscript"/>
        <sz val="12"/>
        <color theme="1"/>
        <rFont val="Times New Roman"/>
        <family val="1"/>
      </rPr>
      <t>t</t>
    </r>
    <r>
      <rPr>
        <sz val="12"/>
        <color theme="1"/>
        <rFont val="Times New Roman"/>
        <family val="1"/>
      </rPr>
      <t>(1.0 - p</t>
    </r>
    <r>
      <rPr>
        <vertAlign val="subscript"/>
        <sz val="12"/>
        <color theme="1"/>
        <rFont val="Times New Roman"/>
        <family val="1"/>
      </rPr>
      <t>t</t>
    </r>
    <r>
      <rPr>
        <sz val="12"/>
        <color theme="1"/>
        <rFont val="Times New Roman"/>
        <family val="1"/>
      </rPr>
      <t>)</t>
    </r>
  </si>
  <si>
    <r>
      <rPr>
        <i/>
        <sz val="12"/>
        <color theme="1"/>
        <rFont val="Times New Roman"/>
        <family val="1"/>
      </rPr>
      <t>p</t>
    </r>
    <r>
      <rPr>
        <sz val="12"/>
        <color theme="1"/>
        <rFont val="Times New Roman"/>
        <family val="1"/>
      </rPr>
      <t xml:space="preserve"> = homoz + 0.5 * heteroz</t>
    </r>
  </si>
  <si>
    <t>(Sim-generations)</t>
  </si>
  <si>
    <t>St. dev. allele fix</t>
  </si>
  <si>
    <t>St. dev. gen to fix</t>
  </si>
  <si>
    <t>(s_A)</t>
  </si>
  <si>
    <t>Sim</t>
  </si>
  <si>
    <t>p0 = 1.0 / (2 * N)</t>
  </si>
  <si>
    <t>p0 = 0.5</t>
  </si>
  <si>
    <t>Compare prob of fixing for the two algorithms that treat discrete generations differently with Kimura's equation.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</si>
</sst>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00000"/>
    <numFmt numFmtId="165" formatCode="0.0"/>
    <numFmt numFmtId="166" formatCode="0.00000"/>
    <numFmt numFmtId="167" formatCode="0.000E+00"/>
    <numFmt numFmtId="168" formatCode="0.E+00"/>
    <numFmt numFmtId="169" formatCode="0.0000000"/>
    <numFmt numFmtId="170" formatCode="0.000000E+00"/>
    <numFmt numFmtId="171" formatCode="0.0000"/>
    <numFmt numFmtId="172" formatCode="0.000"/>
    <numFmt numFmtId="173" formatCode="#,##0.0000"/>
    <numFmt numFmtId="174" formatCode="#,##0.00000"/>
    <numFmt numFmtId="175" formatCode="#,##0.000000"/>
    <numFmt numFmtId="176" formatCode="0.0E+00"/>
    <numFmt numFmtId="177" formatCode="#,##0.0"/>
    <numFmt numFmtId="178" formatCode="#,##0.0000000"/>
    <numFmt numFmtId="179" formatCode="0.0%"/>
  </numFmts>
  <fonts count="2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vertAlign val="subscript"/>
      <sz val="11"/>
      <color theme="1"/>
      <name val="Calibri"/>
      <family val="2"/>
      <scheme val="minor"/>
    </font>
    <font>
      <sz val="12"/>
      <color theme="1"/>
      <name val="Times New Roman"/>
      <family val="1"/>
    </font>
    <font>
      <vertAlign val="superscript"/>
      <sz val="12"/>
      <color theme="1"/>
      <name val="Times New Roman"/>
      <family val="1"/>
    </font>
    <font>
      <vertAlign val="superscript"/>
      <sz val="11"/>
      <color theme="1"/>
      <name val="Calibri"/>
      <family val="2"/>
      <scheme val="minor"/>
    </font>
    <font>
      <sz val="12"/>
      <color theme="1"/>
      <name val="Calibri"/>
      <family val="2"/>
      <scheme val="minor"/>
    </font>
    <font>
      <b/>
      <sz val="12"/>
      <color theme="1"/>
      <name val="Calibri"/>
      <family val="2"/>
      <scheme val="minor"/>
    </font>
    <font>
      <sz val="12"/>
      <color theme="1"/>
      <name val="Segoe UI"/>
      <family val="2"/>
    </font>
    <font>
      <sz val="9"/>
      <color rgb="FF000000"/>
      <name val="Calibri"/>
      <family val="2"/>
    </font>
    <font>
      <sz val="9"/>
      <color theme="1"/>
      <name val="Calibri"/>
      <family val="2"/>
      <scheme val="minor"/>
    </font>
    <font>
      <b/>
      <sz val="12"/>
      <color rgb="FFFF0000"/>
      <name val="Times New Roman"/>
      <family val="1"/>
    </font>
    <font>
      <sz val="14"/>
      <color theme="1"/>
      <name val="Calibri"/>
      <family val="2"/>
      <scheme val="minor"/>
    </font>
    <font>
      <b/>
      <sz val="12"/>
      <color rgb="FFFF0000"/>
      <name val="Calibri"/>
      <family val="2"/>
      <scheme val="minor"/>
    </font>
    <font>
      <sz val="11"/>
      <name val="Calibri"/>
      <family val="2"/>
      <scheme val="minor"/>
    </font>
    <font>
      <b/>
      <vertAlign val="superscript"/>
      <sz val="12"/>
      <color theme="1"/>
      <name val="Calibri"/>
      <family val="2"/>
    </font>
    <font>
      <b/>
      <vertAlign val="superscript"/>
      <sz val="12"/>
      <color theme="1"/>
      <name val="Calibri"/>
      <family val="2"/>
      <scheme val="minor"/>
    </font>
    <font>
      <sz val="10.5"/>
      <color rgb="FF595959"/>
      <name val="Calibri"/>
      <family val="2"/>
      <scheme val="minor"/>
    </font>
    <font>
      <b/>
      <sz val="14"/>
      <color theme="1"/>
      <name val="Calibri"/>
      <family val="2"/>
      <scheme val="minor"/>
    </font>
    <font>
      <i/>
      <sz val="11"/>
      <color theme="1"/>
      <name val="Calibri"/>
      <family val="2"/>
      <scheme val="minor"/>
    </font>
    <font>
      <sz val="12"/>
      <color rgb="FF000000"/>
      <name val="Times New Roman"/>
      <family val="1"/>
    </font>
    <font>
      <vertAlign val="superscript"/>
      <sz val="12"/>
      <color rgb="FF000000"/>
      <name val="Times New Roman"/>
      <family val="1"/>
    </font>
    <font>
      <vertAlign val="subscript"/>
      <sz val="12"/>
      <color theme="1"/>
      <name val="Times New Roman"/>
      <family val="1"/>
    </font>
    <font>
      <i/>
      <sz val="12"/>
      <color theme="1"/>
      <name val="Times New Roman"/>
      <family val="1"/>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theme="7"/>
        <bgColor indexed="64"/>
      </patternFill>
    </fill>
    <fill>
      <patternFill patternType="solid">
        <fgColor rgb="FF92D050"/>
        <bgColor indexed="64"/>
      </patternFill>
    </fill>
    <fill>
      <patternFill patternType="solid">
        <fgColor theme="2"/>
        <bgColor indexed="64"/>
      </patternFill>
    </fill>
    <fill>
      <patternFill patternType="solid">
        <fgColor rgb="FFFFFFFF"/>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9900"/>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164" fontId="0" fillId="0" borderId="0" xfId="0" applyNumberFormat="1"/>
    <xf numFmtId="1" fontId="0" fillId="0" borderId="0" xfId="0" applyNumberFormat="1" applyAlignment="1">
      <alignment horizontal="center"/>
    </xf>
    <xf numFmtId="166" fontId="0" fillId="0" borderId="0" xfId="0" applyNumberFormat="1"/>
    <xf numFmtId="165" fontId="0" fillId="0" borderId="1" xfId="0" applyNumberFormat="1" applyBorder="1"/>
    <xf numFmtId="0" fontId="0" fillId="0" borderId="0" xfId="0" applyAlignment="1">
      <alignment horizontal="left"/>
    </xf>
    <xf numFmtId="3" fontId="0" fillId="0" borderId="0" xfId="0" applyNumberFormat="1" applyAlignment="1">
      <alignment horizontal="center"/>
    </xf>
    <xf numFmtId="3" fontId="0" fillId="0" borderId="0" xfId="0" applyNumberFormat="1"/>
    <xf numFmtId="0" fontId="0" fillId="0" borderId="1" xfId="0" applyBorder="1" applyAlignment="1">
      <alignment horizontal="center" wrapText="1"/>
    </xf>
    <xf numFmtId="0" fontId="0" fillId="0" borderId="1" xfId="0" applyBorder="1" applyAlignment="1">
      <alignment wrapText="1"/>
    </xf>
    <xf numFmtId="165" fontId="0" fillId="0" borderId="0" xfId="0" applyNumberFormat="1" applyAlignment="1">
      <alignment horizontal="center"/>
    </xf>
    <xf numFmtId="0" fontId="1" fillId="0" borderId="0" xfId="0" applyFont="1"/>
    <xf numFmtId="165" fontId="0" fillId="0" borderId="0" xfId="0" applyNumberFormat="1"/>
    <xf numFmtId="1" fontId="0" fillId="0" borderId="1" xfId="0" applyNumberFormat="1" applyBorder="1" applyAlignment="1">
      <alignment horizontal="center" wrapText="1"/>
    </xf>
    <xf numFmtId="167" fontId="0" fillId="0" borderId="0" xfId="0" applyNumberFormat="1"/>
    <xf numFmtId="166" fontId="0" fillId="0" borderId="0" xfId="0" applyNumberFormat="1" applyAlignment="1">
      <alignment horizontal="center"/>
    </xf>
    <xf numFmtId="0" fontId="0" fillId="0" borderId="1" xfId="0" applyBorder="1" applyAlignment="1">
      <alignment horizontal="center"/>
    </xf>
    <xf numFmtId="167" fontId="0" fillId="0" borderId="1" xfId="0" applyNumberFormat="1" applyBorder="1" applyAlignment="1">
      <alignment wrapText="1"/>
    </xf>
    <xf numFmtId="167" fontId="0" fillId="0" borderId="1" xfId="0" applyNumberFormat="1" applyBorder="1"/>
    <xf numFmtId="166" fontId="0" fillId="0" borderId="1" xfId="0" applyNumberFormat="1" applyBorder="1" applyAlignment="1">
      <alignment horizontal="center" wrapText="1"/>
    </xf>
    <xf numFmtId="166"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wrapText="1"/>
    </xf>
    <xf numFmtId="165" fontId="0" fillId="0" borderId="1" xfId="0" applyNumberFormat="1" applyBorder="1" applyAlignment="1">
      <alignment horizontal="center" wrapText="1"/>
    </xf>
    <xf numFmtId="165" fontId="0" fillId="0" borderId="1" xfId="0" applyNumberFormat="1" applyBorder="1" applyAlignment="1">
      <alignment horizontal="center"/>
    </xf>
    <xf numFmtId="164" fontId="0" fillId="0" borderId="1" xfId="0" applyNumberFormat="1" applyBorder="1" applyAlignment="1">
      <alignment horizontal="center" wrapText="1"/>
    </xf>
    <xf numFmtId="166" fontId="0" fillId="3" borderId="0" xfId="0" applyNumberFormat="1" applyFill="1" applyAlignment="1">
      <alignment horizontal="center"/>
    </xf>
    <xf numFmtId="1" fontId="0" fillId="3" borderId="0" xfId="0" applyNumberFormat="1" applyFill="1" applyAlignment="1">
      <alignment horizontal="center"/>
    </xf>
    <xf numFmtId="169" fontId="0" fillId="0" borderId="0" xfId="0" applyNumberFormat="1"/>
    <xf numFmtId="169" fontId="0" fillId="3" borderId="0" xfId="0" applyNumberFormat="1" applyFill="1"/>
    <xf numFmtId="3" fontId="0" fillId="0" borderId="1" xfId="0" applyNumberFormat="1" applyBorder="1" applyAlignment="1">
      <alignment horizontal="center" wrapText="1"/>
    </xf>
    <xf numFmtId="3" fontId="0" fillId="0" borderId="1" xfId="0" applyNumberFormat="1" applyBorder="1" applyAlignment="1">
      <alignment horizontal="center"/>
    </xf>
    <xf numFmtId="0" fontId="1" fillId="0" borderId="1" xfId="0" applyFont="1" applyBorder="1" applyAlignment="1">
      <alignment horizontal="center"/>
    </xf>
    <xf numFmtId="166" fontId="0" fillId="2" borderId="1" xfId="0" applyNumberFormat="1" applyFill="1" applyBorder="1" applyAlignment="1">
      <alignment horizontal="center"/>
    </xf>
    <xf numFmtId="0" fontId="0" fillId="3" borderId="0" xfId="0" applyFill="1" applyAlignment="1">
      <alignment horizontal="center"/>
    </xf>
    <xf numFmtId="0" fontId="0" fillId="3" borderId="0" xfId="0" applyFill="1" applyAlignment="1">
      <alignment horizontal="right"/>
    </xf>
    <xf numFmtId="3" fontId="0" fillId="3" borderId="0" xfId="0" applyNumberFormat="1" applyFill="1" applyAlignment="1">
      <alignment horizontal="center"/>
    </xf>
    <xf numFmtId="0" fontId="1" fillId="0" borderId="1" xfId="0" applyFont="1" applyBorder="1" applyAlignment="1">
      <alignment horizontal="center" wrapText="1"/>
    </xf>
    <xf numFmtId="165" fontId="1" fillId="0" borderId="1" xfId="0" applyNumberFormat="1" applyFont="1" applyBorder="1" applyAlignment="1">
      <alignment horizontal="center"/>
    </xf>
    <xf numFmtId="170" fontId="0" fillId="0" borderId="0" xfId="0" applyNumberFormat="1"/>
    <xf numFmtId="170" fontId="0" fillId="3" borderId="0" xfId="0" applyNumberFormat="1" applyFill="1"/>
    <xf numFmtId="0" fontId="0" fillId="3" borderId="0" xfId="0" applyFill="1" applyAlignment="1">
      <alignment horizontal="left"/>
    </xf>
    <xf numFmtId="0" fontId="0" fillId="3" borderId="0" xfId="0" applyFill="1"/>
    <xf numFmtId="11" fontId="0" fillId="0" borderId="0" xfId="0" applyNumberFormat="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wrapText="1"/>
    </xf>
    <xf numFmtId="3" fontId="0" fillId="3" borderId="0" xfId="0" applyNumberFormat="1" applyFill="1" applyAlignment="1">
      <alignment horizontal="center" wrapText="1"/>
    </xf>
    <xf numFmtId="166" fontId="0" fillId="3" borderId="0" xfId="0" applyNumberFormat="1" applyFill="1" applyAlignment="1">
      <alignment horizontal="center" wrapText="1"/>
    </xf>
    <xf numFmtId="169" fontId="0" fillId="3" borderId="0" xfId="0" applyNumberFormat="1" applyFill="1" applyAlignment="1">
      <alignment wrapText="1"/>
    </xf>
    <xf numFmtId="1" fontId="0" fillId="3" borderId="0" xfId="0" applyNumberFormat="1" applyFill="1" applyAlignment="1">
      <alignment horizontal="center" wrapText="1"/>
    </xf>
    <xf numFmtId="166" fontId="0" fillId="3" borderId="1" xfId="0" applyNumberFormat="1" applyFill="1" applyBorder="1" applyAlignment="1">
      <alignment horizontal="center"/>
    </xf>
    <xf numFmtId="169" fontId="0" fillId="0" borderId="1" xfId="0" applyNumberFormat="1" applyBorder="1" applyAlignment="1">
      <alignment wrapText="1"/>
    </xf>
    <xf numFmtId="3" fontId="0" fillId="4" borderId="0" xfId="0" applyNumberFormat="1" applyFill="1" applyAlignment="1">
      <alignment horizontal="center"/>
    </xf>
    <xf numFmtId="3" fontId="0" fillId="0" borderId="0" xfId="0" applyNumberFormat="1" applyAlignment="1">
      <alignment horizontal="right"/>
    </xf>
    <xf numFmtId="0" fontId="0" fillId="0" borderId="0" xfId="0" applyAlignment="1">
      <alignment horizontal="right"/>
    </xf>
    <xf numFmtId="164" fontId="0" fillId="3" borderId="1" xfId="0" applyNumberFormat="1" applyFill="1" applyBorder="1" applyAlignment="1">
      <alignment horizontal="center"/>
    </xf>
    <xf numFmtId="164" fontId="0" fillId="3" borderId="0" xfId="0" applyNumberFormat="1" applyFill="1" applyAlignment="1">
      <alignment horizontal="center"/>
    </xf>
    <xf numFmtId="3" fontId="0" fillId="0" borderId="0" xfId="0" quotePrefix="1" applyNumberFormat="1"/>
    <xf numFmtId="1" fontId="0" fillId="0" borderId="0" xfId="0" applyNumberFormat="1"/>
    <xf numFmtId="0" fontId="2" fillId="0" borderId="0" xfId="0" applyFont="1" applyAlignment="1">
      <alignment horizontal="right"/>
    </xf>
    <xf numFmtId="11" fontId="0" fillId="0" borderId="0" xfId="0" applyNumberFormat="1"/>
    <xf numFmtId="166" fontId="0" fillId="0" borderId="1" xfId="0" applyNumberFormat="1" applyBorder="1" applyAlignment="1">
      <alignment wrapText="1"/>
    </xf>
    <xf numFmtId="1" fontId="0" fillId="0" borderId="0" xfId="0" applyNumberFormat="1" applyAlignment="1">
      <alignment horizontal="right"/>
    </xf>
    <xf numFmtId="1" fontId="0" fillId="0" borderId="1" xfId="0" applyNumberFormat="1" applyBorder="1" applyAlignment="1">
      <alignment horizontal="right" wrapText="1"/>
    </xf>
    <xf numFmtId="0" fontId="1" fillId="0" borderId="0" xfId="0" applyFont="1" applyAlignment="1">
      <alignment horizontal="center"/>
    </xf>
    <xf numFmtId="166" fontId="0" fillId="0" borderId="0" xfId="0" applyNumberFormat="1" applyAlignment="1">
      <alignment horizontal="right"/>
    </xf>
    <xf numFmtId="164" fontId="0" fillId="0" borderId="0" xfId="0" applyNumberFormat="1" applyAlignment="1">
      <alignment horizontal="center"/>
    </xf>
    <xf numFmtId="3" fontId="3" fillId="0" borderId="0" xfId="0" applyNumberFormat="1" applyFont="1" applyAlignment="1">
      <alignment horizontal="center"/>
    </xf>
    <xf numFmtId="164" fontId="0" fillId="0" borderId="0" xfId="0" applyNumberFormat="1" applyAlignment="1">
      <alignment horizontal="right"/>
    </xf>
    <xf numFmtId="164" fontId="0" fillId="2" borderId="0" xfId="0" applyNumberFormat="1" applyFill="1" applyAlignment="1">
      <alignment horizontal="center"/>
    </xf>
    <xf numFmtId="3" fontId="0" fillId="0" borderId="0" xfId="0" applyNumberFormat="1" applyAlignment="1">
      <alignment horizontal="center" wrapText="1"/>
    </xf>
    <xf numFmtId="166" fontId="0" fillId="0" borderId="0" xfId="0" applyNumberFormat="1" applyAlignment="1">
      <alignment horizontal="center" wrapText="1"/>
    </xf>
    <xf numFmtId="1" fontId="0" fillId="0" borderId="0" xfId="0" applyNumberFormat="1" applyAlignment="1">
      <alignment horizontal="center" wrapText="1"/>
    </xf>
    <xf numFmtId="171" fontId="0" fillId="0" borderId="0" xfId="0" applyNumberFormat="1" applyAlignment="1">
      <alignment horizontal="center"/>
    </xf>
    <xf numFmtId="168" fontId="0" fillId="0" borderId="0" xfId="0" applyNumberFormat="1"/>
    <xf numFmtId="0" fontId="0" fillId="0" borderId="0" xfId="0" applyAlignment="1">
      <alignment horizontal="right" wrapText="1"/>
    </xf>
    <xf numFmtId="0" fontId="3" fillId="0" borderId="0" xfId="0" applyFont="1" applyAlignment="1">
      <alignment horizontal="right" wrapText="1"/>
    </xf>
    <xf numFmtId="166" fontId="3" fillId="0" borderId="0" xfId="0" applyNumberFormat="1" applyFont="1" applyAlignment="1">
      <alignment horizontal="center" wrapText="1"/>
    </xf>
    <xf numFmtId="166" fontId="3" fillId="0" borderId="0" xfId="0" applyNumberFormat="1" applyFont="1" applyAlignment="1">
      <alignment horizontal="center"/>
    </xf>
    <xf numFmtId="0" fontId="3" fillId="0" borderId="0" xfId="0" applyFont="1"/>
    <xf numFmtId="168" fontId="3" fillId="0" borderId="0" xfId="0" applyNumberFormat="1" applyFont="1"/>
    <xf numFmtId="164" fontId="3" fillId="0" borderId="0" xfId="0" applyNumberFormat="1" applyFont="1" applyAlignment="1">
      <alignment horizontal="center"/>
    </xf>
    <xf numFmtId="166" fontId="2" fillId="0" borderId="0" xfId="0" applyNumberFormat="1" applyFont="1" applyAlignment="1">
      <alignment horizontal="center"/>
    </xf>
    <xf numFmtId="168" fontId="2" fillId="0" borderId="0" xfId="0" applyNumberFormat="1" applyFont="1"/>
    <xf numFmtId="2" fontId="0" fillId="0" borderId="0" xfId="0" applyNumberFormat="1" applyAlignment="1">
      <alignment horizontal="center"/>
    </xf>
    <xf numFmtId="171" fontId="0" fillId="5" borderId="0" xfId="0" applyNumberFormat="1" applyFill="1" applyAlignment="1">
      <alignment horizontal="center"/>
    </xf>
    <xf numFmtId="0" fontId="0" fillId="5" borderId="0" xfId="0" applyFill="1"/>
    <xf numFmtId="172" fontId="0" fillId="0" borderId="0" xfId="0" applyNumberFormat="1" applyAlignment="1">
      <alignment horizontal="center"/>
    </xf>
    <xf numFmtId="166" fontId="0" fillId="5" borderId="0" xfId="0" applyNumberFormat="1" applyFill="1" applyAlignment="1">
      <alignment horizontal="center"/>
    </xf>
    <xf numFmtId="166" fontId="0" fillId="5" borderId="0" xfId="0" applyNumberFormat="1" applyFill="1"/>
    <xf numFmtId="166" fontId="0" fillId="3" borderId="0" xfId="0" applyNumberFormat="1" applyFill="1"/>
    <xf numFmtId="0" fontId="0" fillId="5" borderId="0" xfId="0" applyFill="1" applyAlignment="1">
      <alignment horizontal="center"/>
    </xf>
    <xf numFmtId="171" fontId="0" fillId="3" borderId="0" xfId="0" applyNumberFormat="1" applyFill="1" applyAlignment="1">
      <alignment horizontal="center"/>
    </xf>
    <xf numFmtId="164" fontId="0" fillId="5" borderId="0" xfId="0" applyNumberFormat="1" applyFill="1" applyAlignment="1">
      <alignment horizontal="center"/>
    </xf>
    <xf numFmtId="169" fontId="0" fillId="5" borderId="0" xfId="0" applyNumberFormat="1" applyFill="1"/>
    <xf numFmtId="171" fontId="0" fillId="0" borderId="1" xfId="0" applyNumberFormat="1" applyBorder="1" applyAlignment="1">
      <alignment horizontal="center" wrapText="1"/>
    </xf>
    <xf numFmtId="171" fontId="0" fillId="0" borderId="0" xfId="0" applyNumberFormat="1"/>
    <xf numFmtId="1" fontId="0" fillId="3" borderId="0" xfId="0" applyNumberFormat="1" applyFill="1"/>
    <xf numFmtId="0" fontId="5" fillId="0" borderId="0" xfId="0" applyFont="1"/>
    <xf numFmtId="0" fontId="5" fillId="0" borderId="0" xfId="0" applyFont="1" applyAlignment="1">
      <alignment horizontal="right" wrapText="1"/>
    </xf>
    <xf numFmtId="20" fontId="5" fillId="0" borderId="0" xfId="0" quotePrefix="1" applyNumberFormat="1" applyFont="1" applyAlignment="1">
      <alignment horizontal="right"/>
    </xf>
    <xf numFmtId="0" fontId="2" fillId="0" borderId="1" xfId="0" applyFont="1" applyBorder="1" applyAlignment="1">
      <alignment horizontal="center"/>
    </xf>
    <xf numFmtId="0" fontId="0" fillId="0" borderId="1" xfId="0" applyBorder="1"/>
    <xf numFmtId="0" fontId="0" fillId="0" borderId="1" xfId="0" quotePrefix="1" applyBorder="1"/>
    <xf numFmtId="3" fontId="2" fillId="0" borderId="1" xfId="0" applyNumberFormat="1" applyFont="1" applyBorder="1" applyAlignment="1">
      <alignment horizontal="center"/>
    </xf>
    <xf numFmtId="0" fontId="8" fillId="0" borderId="0" xfId="0" applyFont="1"/>
    <xf numFmtId="0" fontId="8" fillId="0" borderId="0" xfId="0" applyFont="1" applyAlignment="1">
      <alignment wrapText="1"/>
    </xf>
    <xf numFmtId="0" fontId="10" fillId="0" borderId="0" xfId="0" applyFont="1"/>
    <xf numFmtId="173" fontId="0" fillId="0" borderId="0" xfId="0" applyNumberFormat="1"/>
    <xf numFmtId="173" fontId="0" fillId="0" borderId="1" xfId="0" applyNumberFormat="1" applyBorder="1" applyAlignment="1">
      <alignment horizontal="center" wrapText="1"/>
    </xf>
    <xf numFmtId="173" fontId="0" fillId="2" borderId="1" xfId="0" applyNumberFormat="1" applyFill="1" applyBorder="1" applyAlignment="1">
      <alignment horizontal="center"/>
    </xf>
    <xf numFmtId="174" fontId="0" fillId="0" borderId="0" xfId="0" applyNumberFormat="1"/>
    <xf numFmtId="174" fontId="0" fillId="0" borderId="1" xfId="0" applyNumberFormat="1" applyBorder="1" applyAlignment="1">
      <alignment horizontal="center" wrapText="1"/>
    </xf>
    <xf numFmtId="3" fontId="0" fillId="0" borderId="1" xfId="0" applyNumberFormat="1" applyBorder="1"/>
    <xf numFmtId="166" fontId="0" fillId="0" borderId="1" xfId="0" applyNumberFormat="1" applyBorder="1"/>
    <xf numFmtId="0" fontId="0" fillId="3" borderId="1" xfId="0" applyFill="1" applyBorder="1"/>
    <xf numFmtId="171" fontId="0" fillId="3" borderId="1" xfId="0" applyNumberFormat="1" applyFill="1" applyBorder="1"/>
    <xf numFmtId="171" fontId="0" fillId="3" borderId="1" xfId="0" applyNumberFormat="1" applyFill="1" applyBorder="1" applyAlignment="1">
      <alignment horizontal="center" wrapText="1"/>
    </xf>
    <xf numFmtId="171" fontId="0" fillId="3" borderId="1" xfId="0" applyNumberFormat="1" applyFill="1" applyBorder="1" applyAlignment="1">
      <alignment horizontal="center"/>
    </xf>
    <xf numFmtId="171" fontId="0" fillId="3" borderId="0" xfId="0" applyNumberFormat="1" applyFill="1"/>
    <xf numFmtId="3" fontId="0" fillId="4" borderId="1" xfId="0" applyNumberFormat="1" applyFill="1" applyBorder="1" applyAlignment="1">
      <alignment horizontal="center"/>
    </xf>
    <xf numFmtId="169" fontId="0" fillId="0" borderId="1" xfId="0" applyNumberFormat="1" applyBorder="1"/>
    <xf numFmtId="171" fontId="0" fillId="3" borderId="0" xfId="0" applyNumberFormat="1" applyFill="1" applyAlignment="1">
      <alignment horizontal="center" wrapText="1"/>
    </xf>
    <xf numFmtId="171" fontId="0" fillId="3" borderId="0" xfId="0" applyNumberFormat="1" applyFill="1" applyAlignment="1">
      <alignment horizontal="right"/>
    </xf>
    <xf numFmtId="3" fontId="0" fillId="0" borderId="1" xfId="0" applyNumberFormat="1" applyBorder="1" applyAlignment="1">
      <alignment wrapText="1"/>
    </xf>
    <xf numFmtId="174" fontId="0" fillId="0" borderId="1" xfId="0" applyNumberFormat="1" applyBorder="1"/>
    <xf numFmtId="0" fontId="0" fillId="7" borderId="1" xfId="0" applyFill="1" applyBorder="1"/>
    <xf numFmtId="0" fontId="0" fillId="7" borderId="1" xfId="0" applyFill="1" applyBorder="1" applyAlignment="1">
      <alignment horizontal="center"/>
    </xf>
    <xf numFmtId="174" fontId="0" fillId="7" borderId="1" xfId="0" applyNumberFormat="1" applyFill="1" applyBorder="1"/>
    <xf numFmtId="171" fontId="0" fillId="7" borderId="1" xfId="0" applyNumberFormat="1" applyFill="1" applyBorder="1" applyAlignment="1">
      <alignment horizontal="center"/>
    </xf>
    <xf numFmtId="166" fontId="0" fillId="7" borderId="1" xfId="0" applyNumberFormat="1" applyFill="1" applyBorder="1" applyAlignment="1">
      <alignment horizontal="center"/>
    </xf>
    <xf numFmtId="164" fontId="0" fillId="7" borderId="1" xfId="0" applyNumberFormat="1" applyFill="1" applyBorder="1" applyAlignment="1">
      <alignment horizontal="center"/>
    </xf>
    <xf numFmtId="169" fontId="0" fillId="7" borderId="1" xfId="0" applyNumberFormat="1" applyFill="1" applyBorder="1" applyAlignment="1">
      <alignment horizontal="center"/>
    </xf>
    <xf numFmtId="0" fontId="0" fillId="3" borderId="1" xfId="0" applyFill="1" applyBorder="1" applyAlignment="1">
      <alignment horizontal="center"/>
    </xf>
    <xf numFmtId="2" fontId="0" fillId="7" borderId="1" xfId="0" applyNumberFormat="1" applyFill="1" applyBorder="1" applyAlignment="1">
      <alignment horizontal="center"/>
    </xf>
    <xf numFmtId="172" fontId="0" fillId="0" borderId="1" xfId="0" applyNumberFormat="1" applyBorder="1" applyAlignment="1">
      <alignment horizontal="center"/>
    </xf>
    <xf numFmtId="172" fontId="0" fillId="3" borderId="1" xfId="0" applyNumberFormat="1" applyFill="1" applyBorder="1" applyAlignment="1">
      <alignment horizontal="center"/>
    </xf>
    <xf numFmtId="172" fontId="0" fillId="7" borderId="1" xfId="0" applyNumberFormat="1" applyFill="1" applyBorder="1" applyAlignment="1">
      <alignment horizontal="center"/>
    </xf>
    <xf numFmtId="171" fontId="0" fillId="0" borderId="1" xfId="0" applyNumberFormat="1" applyBorder="1"/>
    <xf numFmtId="171" fontId="0" fillId="7" borderId="1" xfId="0" applyNumberFormat="1" applyFill="1" applyBorder="1"/>
    <xf numFmtId="166" fontId="0" fillId="7" borderId="1" xfId="0" applyNumberFormat="1" applyFill="1" applyBorder="1"/>
    <xf numFmtId="164" fontId="0" fillId="7" borderId="1" xfId="0" applyNumberFormat="1" applyFill="1" applyBorder="1"/>
    <xf numFmtId="169" fontId="0" fillId="7" borderId="1" xfId="0" applyNumberFormat="1" applyFill="1" applyBorder="1"/>
    <xf numFmtId="0" fontId="11" fillId="8" borderId="3" xfId="0" applyFont="1" applyFill="1" applyBorder="1" applyAlignment="1">
      <alignment horizontal="center" wrapText="1" readingOrder="1"/>
    </xf>
    <xf numFmtId="0" fontId="11" fillId="8" borderId="2" xfId="0" applyFont="1" applyFill="1" applyBorder="1" applyAlignment="1">
      <alignment horizontal="center" wrapText="1" readingOrder="1"/>
    </xf>
    <xf numFmtId="0" fontId="11" fillId="8" borderId="1" xfId="0" applyFont="1" applyFill="1" applyBorder="1" applyAlignment="1">
      <alignment horizontal="center" wrapText="1" readingOrder="1"/>
    </xf>
    <xf numFmtId="172" fontId="0" fillId="3" borderId="0" xfId="0" applyNumberFormat="1" applyFill="1"/>
    <xf numFmtId="172" fontId="0" fillId="3" borderId="1" xfId="0" applyNumberFormat="1" applyFill="1" applyBorder="1" applyAlignment="1">
      <alignment horizontal="center" wrapText="1"/>
    </xf>
    <xf numFmtId="164" fontId="0" fillId="3" borderId="0" xfId="0" applyNumberFormat="1" applyFill="1"/>
    <xf numFmtId="0" fontId="0" fillId="0" borderId="4" xfId="0" applyBorder="1" applyAlignment="1">
      <alignment horizontal="center" wrapText="1"/>
    </xf>
    <xf numFmtId="1" fontId="0" fillId="0" borderId="4" xfId="0" applyNumberFormat="1" applyBorder="1" applyAlignment="1">
      <alignment horizontal="center" wrapText="1"/>
    </xf>
    <xf numFmtId="3" fontId="0" fillId="0" borderId="4" xfId="0" applyNumberFormat="1" applyBorder="1" applyAlignment="1">
      <alignment horizontal="center" wrapText="1"/>
    </xf>
    <xf numFmtId="166" fontId="0" fillId="0" borderId="4" xfId="0" applyNumberFormat="1" applyBorder="1" applyAlignment="1">
      <alignment horizontal="center" wrapText="1"/>
    </xf>
    <xf numFmtId="171" fontId="0" fillId="3" borderId="4" xfId="0" applyNumberFormat="1" applyFill="1" applyBorder="1" applyAlignment="1">
      <alignment horizontal="center" wrapText="1"/>
    </xf>
    <xf numFmtId="164" fontId="1" fillId="0" borderId="0" xfId="0" applyNumberFormat="1" applyFont="1" applyAlignment="1">
      <alignment horizontal="center"/>
    </xf>
    <xf numFmtId="166" fontId="0" fillId="7" borderId="0" xfId="0" applyNumberFormat="1" applyFill="1" applyAlignment="1">
      <alignment horizontal="center"/>
    </xf>
    <xf numFmtId="0" fontId="0" fillId="7" borderId="0" xfId="0" applyFill="1"/>
    <xf numFmtId="166" fontId="0" fillId="3" borderId="1" xfId="0" applyNumberFormat="1" applyFill="1" applyBorder="1"/>
    <xf numFmtId="171" fontId="12" fillId="3" borderId="0" xfId="0" applyNumberFormat="1" applyFont="1" applyFill="1" applyAlignment="1">
      <alignment horizontal="center" wrapText="1"/>
    </xf>
    <xf numFmtId="171" fontId="12" fillId="3" borderId="1" xfId="0" applyNumberFormat="1" applyFont="1" applyFill="1" applyBorder="1" applyAlignment="1">
      <alignment horizontal="center" wrapText="1"/>
    </xf>
    <xf numFmtId="166" fontId="0" fillId="3" borderId="1" xfId="0" applyNumberFormat="1" applyFill="1" applyBorder="1" applyAlignment="1">
      <alignment horizontal="center" wrapText="1"/>
    </xf>
    <xf numFmtId="3" fontId="0" fillId="7" borderId="1" xfId="0" applyNumberFormat="1" applyFill="1" applyBorder="1" applyAlignment="1">
      <alignment horizontal="center"/>
    </xf>
    <xf numFmtId="1" fontId="0" fillId="7" borderId="1" xfId="0" applyNumberFormat="1" applyFill="1" applyBorder="1" applyAlignment="1">
      <alignment horizontal="center"/>
    </xf>
    <xf numFmtId="11" fontId="0" fillId="7" borderId="1" xfId="0" applyNumberFormat="1" applyFill="1" applyBorder="1" applyAlignment="1">
      <alignment horizontal="center"/>
    </xf>
    <xf numFmtId="0" fontId="0" fillId="7" borderId="0" xfId="0" applyFill="1" applyAlignment="1">
      <alignment horizontal="center"/>
    </xf>
    <xf numFmtId="3" fontId="0" fillId="7" borderId="0" xfId="0" applyNumberFormat="1" applyFill="1" applyAlignment="1">
      <alignment horizontal="center"/>
    </xf>
    <xf numFmtId="1" fontId="0" fillId="7" borderId="0" xfId="0" applyNumberFormat="1" applyFill="1" applyAlignment="1">
      <alignment horizontal="center"/>
    </xf>
    <xf numFmtId="169" fontId="0" fillId="7" borderId="0" xfId="0" applyNumberFormat="1" applyFill="1"/>
    <xf numFmtId="11" fontId="0" fillId="7" borderId="0" xfId="0" applyNumberFormat="1" applyFill="1" applyAlignment="1">
      <alignment horizontal="center"/>
    </xf>
    <xf numFmtId="164" fontId="0" fillId="2" borderId="4" xfId="0" applyNumberFormat="1" applyFill="1" applyBorder="1" applyAlignment="1">
      <alignment horizontal="center" wrapText="1"/>
    </xf>
    <xf numFmtId="166" fontId="0" fillId="7" borderId="0" xfId="0" applyNumberFormat="1" applyFill="1"/>
    <xf numFmtId="168" fontId="0" fillId="7" borderId="0" xfId="0" applyNumberFormat="1" applyFill="1" applyAlignment="1">
      <alignment horizontal="center"/>
    </xf>
    <xf numFmtId="168" fontId="0" fillId="7" borderId="1" xfId="0" applyNumberFormat="1" applyFill="1" applyBorder="1" applyAlignment="1">
      <alignment horizontal="center"/>
    </xf>
    <xf numFmtId="3" fontId="0" fillId="7" borderId="0" xfId="0" applyNumberFormat="1" applyFill="1"/>
    <xf numFmtId="3" fontId="0" fillId="7" borderId="1" xfId="0" applyNumberFormat="1" applyFill="1" applyBorder="1"/>
    <xf numFmtId="175" fontId="0" fillId="7" borderId="1" xfId="0" applyNumberFormat="1" applyFill="1" applyBorder="1"/>
    <xf numFmtId="176" fontId="0" fillId="7" borderId="1" xfId="0" applyNumberFormat="1" applyFill="1" applyBorder="1"/>
    <xf numFmtId="173" fontId="0" fillId="7" borderId="1" xfId="0" applyNumberFormat="1" applyFill="1" applyBorder="1" applyAlignment="1">
      <alignment horizontal="center"/>
    </xf>
    <xf numFmtId="1" fontId="0" fillId="0" borderId="1" xfId="0" applyNumberFormat="1" applyBorder="1"/>
    <xf numFmtId="1" fontId="0" fillId="7" borderId="1" xfId="0" applyNumberFormat="1" applyFill="1" applyBorder="1"/>
    <xf numFmtId="173" fontId="0" fillId="0" borderId="0" xfId="0" applyNumberFormat="1" applyAlignment="1">
      <alignment horizontal="center"/>
    </xf>
    <xf numFmtId="174" fontId="0" fillId="2" borderId="1" xfId="0" applyNumberFormat="1" applyFill="1" applyBorder="1" applyAlignment="1">
      <alignment horizontal="center"/>
    </xf>
    <xf numFmtId="174" fontId="0" fillId="7" borderId="1" xfId="0" applyNumberFormat="1" applyFill="1" applyBorder="1" applyAlignment="1">
      <alignment horizontal="center"/>
    </xf>
    <xf numFmtId="175" fontId="0" fillId="7" borderId="1" xfId="0" applyNumberFormat="1" applyFill="1" applyBorder="1" applyAlignment="1">
      <alignment horizontal="center"/>
    </xf>
    <xf numFmtId="176" fontId="0" fillId="7" borderId="1" xfId="0" applyNumberFormat="1" applyFill="1" applyBorder="1" applyAlignment="1">
      <alignment horizontal="center"/>
    </xf>
    <xf numFmtId="0" fontId="13" fillId="0" borderId="0" xfId="0" applyFont="1" applyAlignment="1">
      <alignment horizontal="left"/>
    </xf>
    <xf numFmtId="0" fontId="5" fillId="0" borderId="1" xfId="0" applyFont="1" applyBorder="1" applyAlignment="1">
      <alignment horizontal="center"/>
    </xf>
    <xf numFmtId="164" fontId="5" fillId="0" borderId="0" xfId="0" applyNumberFormat="1" applyFont="1" applyAlignment="1">
      <alignment horizontal="left"/>
    </xf>
    <xf numFmtId="164" fontId="5" fillId="0" borderId="1" xfId="0" applyNumberFormat="1" applyFont="1" applyBorder="1" applyAlignment="1">
      <alignment horizontal="center"/>
    </xf>
    <xf numFmtId="164" fontId="5" fillId="0" borderId="0" xfId="0" applyNumberFormat="1" applyFont="1" applyAlignment="1">
      <alignment horizontal="center"/>
    </xf>
    <xf numFmtId="164" fontId="5" fillId="0" borderId="0" xfId="0" applyNumberFormat="1" applyFont="1"/>
    <xf numFmtId="164" fontId="5" fillId="0" borderId="1" xfId="0" applyNumberFormat="1" applyFont="1" applyBorder="1" applyAlignment="1">
      <alignment horizontal="center" wrapText="1"/>
    </xf>
    <xf numFmtId="0" fontId="0" fillId="0" borderId="0" xfId="0" applyAlignment="1">
      <alignment vertical="center"/>
    </xf>
    <xf numFmtId="3" fontId="0" fillId="0" borderId="0" xfId="0" applyNumberFormat="1" applyAlignment="1">
      <alignment vertical="center"/>
    </xf>
    <xf numFmtId="0" fontId="0" fillId="0" borderId="5" xfId="0" applyBorder="1"/>
    <xf numFmtId="171" fontId="0" fillId="0" borderId="5" xfId="0" applyNumberFormat="1" applyBorder="1"/>
    <xf numFmtId="0" fontId="0" fillId="0" borderId="8" xfId="0" applyBorder="1"/>
    <xf numFmtId="0" fontId="0" fillId="3" borderId="5" xfId="0" applyFill="1" applyBorder="1" applyAlignment="1">
      <alignment horizontal="center"/>
    </xf>
    <xf numFmtId="171" fontId="0" fillId="3" borderId="5" xfId="0" applyNumberFormat="1" applyFill="1" applyBorder="1"/>
    <xf numFmtId="0" fontId="0" fillId="3" borderId="8" xfId="0" applyFill="1" applyBorder="1" applyAlignment="1">
      <alignment horizontal="center"/>
    </xf>
    <xf numFmtId="0" fontId="0" fillId="0" borderId="8" xfId="0" applyBorder="1" applyAlignment="1">
      <alignment horizontal="center"/>
    </xf>
    <xf numFmtId="166" fontId="0" fillId="0" borderId="8" xfId="0" applyNumberFormat="1" applyBorder="1"/>
    <xf numFmtId="166" fontId="0" fillId="3" borderId="8" xfId="0" applyNumberFormat="1" applyFill="1" applyBorder="1"/>
    <xf numFmtId="0" fontId="2" fillId="0" borderId="0" xfId="0" applyFont="1"/>
    <xf numFmtId="0" fontId="2" fillId="3" borderId="0" xfId="0" applyFont="1" applyFill="1" applyAlignment="1">
      <alignment horizontal="center"/>
    </xf>
    <xf numFmtId="164" fontId="0" fillId="0" borderId="8" xfId="0" applyNumberFormat="1" applyBorder="1"/>
    <xf numFmtId="164" fontId="0" fillId="3" borderId="8" xfId="0" applyNumberFormat="1" applyFill="1" applyBorder="1"/>
    <xf numFmtId="166" fontId="0" fillId="3" borderId="5" xfId="0" applyNumberFormat="1" applyFill="1" applyBorder="1"/>
    <xf numFmtId="166" fontId="0" fillId="0" borderId="5" xfId="0" applyNumberFormat="1" applyBorder="1"/>
    <xf numFmtId="177" fontId="0" fillId="0" borderId="0" xfId="0" applyNumberFormat="1"/>
    <xf numFmtId="177" fontId="0" fillId="0" borderId="1" xfId="0" applyNumberFormat="1" applyBorder="1" applyAlignment="1">
      <alignment horizontal="center" wrapText="1"/>
    </xf>
    <xf numFmtId="177" fontId="1" fillId="0" borderId="0" xfId="0" applyNumberFormat="1" applyFont="1" applyAlignment="1">
      <alignment horizontal="center"/>
    </xf>
    <xf numFmtId="3" fontId="0" fillId="0" borderId="5" xfId="0" applyNumberFormat="1" applyBorder="1" applyAlignment="1">
      <alignment horizontal="right"/>
    </xf>
    <xf numFmtId="3" fontId="0" fillId="0" borderId="8" xfId="0" applyNumberFormat="1" applyBorder="1" applyAlignment="1">
      <alignment horizontal="right"/>
    </xf>
    <xf numFmtId="3" fontId="1" fillId="0" borderId="0" xfId="0" applyNumberFormat="1" applyFont="1" applyAlignment="1">
      <alignment horizontal="right"/>
    </xf>
    <xf numFmtId="3" fontId="0" fillId="3" borderId="5" xfId="0" applyNumberFormat="1" applyFill="1" applyBorder="1" applyAlignment="1">
      <alignment horizontal="right"/>
    </xf>
    <xf numFmtId="3" fontId="0" fillId="3" borderId="0" xfId="0" applyNumberFormat="1" applyFill="1" applyAlignment="1">
      <alignment horizontal="right"/>
    </xf>
    <xf numFmtId="3" fontId="0" fillId="3" borderId="8" xfId="0" applyNumberFormat="1" applyFill="1" applyBorder="1" applyAlignment="1">
      <alignment horizontal="right"/>
    </xf>
    <xf numFmtId="3" fontId="1" fillId="3" borderId="0" xfId="0" applyNumberFormat="1" applyFont="1" applyFill="1" applyAlignment="1">
      <alignment horizontal="right"/>
    </xf>
    <xf numFmtId="166" fontId="9" fillId="0" borderId="0" xfId="0" applyNumberFormat="1" applyFont="1"/>
    <xf numFmtId="3" fontId="9" fillId="0" borderId="0" xfId="0" applyNumberFormat="1" applyFont="1" applyAlignment="1">
      <alignment horizontal="right"/>
    </xf>
    <xf numFmtId="0" fontId="9" fillId="3" borderId="0" xfId="0" applyFont="1" applyFill="1" applyAlignment="1">
      <alignment horizontal="center"/>
    </xf>
    <xf numFmtId="171" fontId="9" fillId="3" borderId="0" xfId="0" applyNumberFormat="1" applyFont="1" applyFill="1"/>
    <xf numFmtId="3" fontId="9" fillId="3" borderId="0" xfId="0" applyNumberFormat="1" applyFont="1" applyFill="1" applyAlignment="1">
      <alignment horizontal="right"/>
    </xf>
    <xf numFmtId="169" fontId="0" fillId="0" borderId="1" xfId="0" applyNumberFormat="1" applyBorder="1" applyAlignment="1">
      <alignment horizontal="center" wrapText="1"/>
    </xf>
    <xf numFmtId="3" fontId="0" fillId="0" borderId="6" xfId="0" applyNumberFormat="1" applyBorder="1"/>
    <xf numFmtId="3" fontId="0" fillId="0" borderId="7" xfId="0" applyNumberFormat="1" applyBorder="1"/>
    <xf numFmtId="3" fontId="0" fillId="0" borderId="9" xfId="0" applyNumberFormat="1" applyBorder="1"/>
    <xf numFmtId="3" fontId="0" fillId="0" borderId="7" xfId="0" applyNumberFormat="1" applyBorder="1" applyAlignment="1">
      <alignment horizontal="right"/>
    </xf>
    <xf numFmtId="3" fontId="0" fillId="0" borderId="9" xfId="0" applyNumberFormat="1" applyBorder="1" applyAlignment="1">
      <alignment horizontal="right"/>
    </xf>
    <xf numFmtId="3" fontId="1" fillId="7" borderId="1" xfId="0" applyNumberFormat="1" applyFont="1" applyFill="1" applyBorder="1" applyAlignment="1">
      <alignment horizontal="center"/>
    </xf>
    <xf numFmtId="178" fontId="0" fillId="0" borderId="0" xfId="0" applyNumberFormat="1"/>
    <xf numFmtId="165" fontId="0" fillId="7" borderId="1" xfId="0" applyNumberFormat="1" applyFill="1" applyBorder="1" applyAlignment="1">
      <alignment horizontal="center"/>
    </xf>
    <xf numFmtId="1" fontId="15" fillId="7" borderId="1" xfId="0" applyNumberFormat="1" applyFont="1" applyFill="1" applyBorder="1" applyAlignment="1">
      <alignment horizontal="center"/>
    </xf>
    <xf numFmtId="166" fontId="15" fillId="7" borderId="1" xfId="0" applyNumberFormat="1" applyFont="1" applyFill="1" applyBorder="1" applyAlignment="1">
      <alignment horizontal="center"/>
    </xf>
    <xf numFmtId="1" fontId="16" fillId="0" borderId="1" xfId="0" applyNumberFormat="1" applyFont="1" applyBorder="1" applyAlignment="1">
      <alignment horizontal="center"/>
    </xf>
    <xf numFmtId="166" fontId="15" fillId="7" borderId="1" xfId="0" applyNumberFormat="1" applyFont="1" applyFill="1" applyBorder="1"/>
    <xf numFmtId="0" fontId="2" fillId="7" borderId="1" xfId="0" applyFont="1" applyFill="1" applyBorder="1" applyAlignment="1">
      <alignment horizontal="center"/>
    </xf>
    <xf numFmtId="0" fontId="15" fillId="7" borderId="1" xfId="0" applyFont="1" applyFill="1" applyBorder="1" applyAlignment="1">
      <alignment horizontal="center"/>
    </xf>
    <xf numFmtId="3" fontId="15" fillId="7" borderId="1" xfId="0" applyNumberFormat="1" applyFont="1" applyFill="1" applyBorder="1" applyAlignment="1">
      <alignment horizontal="center"/>
    </xf>
    <xf numFmtId="176" fontId="15" fillId="7" borderId="1" xfId="0" applyNumberFormat="1" applyFont="1" applyFill="1" applyBorder="1" applyAlignment="1">
      <alignment horizontal="center"/>
    </xf>
    <xf numFmtId="0" fontId="15" fillId="7" borderId="1" xfId="0" applyFont="1" applyFill="1" applyBorder="1"/>
    <xf numFmtId="0" fontId="3" fillId="0" borderId="1" xfId="0" applyFont="1" applyBorder="1"/>
    <xf numFmtId="3" fontId="15" fillId="0" borderId="1" xfId="0" applyNumberFormat="1" applyFont="1" applyBorder="1" applyAlignment="1">
      <alignment horizontal="center"/>
    </xf>
    <xf numFmtId="176" fontId="15" fillId="0" borderId="1" xfId="0" applyNumberFormat="1" applyFont="1" applyBorder="1" applyAlignment="1">
      <alignment horizontal="center"/>
    </xf>
    <xf numFmtId="3" fontId="8" fillId="7" borderId="1" xfId="0" applyNumberFormat="1" applyFont="1" applyFill="1" applyBorder="1" applyAlignment="1">
      <alignment horizontal="center"/>
    </xf>
    <xf numFmtId="3" fontId="0" fillId="3" borderId="1" xfId="0" applyNumberFormat="1" applyFill="1" applyBorder="1" applyAlignment="1">
      <alignment horizontal="center"/>
    </xf>
    <xf numFmtId="1" fontId="0" fillId="3" borderId="1" xfId="0" applyNumberFormat="1" applyFill="1" applyBorder="1" applyAlignment="1">
      <alignment horizontal="center"/>
    </xf>
    <xf numFmtId="176" fontId="0" fillId="3" borderId="1" xfId="0" applyNumberFormat="1" applyFill="1" applyBorder="1" applyAlignment="1">
      <alignment horizontal="center"/>
    </xf>
    <xf numFmtId="3" fontId="0" fillId="3" borderId="1" xfId="0" applyNumberFormat="1" applyFill="1" applyBorder="1"/>
    <xf numFmtId="3" fontId="0" fillId="0" borderId="8" xfId="0" applyNumberFormat="1" applyBorder="1"/>
    <xf numFmtId="3" fontId="0" fillId="0" borderId="5" xfId="0" applyNumberFormat="1" applyBorder="1"/>
    <xf numFmtId="3" fontId="0" fillId="3" borderId="0" xfId="0" applyNumberFormat="1" applyFill="1"/>
    <xf numFmtId="166" fontId="0" fillId="0" borderId="1" xfId="0" applyNumberFormat="1" applyBorder="1" applyAlignment="1">
      <alignment horizontal="right" wrapText="1"/>
    </xf>
    <xf numFmtId="171" fontId="0" fillId="7" borderId="11" xfId="0" applyNumberFormat="1" applyFill="1" applyBorder="1" applyAlignment="1">
      <alignment horizontal="center"/>
    </xf>
    <xf numFmtId="171" fontId="0" fillId="7" borderId="13" xfId="0" applyNumberFormat="1" applyFill="1" applyBorder="1" applyAlignment="1">
      <alignment horizontal="center"/>
    </xf>
    <xf numFmtId="166" fontId="0" fillId="3" borderId="12" xfId="0" applyNumberFormat="1" applyFill="1" applyBorder="1" applyAlignment="1">
      <alignment horizontal="center"/>
    </xf>
    <xf numFmtId="166" fontId="1" fillId="0" borderId="0" xfId="0" applyNumberFormat="1" applyFont="1"/>
    <xf numFmtId="166" fontId="1" fillId="0" borderId="0" xfId="0" applyNumberFormat="1" applyFont="1" applyAlignment="1">
      <alignment vertical="top"/>
    </xf>
    <xf numFmtId="3" fontId="0" fillId="0" borderId="0" xfId="0" applyNumberFormat="1" applyAlignment="1">
      <alignment horizontal="center" vertical="top"/>
    </xf>
    <xf numFmtId="0" fontId="0" fillId="0" borderId="0" xfId="0" applyAlignment="1">
      <alignment horizontal="center" vertical="top"/>
    </xf>
    <xf numFmtId="3" fontId="0" fillId="0" borderId="0" xfId="0" quotePrefix="1" applyNumberFormat="1" applyAlignment="1">
      <alignment vertical="top"/>
    </xf>
    <xf numFmtId="0" fontId="0" fillId="0" borderId="0" xfId="0" applyAlignment="1">
      <alignment vertical="top"/>
    </xf>
    <xf numFmtId="3" fontId="0" fillId="0" borderId="0" xfId="0" applyNumberFormat="1" applyAlignment="1">
      <alignment vertical="top"/>
    </xf>
    <xf numFmtId="1" fontId="0" fillId="0" borderId="0" xfId="0" applyNumberFormat="1" applyAlignment="1">
      <alignment vertical="top"/>
    </xf>
    <xf numFmtId="173" fontId="0" fillId="0" borderId="0" xfId="0" applyNumberFormat="1" applyAlignment="1">
      <alignment horizontal="center" vertical="top"/>
    </xf>
    <xf numFmtId="173" fontId="0" fillId="0" borderId="0" xfId="0" applyNumberFormat="1" applyAlignment="1">
      <alignment vertical="top"/>
    </xf>
    <xf numFmtId="171" fontId="0" fillId="3" borderId="0" xfId="0" applyNumberFormat="1" applyFill="1" applyAlignment="1">
      <alignment horizontal="center" vertical="top"/>
    </xf>
    <xf numFmtId="175" fontId="15" fillId="7" borderId="1" xfId="0" applyNumberFormat="1" applyFont="1" applyFill="1" applyBorder="1"/>
    <xf numFmtId="3" fontId="15" fillId="7" borderId="1" xfId="0" applyNumberFormat="1" applyFont="1" applyFill="1" applyBorder="1"/>
    <xf numFmtId="1" fontId="2" fillId="3" borderId="1" xfId="0" applyNumberFormat="1" applyFont="1" applyFill="1" applyBorder="1" applyAlignment="1">
      <alignment horizontal="center" wrapText="1"/>
    </xf>
    <xf numFmtId="0" fontId="8" fillId="3" borderId="1" xfId="0" applyFont="1" applyFill="1" applyBorder="1" applyAlignment="1">
      <alignment horizontal="center"/>
    </xf>
    <xf numFmtId="3" fontId="8" fillId="3" borderId="1" xfId="0" applyNumberFormat="1" applyFont="1" applyFill="1" applyBorder="1" applyAlignment="1">
      <alignment horizontal="center"/>
    </xf>
    <xf numFmtId="169" fontId="0" fillId="3" borderId="0" xfId="0" applyNumberFormat="1" applyFill="1" applyAlignment="1">
      <alignment horizontal="right"/>
    </xf>
    <xf numFmtId="169" fontId="2" fillId="3" borderId="1" xfId="0" applyNumberFormat="1" applyFont="1" applyFill="1" applyBorder="1" applyAlignment="1">
      <alignment horizontal="center" wrapText="1"/>
    </xf>
    <xf numFmtId="1" fontId="2" fillId="3" borderId="1" xfId="0" applyNumberFormat="1" applyFont="1" applyFill="1" applyBorder="1" applyAlignment="1">
      <alignment horizontal="right" wrapText="1"/>
    </xf>
    <xf numFmtId="1" fontId="8" fillId="3" borderId="1" xfId="0" applyNumberFormat="1" applyFont="1" applyFill="1" applyBorder="1" applyAlignment="1">
      <alignment horizontal="right"/>
    </xf>
    <xf numFmtId="3" fontId="8" fillId="3" borderId="1" xfId="0" applyNumberFormat="1" applyFont="1" applyFill="1" applyBorder="1" applyAlignment="1">
      <alignment horizontal="right"/>
    </xf>
    <xf numFmtId="3" fontId="0" fillId="3" borderId="1" xfId="0" applyNumberFormat="1" applyFill="1" applyBorder="1" applyAlignment="1">
      <alignment horizontal="right"/>
    </xf>
    <xf numFmtId="1" fontId="0" fillId="3" borderId="1" xfId="0" applyNumberFormat="1" applyFill="1" applyBorder="1" applyAlignment="1">
      <alignment horizontal="right"/>
    </xf>
    <xf numFmtId="0" fontId="0" fillId="2" borderId="1" xfId="0" applyFill="1" applyBorder="1" applyAlignment="1">
      <alignment horizontal="center"/>
    </xf>
    <xf numFmtId="1" fontId="0" fillId="2" borderId="1" xfId="0" applyNumberFormat="1" applyFill="1" applyBorder="1" applyAlignment="1">
      <alignment horizontal="right"/>
    </xf>
    <xf numFmtId="1" fontId="8" fillId="2" borderId="1" xfId="0" applyNumberFormat="1" applyFont="1" applyFill="1" applyBorder="1" applyAlignment="1">
      <alignment horizontal="right"/>
    </xf>
    <xf numFmtId="3" fontId="0" fillId="2" borderId="1" xfId="0" applyNumberFormat="1" applyFill="1" applyBorder="1" applyAlignment="1">
      <alignment horizontal="center"/>
    </xf>
    <xf numFmtId="3" fontId="0" fillId="2" borderId="1" xfId="0" applyNumberFormat="1" applyFill="1" applyBorder="1" applyAlignment="1">
      <alignment horizontal="right"/>
    </xf>
    <xf numFmtId="0" fontId="0" fillId="9" borderId="1" xfId="0" applyFill="1" applyBorder="1" applyAlignment="1">
      <alignment horizontal="center"/>
    </xf>
    <xf numFmtId="1" fontId="0" fillId="9" borderId="1" xfId="0" applyNumberFormat="1" applyFill="1" applyBorder="1" applyAlignment="1">
      <alignment horizontal="right"/>
    </xf>
    <xf numFmtId="1" fontId="8" fillId="9" borderId="1" xfId="0" applyNumberFormat="1" applyFont="1" applyFill="1" applyBorder="1" applyAlignment="1">
      <alignment horizontal="right"/>
    </xf>
    <xf numFmtId="3" fontId="0" fillId="9" borderId="1" xfId="0" applyNumberFormat="1" applyFill="1" applyBorder="1" applyAlignment="1">
      <alignment horizontal="center"/>
    </xf>
    <xf numFmtId="3" fontId="0" fillId="9" borderId="1" xfId="0" applyNumberFormat="1" applyFill="1" applyBorder="1" applyAlignment="1">
      <alignment horizontal="right"/>
    </xf>
    <xf numFmtId="3" fontId="8" fillId="9" borderId="1" xfId="0" applyNumberFormat="1" applyFont="1" applyFill="1" applyBorder="1" applyAlignment="1">
      <alignment horizontal="right"/>
    </xf>
    <xf numFmtId="0" fontId="0" fillId="10" borderId="1" xfId="0" applyFill="1" applyBorder="1" applyAlignment="1">
      <alignment horizontal="center"/>
    </xf>
    <xf numFmtId="1" fontId="8" fillId="10" borderId="1" xfId="0" applyNumberFormat="1" applyFont="1" applyFill="1" applyBorder="1" applyAlignment="1">
      <alignment horizontal="right"/>
    </xf>
    <xf numFmtId="1" fontId="0" fillId="10" borderId="1" xfId="0" applyNumberFormat="1" applyFill="1" applyBorder="1" applyAlignment="1">
      <alignment horizontal="right"/>
    </xf>
    <xf numFmtId="3" fontId="0" fillId="10" borderId="1" xfId="0" applyNumberFormat="1" applyFill="1" applyBorder="1" applyAlignment="1">
      <alignment horizontal="center"/>
    </xf>
    <xf numFmtId="3" fontId="0" fillId="10" borderId="1" xfId="0" applyNumberFormat="1" applyFill="1" applyBorder="1" applyAlignment="1">
      <alignment horizontal="right"/>
    </xf>
    <xf numFmtId="0" fontId="0" fillId="11" borderId="1" xfId="0" applyFill="1" applyBorder="1" applyAlignment="1">
      <alignment horizontal="center"/>
    </xf>
    <xf numFmtId="1" fontId="0" fillId="11" borderId="1" xfId="0" applyNumberFormat="1" applyFill="1" applyBorder="1" applyAlignment="1">
      <alignment horizontal="right"/>
    </xf>
    <xf numFmtId="3" fontId="0" fillId="11" borderId="1" xfId="0" applyNumberFormat="1" applyFill="1" applyBorder="1" applyAlignment="1">
      <alignment horizontal="center"/>
    </xf>
    <xf numFmtId="3" fontId="0" fillId="11" borderId="1" xfId="0" applyNumberFormat="1" applyFill="1" applyBorder="1" applyAlignment="1">
      <alignment horizontal="right"/>
    </xf>
    <xf numFmtId="3" fontId="8" fillId="11" borderId="1" xfId="0" applyNumberFormat="1" applyFont="1" applyFill="1" applyBorder="1" applyAlignment="1">
      <alignment horizontal="right"/>
    </xf>
    <xf numFmtId="1" fontId="0" fillId="7" borderId="1" xfId="0" applyNumberFormat="1" applyFill="1" applyBorder="1" applyAlignment="1">
      <alignment horizontal="right"/>
    </xf>
    <xf numFmtId="3" fontId="8" fillId="7" borderId="1" xfId="0" applyNumberFormat="1" applyFont="1" applyFill="1" applyBorder="1" applyAlignment="1">
      <alignment horizontal="right"/>
    </xf>
    <xf numFmtId="3" fontId="0" fillId="7" borderId="1" xfId="0" applyNumberFormat="1" applyFill="1" applyBorder="1" applyAlignment="1">
      <alignment horizontal="right"/>
    </xf>
    <xf numFmtId="0" fontId="0" fillId="12" borderId="1" xfId="0" applyFill="1" applyBorder="1" applyAlignment="1">
      <alignment horizontal="center"/>
    </xf>
    <xf numFmtId="1" fontId="0" fillId="12" borderId="1" xfId="0" applyNumberFormat="1" applyFill="1" applyBorder="1" applyAlignment="1">
      <alignment horizontal="right"/>
    </xf>
    <xf numFmtId="3" fontId="0" fillId="12" borderId="1" xfId="0" applyNumberFormat="1" applyFill="1" applyBorder="1" applyAlignment="1">
      <alignment horizontal="center"/>
    </xf>
    <xf numFmtId="3" fontId="0" fillId="12" borderId="1" xfId="0" applyNumberFormat="1" applyFill="1" applyBorder="1" applyAlignment="1">
      <alignment horizontal="right"/>
    </xf>
    <xf numFmtId="1" fontId="0" fillId="3" borderId="0" xfId="0" applyNumberFormat="1" applyFill="1" applyAlignment="1">
      <alignment horizontal="right"/>
    </xf>
    <xf numFmtId="1" fontId="8" fillId="3" borderId="0" xfId="0" applyNumberFormat="1" applyFont="1" applyFill="1" applyAlignment="1">
      <alignment horizontal="right"/>
    </xf>
    <xf numFmtId="0" fontId="0" fillId="13" borderId="1" xfId="0" applyFill="1" applyBorder="1" applyAlignment="1">
      <alignment horizontal="center"/>
    </xf>
    <xf numFmtId="1" fontId="0" fillId="13" borderId="1" xfId="0" applyNumberFormat="1" applyFill="1" applyBorder="1" applyAlignment="1">
      <alignment horizontal="right"/>
    </xf>
    <xf numFmtId="3" fontId="0" fillId="13" borderId="1" xfId="0" applyNumberFormat="1" applyFill="1" applyBorder="1" applyAlignment="1">
      <alignment horizontal="center"/>
    </xf>
    <xf numFmtId="3" fontId="0" fillId="13" borderId="1" xfId="0" applyNumberFormat="1" applyFill="1" applyBorder="1" applyAlignment="1">
      <alignment horizontal="right"/>
    </xf>
    <xf numFmtId="3" fontId="8" fillId="13" borderId="1" xfId="0" applyNumberFormat="1" applyFont="1" applyFill="1" applyBorder="1" applyAlignment="1">
      <alignment horizontal="right"/>
    </xf>
    <xf numFmtId="165" fontId="0" fillId="14" borderId="1" xfId="0" applyNumberFormat="1" applyFill="1" applyBorder="1" applyAlignment="1">
      <alignment horizontal="right"/>
    </xf>
    <xf numFmtId="0" fontId="0" fillId="14" borderId="1" xfId="0" applyFill="1" applyBorder="1" applyAlignment="1">
      <alignment horizontal="center"/>
    </xf>
    <xf numFmtId="1" fontId="0" fillId="14" borderId="1" xfId="0" applyNumberFormat="1" applyFill="1" applyBorder="1" applyAlignment="1">
      <alignment horizontal="right"/>
    </xf>
    <xf numFmtId="1" fontId="0" fillId="14" borderId="1" xfId="0" applyNumberFormat="1" applyFill="1" applyBorder="1" applyAlignment="1">
      <alignment horizontal="right" wrapText="1"/>
    </xf>
    <xf numFmtId="3" fontId="0" fillId="14" borderId="1" xfId="0" applyNumberFormat="1" applyFill="1" applyBorder="1" applyAlignment="1">
      <alignment horizontal="center"/>
    </xf>
    <xf numFmtId="3" fontId="0" fillId="14" borderId="1" xfId="0" applyNumberFormat="1" applyFill="1" applyBorder="1" applyAlignment="1">
      <alignment horizontal="right" wrapText="1"/>
    </xf>
    <xf numFmtId="0" fontId="0" fillId="14" borderId="1" xfId="0" applyFill="1" applyBorder="1" applyAlignment="1">
      <alignment horizontal="right"/>
    </xf>
    <xf numFmtId="1" fontId="8" fillId="12" borderId="1" xfId="0" applyNumberFormat="1" applyFont="1" applyFill="1" applyBorder="1" applyAlignment="1">
      <alignment horizontal="right"/>
    </xf>
    <xf numFmtId="1" fontId="8" fillId="13" borderId="1" xfId="0" applyNumberFormat="1" applyFont="1" applyFill="1" applyBorder="1" applyAlignment="1">
      <alignment horizontal="right"/>
    </xf>
    <xf numFmtId="3" fontId="8" fillId="12" borderId="1" xfId="0" applyNumberFormat="1" applyFont="1" applyFill="1" applyBorder="1" applyAlignment="1">
      <alignment horizontal="right"/>
    </xf>
    <xf numFmtId="3" fontId="8" fillId="10" borderId="1" xfId="0" applyNumberFormat="1" applyFont="1" applyFill="1" applyBorder="1" applyAlignment="1">
      <alignment horizontal="right"/>
    </xf>
    <xf numFmtId="3" fontId="8" fillId="2" borderId="1" xfId="0" applyNumberFormat="1" applyFont="1" applyFill="1" applyBorder="1" applyAlignment="1">
      <alignment horizontal="right"/>
    </xf>
    <xf numFmtId="0" fontId="9" fillId="0" borderId="1" xfId="0" applyFont="1" applyBorder="1" applyAlignment="1">
      <alignment horizontal="center"/>
    </xf>
    <xf numFmtId="174" fontId="0" fillId="3" borderId="1" xfId="0" applyNumberFormat="1" applyFill="1" applyBorder="1" applyAlignment="1">
      <alignment horizontal="right" wrapText="1"/>
    </xf>
    <xf numFmtId="169" fontId="0" fillId="3" borderId="1" xfId="0" applyNumberFormat="1" applyFill="1" applyBorder="1" applyAlignment="1">
      <alignment wrapText="1"/>
    </xf>
    <xf numFmtId="3" fontId="0" fillId="3" borderId="1" xfId="0" applyNumberFormat="1" applyFill="1" applyBorder="1" applyAlignment="1">
      <alignment horizontal="right" wrapText="1"/>
    </xf>
    <xf numFmtId="169" fontId="0" fillId="0" borderId="0" xfId="0" applyNumberFormat="1" applyAlignment="1">
      <alignment wrapText="1"/>
    </xf>
    <xf numFmtId="176" fontId="0" fillId="13" borderId="1" xfId="0" applyNumberFormat="1" applyFill="1" applyBorder="1" applyAlignment="1">
      <alignment horizontal="right"/>
    </xf>
    <xf numFmtId="176" fontId="0" fillId="11" borderId="1" xfId="0" applyNumberFormat="1" applyFill="1" applyBorder="1" applyAlignment="1">
      <alignment horizontal="right"/>
    </xf>
    <xf numFmtId="176" fontId="0" fillId="7" borderId="1" xfId="0" applyNumberFormat="1" applyFill="1" applyBorder="1" applyAlignment="1">
      <alignment horizontal="right"/>
    </xf>
    <xf numFmtId="176" fontId="0" fillId="2" borderId="1" xfId="0" applyNumberFormat="1" applyFill="1" applyBorder="1" applyAlignment="1">
      <alignment horizontal="right"/>
    </xf>
    <xf numFmtId="176" fontId="0" fillId="9" borderId="1" xfId="0" applyNumberFormat="1" applyFill="1" applyBorder="1" applyAlignment="1">
      <alignment horizontal="right"/>
    </xf>
    <xf numFmtId="176" fontId="0" fillId="10" borderId="1" xfId="0" applyNumberFormat="1" applyFill="1" applyBorder="1" applyAlignment="1">
      <alignment horizontal="right"/>
    </xf>
    <xf numFmtId="176" fontId="0" fillId="12" borderId="1" xfId="0" applyNumberFormat="1" applyFill="1" applyBorder="1" applyAlignment="1">
      <alignment horizontal="right"/>
    </xf>
    <xf numFmtId="1" fontId="8" fillId="14" borderId="1" xfId="0" applyNumberFormat="1" applyFont="1" applyFill="1" applyBorder="1" applyAlignment="1">
      <alignment horizontal="center"/>
    </xf>
    <xf numFmtId="1" fontId="8" fillId="14" borderId="1" xfId="0" applyNumberFormat="1" applyFont="1" applyFill="1" applyBorder="1" applyAlignment="1">
      <alignment horizontal="center" wrapText="1"/>
    </xf>
    <xf numFmtId="3" fontId="8" fillId="14" borderId="1" xfId="0" applyNumberFormat="1" applyFont="1" applyFill="1" applyBorder="1" applyAlignment="1">
      <alignment horizontal="center" wrapText="1"/>
    </xf>
    <xf numFmtId="0" fontId="19" fillId="0" borderId="0" xfId="0" applyFont="1" applyAlignment="1">
      <alignment horizontal="left" vertical="center" readingOrder="1"/>
    </xf>
    <xf numFmtId="176" fontId="0" fillId="0" borderId="0" xfId="0" applyNumberFormat="1"/>
    <xf numFmtId="164" fontId="0" fillId="3" borderId="0" xfId="0" applyNumberFormat="1" applyFill="1" applyAlignment="1">
      <alignment horizontal="center" wrapText="1"/>
    </xf>
    <xf numFmtId="176" fontId="0" fillId="0" borderId="1" xfId="0" applyNumberFormat="1" applyBorder="1"/>
    <xf numFmtId="176" fontId="15" fillId="0" borderId="1" xfId="0" applyNumberFormat="1" applyFont="1" applyBorder="1"/>
    <xf numFmtId="1" fontId="3" fillId="0" borderId="1" xfId="0" applyNumberFormat="1" applyFont="1" applyBorder="1" applyAlignment="1">
      <alignment horizontal="center"/>
    </xf>
    <xf numFmtId="0" fontId="15" fillId="0" borderId="1" xfId="0" applyFont="1" applyBorder="1"/>
    <xf numFmtId="1" fontId="15" fillId="0" borderId="1" xfId="0" applyNumberFormat="1" applyFont="1" applyBorder="1" applyAlignment="1">
      <alignment horizontal="center"/>
    </xf>
    <xf numFmtId="164" fontId="0" fillId="0" borderId="1" xfId="0" applyNumberFormat="1" applyBorder="1" applyAlignment="1">
      <alignment horizontal="center"/>
    </xf>
    <xf numFmtId="176" fontId="0" fillId="3" borderId="1" xfId="0" applyNumberFormat="1" applyFill="1" applyBorder="1"/>
    <xf numFmtId="0" fontId="15" fillId="0" borderId="0" xfId="0" applyFont="1"/>
    <xf numFmtId="1" fontId="0" fillId="0" borderId="1" xfId="0" applyNumberFormat="1" applyBorder="1" applyAlignment="1">
      <alignment horizontal="right"/>
    </xf>
    <xf numFmtId="176" fontId="8" fillId="0" borderId="1" xfId="0" applyNumberFormat="1" applyFont="1" applyBorder="1"/>
    <xf numFmtId="11" fontId="15" fillId="0" borderId="1" xfId="0" applyNumberFormat="1" applyFont="1" applyBorder="1" applyAlignment="1">
      <alignment horizontal="center"/>
    </xf>
    <xf numFmtId="11" fontId="0" fillId="0" borderId="1" xfId="0" applyNumberFormat="1" applyBorder="1" applyAlignment="1">
      <alignment horizontal="center"/>
    </xf>
    <xf numFmtId="1" fontId="15" fillId="0" borderId="1" xfId="0" applyNumberFormat="1" applyFont="1" applyBorder="1" applyAlignment="1">
      <alignment horizontal="right"/>
    </xf>
    <xf numFmtId="176" fontId="0" fillId="6" borderId="1" xfId="0" applyNumberFormat="1" applyFill="1" applyBorder="1"/>
    <xf numFmtId="171" fontId="0" fillId="6" borderId="1" xfId="0" applyNumberFormat="1" applyFill="1" applyBorder="1" applyAlignment="1">
      <alignment horizontal="center"/>
    </xf>
    <xf numFmtId="167" fontId="0" fillId="0" borderId="1" xfId="0" applyNumberFormat="1" applyBorder="1" applyAlignment="1">
      <alignment horizontal="center"/>
    </xf>
    <xf numFmtId="11" fontId="0" fillId="3" borderId="0" xfId="0" applyNumberFormat="1" applyFill="1"/>
    <xf numFmtId="11" fontId="0" fillId="3" borderId="1" xfId="0" applyNumberFormat="1" applyFill="1" applyBorder="1" applyAlignment="1">
      <alignment horizontal="center" wrapText="1"/>
    </xf>
    <xf numFmtId="11" fontId="0" fillId="3" borderId="1" xfId="0" applyNumberFormat="1" applyFill="1" applyBorder="1"/>
    <xf numFmtId="11" fontId="15" fillId="3" borderId="1" xfId="0" applyNumberFormat="1" applyFont="1" applyFill="1" applyBorder="1"/>
    <xf numFmtId="0" fontId="0" fillId="0" borderId="1" xfId="0" applyBorder="1" applyAlignment="1">
      <alignment horizontal="right" wrapText="1"/>
    </xf>
    <xf numFmtId="11" fontId="0" fillId="0" borderId="1" xfId="0" applyNumberFormat="1" applyBorder="1"/>
    <xf numFmtId="176" fontId="0" fillId="0" borderId="1" xfId="0" applyNumberFormat="1" applyBorder="1" applyAlignment="1">
      <alignment horizontal="center" wrapText="1"/>
    </xf>
    <xf numFmtId="0" fontId="0" fillId="0" borderId="0" xfId="0" quotePrefix="1" applyAlignment="1">
      <alignment horizontal="right"/>
    </xf>
    <xf numFmtId="165" fontId="0" fillId="0" borderId="1" xfId="0" applyNumberFormat="1" applyBorder="1" applyAlignment="1">
      <alignment horizontal="right" wrapText="1"/>
    </xf>
    <xf numFmtId="165" fontId="0" fillId="3" borderId="1" xfId="0" applyNumberFormat="1" applyFill="1" applyBorder="1"/>
    <xf numFmtId="11" fontId="0" fillId="2" borderId="1" xfId="0" applyNumberFormat="1" applyFill="1" applyBorder="1" applyAlignment="1">
      <alignment horizontal="center"/>
    </xf>
    <xf numFmtId="11" fontId="0" fillId="3" borderId="1" xfId="0" applyNumberFormat="1" applyFill="1" applyBorder="1" applyAlignment="1">
      <alignment horizontal="center"/>
    </xf>
    <xf numFmtId="167" fontId="0" fillId="0" borderId="1" xfId="0" applyNumberFormat="1" applyBorder="1" applyAlignment="1">
      <alignment horizontal="center" wrapText="1"/>
    </xf>
    <xf numFmtId="11" fontId="0" fillId="0" borderId="1" xfId="0" applyNumberFormat="1" applyBorder="1" applyAlignment="1">
      <alignment horizontal="center" wrapText="1"/>
    </xf>
    <xf numFmtId="11" fontId="0" fillId="3" borderId="1" xfId="0" applyNumberFormat="1" applyFill="1" applyBorder="1" applyAlignment="1">
      <alignment horizontal="right" wrapText="1"/>
    </xf>
    <xf numFmtId="11" fontId="0" fillId="0" borderId="0" xfId="0" quotePrefix="1" applyNumberFormat="1" applyAlignment="1">
      <alignment horizontal="center"/>
    </xf>
    <xf numFmtId="11" fontId="0" fillId="2" borderId="0" xfId="0" applyNumberFormat="1" applyFill="1" applyAlignment="1">
      <alignment horizontal="center"/>
    </xf>
    <xf numFmtId="176" fontId="15" fillId="0" borderId="0" xfId="0" applyNumberFormat="1" applyFont="1"/>
    <xf numFmtId="11" fontId="15" fillId="0" borderId="0" xfId="0" applyNumberFormat="1" applyFont="1" applyAlignment="1">
      <alignment horizontal="center"/>
    </xf>
    <xf numFmtId="1" fontId="15" fillId="0" borderId="0" xfId="0" applyNumberFormat="1" applyFont="1" applyAlignment="1">
      <alignment horizontal="center"/>
    </xf>
    <xf numFmtId="176" fontId="8" fillId="3" borderId="1" xfId="0" applyNumberFormat="1" applyFont="1" applyFill="1" applyBorder="1" applyAlignment="1">
      <alignment horizontal="center"/>
    </xf>
    <xf numFmtId="166" fontId="8" fillId="3" borderId="1" xfId="0" applyNumberFormat="1" applyFont="1" applyFill="1" applyBorder="1" applyAlignment="1">
      <alignment horizontal="center"/>
    </xf>
    <xf numFmtId="11" fontId="0" fillId="3" borderId="0" xfId="0" applyNumberFormat="1" applyFill="1" applyAlignment="1">
      <alignment horizontal="center"/>
    </xf>
    <xf numFmtId="0" fontId="20" fillId="0" borderId="0" xfId="0" applyFont="1" applyAlignment="1">
      <alignment horizontal="left"/>
    </xf>
    <xf numFmtId="11" fontId="20" fillId="0" borderId="0" xfId="0" applyNumberFormat="1" applyFont="1" applyAlignment="1">
      <alignment horizontal="left"/>
    </xf>
    <xf numFmtId="0" fontId="0" fillId="3" borderId="1" xfId="0" applyFill="1" applyBorder="1" applyAlignment="1">
      <alignment horizontal="right" wrapText="1"/>
    </xf>
    <xf numFmtId="176" fontId="15" fillId="7" borderId="1" xfId="0" applyNumberFormat="1" applyFont="1" applyFill="1" applyBorder="1"/>
    <xf numFmtId="11" fontId="15" fillId="7" borderId="1" xfId="0" applyNumberFormat="1" applyFont="1" applyFill="1" applyBorder="1" applyAlignment="1">
      <alignment horizontal="center"/>
    </xf>
    <xf numFmtId="1" fontId="15" fillId="7" borderId="1" xfId="0" applyNumberFormat="1" applyFont="1" applyFill="1" applyBorder="1"/>
    <xf numFmtId="11" fontId="0" fillId="7" borderId="1" xfId="0" applyNumberFormat="1" applyFill="1" applyBorder="1"/>
    <xf numFmtId="11" fontId="0" fillId="0" borderId="1" xfId="0" applyNumberFormat="1" applyBorder="1" applyAlignment="1">
      <alignment wrapText="1"/>
    </xf>
    <xf numFmtId="176" fontId="0" fillId="0" borderId="1" xfId="0" applyNumberFormat="1" applyBorder="1" applyAlignment="1">
      <alignment horizontal="center"/>
    </xf>
    <xf numFmtId="11" fontId="8" fillId="3" borderId="1" xfId="0" applyNumberFormat="1" applyFont="1" applyFill="1" applyBorder="1" applyAlignment="1">
      <alignment horizontal="center"/>
    </xf>
    <xf numFmtId="1" fontId="8" fillId="3" borderId="1" xfId="0" applyNumberFormat="1" applyFont="1" applyFill="1" applyBorder="1" applyAlignment="1">
      <alignment horizontal="center"/>
    </xf>
    <xf numFmtId="11" fontId="15" fillId="3" borderId="0" xfId="0" applyNumberFormat="1" applyFont="1" applyFill="1"/>
    <xf numFmtId="0" fontId="0" fillId="0" borderId="1" xfId="0" applyBorder="1" applyAlignment="1">
      <alignment horizontal="right"/>
    </xf>
    <xf numFmtId="0" fontId="0" fillId="3" borderId="1" xfId="0" applyFill="1" applyBorder="1" applyAlignment="1">
      <alignment horizontal="right"/>
    </xf>
    <xf numFmtId="176" fontId="0" fillId="3" borderId="1" xfId="0" applyNumberFormat="1" applyFill="1" applyBorder="1" applyAlignment="1">
      <alignment horizontal="right"/>
    </xf>
    <xf numFmtId="176" fontId="8" fillId="3" borderId="1" xfId="0" applyNumberFormat="1" applyFont="1" applyFill="1" applyBorder="1" applyAlignment="1">
      <alignment horizontal="right"/>
    </xf>
    <xf numFmtId="165" fontId="0" fillId="3" borderId="1" xfId="0" applyNumberFormat="1" applyFill="1" applyBorder="1" applyAlignment="1">
      <alignment horizontal="right"/>
    </xf>
    <xf numFmtId="3" fontId="8" fillId="3" borderId="0" xfId="0" applyNumberFormat="1" applyFont="1" applyFill="1" applyAlignment="1">
      <alignment horizontal="center"/>
    </xf>
    <xf numFmtId="166" fontId="8" fillId="3" borderId="0" xfId="0" applyNumberFormat="1" applyFont="1" applyFill="1" applyAlignment="1">
      <alignment horizontal="center"/>
    </xf>
    <xf numFmtId="11" fontId="0" fillId="3" borderId="0" xfId="0" applyNumberFormat="1" applyFill="1" applyAlignment="1">
      <alignment horizontal="center" wrapText="1"/>
    </xf>
    <xf numFmtId="1" fontId="15" fillId="3" borderId="0" xfId="0" applyNumberFormat="1" applyFont="1" applyFill="1" applyAlignment="1">
      <alignment horizontal="center"/>
    </xf>
    <xf numFmtId="1" fontId="0" fillId="3" borderId="1" xfId="0" applyNumberFormat="1" applyFill="1" applyBorder="1" applyAlignment="1">
      <alignment horizontal="center" wrapText="1"/>
    </xf>
    <xf numFmtId="0" fontId="0" fillId="3" borderId="1" xfId="0" applyFill="1" applyBorder="1" applyAlignment="1">
      <alignment horizontal="center" wrapText="1"/>
    </xf>
    <xf numFmtId="176" fontId="0" fillId="3" borderId="0" xfId="0" applyNumberFormat="1" applyFill="1"/>
    <xf numFmtId="165" fontId="0" fillId="3" borderId="0" xfId="0" applyNumberFormat="1" applyFill="1"/>
    <xf numFmtId="176" fontId="8" fillId="3" borderId="0" xfId="0" applyNumberFormat="1" applyFont="1" applyFill="1"/>
    <xf numFmtId="176" fontId="0" fillId="3" borderId="0" xfId="0" applyNumberFormat="1" applyFill="1" applyAlignment="1">
      <alignment horizontal="center"/>
    </xf>
    <xf numFmtId="176" fontId="15" fillId="3" borderId="0" xfId="0" applyNumberFormat="1" applyFont="1" applyFill="1" applyAlignment="1">
      <alignment horizontal="center"/>
    </xf>
    <xf numFmtId="166" fontId="15" fillId="3" borderId="0" xfId="0" applyNumberFormat="1" applyFont="1" applyFill="1" applyAlignment="1">
      <alignment horizontal="center"/>
    </xf>
    <xf numFmtId="11" fontId="15" fillId="3" borderId="0" xfId="0" applyNumberFormat="1" applyFont="1" applyFill="1" applyAlignment="1">
      <alignment horizontal="center"/>
    </xf>
    <xf numFmtId="3" fontId="0" fillId="3" borderId="1" xfId="0" applyNumberFormat="1" applyFill="1" applyBorder="1" applyAlignment="1">
      <alignment horizontal="center" wrapText="1"/>
    </xf>
    <xf numFmtId="1" fontId="0" fillId="6" borderId="1" xfId="0" applyNumberFormat="1" applyFill="1" applyBorder="1" applyAlignment="1">
      <alignment horizontal="center"/>
    </xf>
    <xf numFmtId="1" fontId="0" fillId="3" borderId="4" xfId="0" applyNumberFormat="1" applyFill="1" applyBorder="1" applyAlignment="1">
      <alignment horizontal="center" wrapText="1"/>
    </xf>
    <xf numFmtId="0" fontId="0" fillId="3" borderId="4" xfId="0" applyFill="1" applyBorder="1" applyAlignment="1">
      <alignment horizontal="center" wrapText="1"/>
    </xf>
    <xf numFmtId="166" fontId="0" fillId="3" borderId="4" xfId="0" applyNumberFormat="1" applyFill="1" applyBorder="1" applyAlignment="1">
      <alignment horizontal="center" wrapText="1"/>
    </xf>
    <xf numFmtId="166" fontId="8" fillId="3" borderId="1" xfId="0" applyNumberFormat="1" applyFont="1" applyFill="1" applyBorder="1"/>
    <xf numFmtId="176" fontId="8" fillId="3" borderId="1" xfId="0" applyNumberFormat="1" applyFont="1" applyFill="1" applyBorder="1"/>
    <xf numFmtId="10" fontId="0" fillId="0" borderId="0" xfId="0" applyNumberFormat="1"/>
    <xf numFmtId="166" fontId="0" fillId="0" borderId="0" xfId="0" applyNumberFormat="1" applyAlignment="1">
      <alignment horizontal="right" wrapText="1"/>
    </xf>
    <xf numFmtId="10" fontId="0" fillId="0" borderId="0" xfId="0" applyNumberFormat="1" applyAlignment="1">
      <alignment horizontal="center"/>
    </xf>
    <xf numFmtId="172" fontId="0" fillId="3" borderId="0" xfId="0" applyNumberFormat="1" applyFill="1" applyAlignment="1">
      <alignment horizontal="center"/>
    </xf>
    <xf numFmtId="2" fontId="0" fillId="3" borderId="0" xfId="0" quotePrefix="1" applyNumberFormat="1" applyFill="1"/>
    <xf numFmtId="172" fontId="0" fillId="3" borderId="1" xfId="0" quotePrefix="1" applyNumberFormat="1" applyFill="1" applyBorder="1"/>
    <xf numFmtId="2" fontId="0" fillId="3" borderId="1" xfId="0" quotePrefix="1" applyNumberFormat="1" applyFill="1" applyBorder="1"/>
    <xf numFmtId="0" fontId="15" fillId="3" borderId="0" xfId="0" applyFont="1" applyFill="1" applyAlignment="1">
      <alignment horizontal="center"/>
    </xf>
    <xf numFmtId="172" fontId="0" fillId="0" borderId="1" xfId="0" applyNumberFormat="1" applyBorder="1" applyAlignment="1">
      <alignment horizontal="right"/>
    </xf>
    <xf numFmtId="172" fontId="0" fillId="0" borderId="1" xfId="0" applyNumberFormat="1" applyBorder="1" applyAlignment="1">
      <alignment horizontal="center" wrapText="1"/>
    </xf>
    <xf numFmtId="11" fontId="0" fillId="0" borderId="1" xfId="0" applyNumberFormat="1" applyBorder="1" applyAlignment="1">
      <alignment horizontal="right"/>
    </xf>
    <xf numFmtId="171" fontId="0" fillId="7" borderId="0" xfId="0" applyNumberFormat="1" applyFill="1" applyAlignment="1">
      <alignment horizontal="center"/>
    </xf>
    <xf numFmtId="0" fontId="22" fillId="0" borderId="0" xfId="0" applyFont="1"/>
    <xf numFmtId="0" fontId="22" fillId="0" borderId="0" xfId="0" applyFont="1" applyAlignment="1">
      <alignment wrapText="1"/>
    </xf>
    <xf numFmtId="166" fontId="0" fillId="10" borderId="0" xfId="0" applyNumberFormat="1" applyFill="1" applyAlignment="1">
      <alignment horizontal="center"/>
    </xf>
    <xf numFmtId="166" fontId="0" fillId="10" borderId="1" xfId="0" applyNumberFormat="1" applyFill="1" applyBorder="1" applyAlignment="1">
      <alignment horizontal="center"/>
    </xf>
    <xf numFmtId="171" fontId="0" fillId="10" borderId="0" xfId="0" applyNumberFormat="1" applyFill="1" applyAlignment="1">
      <alignment horizontal="center"/>
    </xf>
    <xf numFmtId="176" fontId="0" fillId="10" borderId="1" xfId="0" applyNumberFormat="1" applyFill="1" applyBorder="1" applyAlignment="1">
      <alignment horizontal="center"/>
    </xf>
    <xf numFmtId="10" fontId="0" fillId="3" borderId="0" xfId="0" applyNumberFormat="1" applyFill="1" applyAlignment="1">
      <alignment horizontal="center"/>
    </xf>
    <xf numFmtId="179" fontId="0" fillId="0" borderId="0" xfId="0" applyNumberFormat="1" applyAlignment="1">
      <alignment horizontal="center"/>
    </xf>
    <xf numFmtId="179" fontId="0" fillId="0" borderId="1" xfId="0" applyNumberFormat="1" applyBorder="1" applyAlignment="1">
      <alignment horizontal="center"/>
    </xf>
    <xf numFmtId="11" fontId="1" fillId="0" borderId="1" xfId="0" applyNumberFormat="1" applyFont="1" applyBorder="1" applyAlignment="1">
      <alignment horizontal="center"/>
    </xf>
    <xf numFmtId="0" fontId="9" fillId="3" borderId="1" xfId="0" applyFont="1" applyFill="1" applyBorder="1" applyAlignment="1">
      <alignment horizontal="center"/>
    </xf>
    <xf numFmtId="166" fontId="9" fillId="3" borderId="1" xfId="0" applyNumberFormat="1" applyFont="1" applyFill="1" applyBorder="1" applyAlignment="1">
      <alignment horizontal="center"/>
    </xf>
    <xf numFmtId="1" fontId="9" fillId="3" borderId="1" xfId="0" applyNumberFormat="1" applyFont="1" applyFill="1" applyBorder="1" applyAlignment="1">
      <alignment horizontal="center"/>
    </xf>
    <xf numFmtId="166" fontId="9" fillId="3" borderId="1" xfId="0" applyNumberFormat="1" applyFont="1" applyFill="1" applyBorder="1"/>
    <xf numFmtId="168" fontId="0" fillId="3" borderId="1" xfId="0" applyNumberFormat="1" applyFill="1" applyBorder="1" applyAlignment="1">
      <alignment horizontal="center"/>
    </xf>
    <xf numFmtId="166" fontId="0" fillId="3" borderId="1" xfId="0" applyNumberFormat="1" applyFill="1" applyBorder="1" applyAlignment="1">
      <alignment horizontal="right"/>
    </xf>
    <xf numFmtId="169" fontId="0" fillId="3" borderId="1" xfId="0" applyNumberFormat="1" applyFill="1" applyBorder="1"/>
    <xf numFmtId="176" fontId="9" fillId="3" borderId="1" xfId="0" applyNumberFormat="1" applyFont="1" applyFill="1" applyBorder="1" applyAlignment="1">
      <alignment horizontal="center"/>
    </xf>
    <xf numFmtId="166" fontId="9" fillId="3" borderId="1" xfId="0" applyNumberFormat="1" applyFont="1" applyFill="1" applyBorder="1" applyAlignment="1">
      <alignment horizontal="right"/>
    </xf>
    <xf numFmtId="3" fontId="9" fillId="3" borderId="1" xfId="0" applyNumberFormat="1" applyFont="1" applyFill="1" applyBorder="1" applyAlignment="1">
      <alignment horizontal="center"/>
    </xf>
    <xf numFmtId="0" fontId="2" fillId="3" borderId="1" xfId="0" applyFont="1" applyFill="1" applyBorder="1"/>
    <xf numFmtId="169" fontId="0" fillId="3" borderId="1" xfId="0" applyNumberFormat="1" applyFill="1" applyBorder="1" applyAlignment="1">
      <alignment horizontal="center"/>
    </xf>
    <xf numFmtId="0" fontId="9" fillId="3" borderId="1" xfId="0" applyFont="1" applyFill="1" applyBorder="1"/>
    <xf numFmtId="175" fontId="0" fillId="3" borderId="1" xfId="0" applyNumberFormat="1" applyFill="1" applyBorder="1"/>
    <xf numFmtId="178" fontId="9" fillId="3" borderId="1" xfId="0" applyNumberFormat="1" applyFont="1" applyFill="1" applyBorder="1"/>
    <xf numFmtId="3" fontId="9" fillId="3" borderId="1" xfId="0" applyNumberFormat="1" applyFont="1" applyFill="1" applyBorder="1"/>
    <xf numFmtId="169" fontId="9" fillId="3" borderId="1" xfId="0" applyNumberFormat="1" applyFont="1" applyFill="1" applyBorder="1"/>
    <xf numFmtId="3" fontId="22" fillId="3" borderId="1" xfId="0" applyNumberFormat="1" applyFont="1" applyFill="1" applyBorder="1" applyAlignment="1">
      <alignment horizontal="center" wrapText="1" readingOrder="1"/>
    </xf>
    <xf numFmtId="0" fontId="22" fillId="3" borderId="1" xfId="0" applyFont="1" applyFill="1" applyBorder="1" applyAlignment="1">
      <alignment horizontal="center" wrapText="1" readingOrder="1"/>
    </xf>
    <xf numFmtId="0" fontId="5" fillId="0" borderId="1" xfId="0" applyFont="1" applyBorder="1"/>
    <xf numFmtId="3" fontId="22" fillId="3" borderId="1" xfId="0" applyNumberFormat="1" applyFont="1" applyFill="1" applyBorder="1" applyAlignment="1">
      <alignment horizontal="right" wrapText="1" readingOrder="1"/>
    </xf>
    <xf numFmtId="11" fontId="22" fillId="3" borderId="1" xfId="0" applyNumberFormat="1" applyFont="1" applyFill="1" applyBorder="1" applyAlignment="1">
      <alignment horizontal="right" wrapText="1" readingOrder="1"/>
    </xf>
    <xf numFmtId="164" fontId="25" fillId="0" borderId="1" xfId="0" applyNumberFormat="1" applyFont="1" applyBorder="1" applyAlignment="1">
      <alignment horizontal="center" wrapText="1"/>
    </xf>
    <xf numFmtId="171" fontId="0" fillId="0" borderId="0" xfId="0" applyNumberFormat="1" applyAlignment="1">
      <alignment wrapText="1"/>
    </xf>
    <xf numFmtId="171" fontId="0" fillId="0" borderId="0" xfId="0" applyNumberFormat="1" applyAlignment="1">
      <alignment horizontal="center" wrapText="1"/>
    </xf>
    <xf numFmtId="0" fontId="0" fillId="2" borderId="0" xfId="0" applyFill="1" applyAlignment="1">
      <alignment horizontal="left"/>
    </xf>
    <xf numFmtId="1" fontId="0" fillId="0" borderId="10" xfId="0" applyNumberFormat="1" applyBorder="1" applyAlignment="1">
      <alignment horizontal="center" wrapText="1"/>
    </xf>
    <xf numFmtId="166" fontId="0" fillId="0" borderId="10" xfId="0" applyNumberFormat="1" applyBorder="1" applyAlignment="1">
      <alignment horizontal="center" wrapText="1"/>
    </xf>
    <xf numFmtId="171" fontId="0" fillId="0" borderId="1" xfId="0" applyNumberFormat="1" applyBorder="1" applyAlignment="1">
      <alignment horizontal="center"/>
    </xf>
    <xf numFmtId="171" fontId="0" fillId="0" borderId="10" xfId="0" applyNumberFormat="1" applyBorder="1" applyAlignment="1">
      <alignment horizontal="center" wrapText="1"/>
    </xf>
    <xf numFmtId="3" fontId="0" fillId="0" borderId="10" xfId="0" applyNumberFormat="1" applyBorder="1" applyAlignment="1">
      <alignment horizontal="center" wrapText="1"/>
    </xf>
    <xf numFmtId="3" fontId="0" fillId="0" borderId="1" xfId="0" applyNumberFormat="1" applyBorder="1" applyAlignment="1">
      <alignment horizontal="right"/>
    </xf>
    <xf numFmtId="0" fontId="14" fillId="0" borderId="8" xfId="0" applyFont="1" applyBorder="1" applyAlignment="1">
      <alignment horizontal="center"/>
    </xf>
    <xf numFmtId="3" fontId="14" fillId="0" borderId="8" xfId="0" applyNumberFormat="1" applyFont="1" applyBorder="1" applyAlignment="1">
      <alignment horizontal="center" vertical="center"/>
    </xf>
    <xf numFmtId="0" fontId="14" fillId="0" borderId="8" xfId="0" applyFont="1" applyBorder="1" applyAlignment="1">
      <alignment horizontal="center" vertical="center"/>
    </xf>
    <xf numFmtId="3" fontId="2"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3" fontId="2" fillId="0" borderId="1" xfId="0" applyNumberFormat="1" applyFont="1" applyBorder="1" applyAlignment="1">
      <alignment horizontal="center" vertical="center"/>
    </xf>
    <xf numFmtId="3" fontId="2" fillId="0" borderId="10" xfId="0" applyNumberFormat="1" applyFont="1" applyBorder="1" applyAlignment="1">
      <alignment horizontal="center" vertical="center"/>
    </xf>
    <xf numFmtId="1" fontId="0" fillId="0" borderId="8" xfId="0" applyNumberFormat="1" applyBorder="1" applyAlignment="1">
      <alignment horizontal="center"/>
    </xf>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6.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7.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8.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9.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1.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2.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3.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4.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5.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6.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7.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8.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9.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1.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2.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3.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4.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5.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6.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7.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8.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9.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1.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2.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3.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4.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5.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6.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7.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8.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9.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78816199376944"/>
          <c:y val="4.6279334517864666E-2"/>
          <c:w val="0.79436760124610595"/>
          <c:h val="0.75612506798329471"/>
        </c:manualLayout>
      </c:layout>
      <c:scatterChart>
        <c:scatterStyle val="lineMarker"/>
        <c:varyColors val="0"/>
        <c:ser>
          <c:idx val="0"/>
          <c:order val="0"/>
          <c:tx>
            <c:strRef>
              <c:f>'No stochasticity'!$F$4</c:f>
              <c:strCache>
                <c:ptCount val="1"/>
              </c:strCache>
            </c:strRef>
          </c:tx>
          <c:spPr>
            <a:ln w="19050" cap="rnd">
              <a:noFill/>
              <a:round/>
            </a:ln>
            <a:effectLst/>
          </c:spPr>
          <c:marker>
            <c:symbol val="circle"/>
            <c:size val="3"/>
            <c:spPr>
              <a:solidFill>
                <a:schemeClr val="accent1"/>
              </a:solidFill>
              <a:ln w="9525">
                <a:solidFill>
                  <a:srgbClr val="FF0000"/>
                </a:solidFill>
              </a:ln>
              <a:effectLst/>
            </c:spPr>
          </c:marker>
          <c:xVal>
            <c:numRef>
              <c:f>'No stochasticity'!$A$5:$A$304</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numCache>
            </c:numRef>
          </c:xVal>
          <c:yVal>
            <c:numRef>
              <c:f>'No stochasticity'!$F$5:$F$304</c:f>
              <c:numCache>
                <c:formatCode>0.000000</c:formatCode>
                <c:ptCount val="300"/>
                <c:pt idx="0">
                  <c:v>5.2486878280429894E-3</c:v>
                </c:pt>
                <c:pt idx="1">
                  <c:v>5.5096762909009143E-3</c:v>
                </c:pt>
                <c:pt idx="2">
                  <c:v>5.7835668263949485E-3</c:v>
                </c:pt>
                <c:pt idx="3">
                  <c:v>6.0709895690209577E-3</c:v>
                </c:pt>
                <c:pt idx="4">
                  <c:v>6.3726046466551388E-3</c:v>
                </c:pt>
                <c:pt idx="5">
                  <c:v>6.6891035283765518E-3</c:v>
                </c:pt>
                <c:pt idx="6">
                  <c:v>7.0212104246241379E-3</c:v>
                </c:pt>
                <c:pt idx="7">
                  <c:v>7.3696837408399772E-3</c:v>
                </c:pt>
                <c:pt idx="8">
                  <c:v>7.7353175856699104E-3</c:v>
                </c:pt>
                <c:pt idx="9">
                  <c:v>8.1189433346957086E-3</c:v>
                </c:pt>
                <c:pt idx="10">
                  <c:v>8.5214312505578049E-3</c:v>
                </c:pt>
                <c:pt idx="11">
                  <c:v>8.9436921601922324E-3</c:v>
                </c:pt>
                <c:pt idx="12">
                  <c:v>9.3866791897478669E-3</c:v>
                </c:pt>
                <c:pt idx="13">
                  <c:v>9.851389557567751E-3</c:v>
                </c:pt>
                <c:pt idx="14">
                  <c:v>1.0338866425409121E-2</c:v>
                </c:pt>
                <c:pt idx="15">
                  <c:v>1.0850200807837525E-2</c:v>
                </c:pt>
                <c:pt idx="16">
                  <c:v>1.1386533539458987E-2</c:v>
                </c:pt>
                <c:pt idx="17">
                  <c:v>1.1949057299346744E-2</c:v>
                </c:pt>
                <c:pt idx="18">
                  <c:v>1.2539018691672862E-2</c:v>
                </c:pt>
                <c:pt idx="19">
                  <c:v>1.3157720381166544E-2</c:v>
                </c:pt>
                <c:pt idx="20">
                  <c:v>1.3806523281586108E-2</c:v>
                </c:pt>
                <c:pt idx="21">
                  <c:v>1.4486848794907225E-2</c:v>
                </c:pt>
                <c:pt idx="22">
                  <c:v>1.520018109839121E-2</c:v>
                </c:pt>
                <c:pt idx="23">
                  <c:v>1.5948069476100449E-2</c:v>
                </c:pt>
                <c:pt idx="24">
                  <c:v>1.6732130690768492E-2</c:v>
                </c:pt>
                <c:pt idx="25">
                  <c:v>1.7554051391205409E-2</c:v>
                </c:pt>
                <c:pt idx="26">
                  <c:v>1.841559054962031E-2</c:v>
                </c:pt>
                <c:pt idx="27">
                  <c:v>1.931858192236725E-2</c:v>
                </c:pt>
                <c:pt idx="28">
                  <c:v>2.0264936526663519E-2</c:v>
                </c:pt>
                <c:pt idx="29">
                  <c:v>2.125664512478552E-2</c:v>
                </c:pt>
                <c:pt idx="30">
                  <c:v>2.2295780706112295E-2</c:v>
                </c:pt>
                <c:pt idx="31">
                  <c:v>2.33845009561559E-2</c:v>
                </c:pt>
                <c:pt idx="32">
                  <c:v>2.4525050700386051E-2</c:v>
                </c:pt>
                <c:pt idx="33">
                  <c:v>2.5719764309221068E-2</c:v>
                </c:pt>
                <c:pt idx="34">
                  <c:v>2.6971068049012694E-2</c:v>
                </c:pt>
                <c:pt idx="35">
                  <c:v>2.8281482362197439E-2</c:v>
                </c:pt>
                <c:pt idx="36">
                  <c:v>2.9653624058018708E-2</c:v>
                </c:pt>
                <c:pt idx="37">
                  <c:v>3.1090208393340563E-2</c:v>
                </c:pt>
                <c:pt idx="38">
                  <c:v>3.2594051021076174E-2</c:v>
                </c:pt>
                <c:pt idx="39">
                  <c:v>3.4168069781642253E-2</c:v>
                </c:pt>
                <c:pt idx="40">
                  <c:v>3.5815286310628816E-2</c:v>
                </c:pt>
                <c:pt idx="41">
                  <c:v>3.753882743354537E-2</c:v>
                </c:pt>
                <c:pt idx="42">
                  <c:v>3.9341926316078517E-2</c:v>
                </c:pt>
                <c:pt idx="43">
                  <c:v>4.1227923335780389E-2</c:v>
                </c:pt>
                <c:pt idx="44">
                  <c:v>4.3200266638516484E-2</c:v>
                </c:pt>
                <c:pt idx="45">
                  <c:v>4.5262512340350704E-2</c:v>
                </c:pt>
                <c:pt idx="46">
                  <c:v>4.7418324332854513E-2</c:v>
                </c:pt>
                <c:pt idx="47">
                  <c:v>4.9671473647122731E-2</c:v>
                </c:pt>
                <c:pt idx="48">
                  <c:v>5.2025837329085806E-2</c:v>
                </c:pt>
                <c:pt idx="49">
                  <c:v>5.4485396776065995E-2</c:v>
                </c:pt>
                <c:pt idx="50">
                  <c:v>5.7054235481969785E-2</c:v>
                </c:pt>
                <c:pt idx="51">
                  <c:v>5.9736536136089001E-2</c:v>
                </c:pt>
                <c:pt idx="52">
                  <c:v>6.2536577018249551E-2</c:v>
                </c:pt>
                <c:pt idx="53">
                  <c:v>6.5458727631061198E-2</c:v>
                </c:pt>
                <c:pt idx="54">
                  <c:v>6.8507443508348587E-2</c:v>
                </c:pt>
                <c:pt idx="55">
                  <c:v>7.1687260137558911E-2</c:v>
                </c:pt>
                <c:pt idx="56">
                  <c:v>7.5002785933125385E-2</c:v>
                </c:pt>
                <c:pt idx="57">
                  <c:v>7.8458694197507242E-2</c:v>
                </c:pt>
                <c:pt idx="58">
                  <c:v>8.2059714007022014E-2</c:v>
                </c:pt>
                <c:pt idx="59">
                  <c:v>8.5810619960735912E-2</c:v>
                </c:pt>
                <c:pt idx="60">
                  <c:v>8.9716220732692378E-2</c:v>
                </c:pt>
                <c:pt idx="61">
                  <c:v>9.3781346370746643E-2</c:v>
                </c:pt>
                <c:pt idx="62">
                  <c:v>9.8010834289355184E-2</c:v>
                </c:pt>
                <c:pt idx="63">
                  <c:v>0.10240951390895374</c:v>
                </c:pt>
                <c:pt idx="64">
                  <c:v>0.10698218990116676</c:v>
                </c:pt>
                <c:pt idx="65">
                  <c:v>0.11173362400713127</c:v>
                </c:pt>
                <c:pt idx="66">
                  <c:v>0.11666851540579676</c:v>
                </c:pt>
                <c:pt idx="67">
                  <c:v>0.121791479620268</c:v>
                </c:pt>
                <c:pt idx="68">
                  <c:v>0.12710702596317208</c:v>
                </c:pt>
                <c:pt idx="69">
                  <c:v>0.132619533536707</c:v>
                </c:pt>
                <c:pt idx="70">
                  <c:v>0.13833322581950183</c:v>
                </c:pt>
                <c:pt idx="71">
                  <c:v>0.14425214389068805</c:v>
                </c:pt>
                <c:pt idx="72">
                  <c:v>0.15038011836161252</c:v>
                </c:pt>
                <c:pt idx="73">
                  <c:v>0.15672074010734011</c:v>
                </c:pt>
                <c:pt idx="74">
                  <c:v>0.16327732991336841</c:v>
                </c:pt>
                <c:pt idx="75">
                  <c:v>0.17005290717763827</c:v>
                </c:pt>
                <c:pt idx="76">
                  <c:v>0.17705015783372596</c:v>
                </c:pt>
                <c:pt idx="77">
                  <c:v>0.18427140168775927</c:v>
                </c:pt>
                <c:pt idx="78">
                  <c:v>0.19171855938874116</c:v>
                </c:pt>
                <c:pt idx="79">
                  <c:v>0.19939311927916678</c:v>
                </c:pt>
                <c:pt idx="80">
                  <c:v>0.20729610439959237</c:v>
                </c:pt>
                <c:pt idx="81">
                  <c:v>0.21542803994660345</c:v>
                </c:pt>
                <c:pt idx="82">
                  <c:v>0.2237889215078239</c:v>
                </c:pt>
                <c:pt idx="83">
                  <c:v>0.23237818441955518</c:v>
                </c:pt>
                <c:pt idx="84">
                  <c:v>0.24119467461163707</c:v>
                </c:pt>
                <c:pt idx="85">
                  <c:v>0.25023662131946578</c:v>
                </c:pt>
                <c:pt idx="86">
                  <c:v>0.2595016120540708</c:v>
                </c:pt>
                <c:pt idx="87">
                  <c:v>0.26898657022703376</c:v>
                </c:pt>
                <c:pt idx="88">
                  <c:v>0.27868773582716116</c:v>
                </c:pt>
                <c:pt idx="89">
                  <c:v>0.28860064953959724</c:v>
                </c:pt>
                <c:pt idx="90">
                  <c:v>0.29872014068496505</c:v>
                </c:pt>
                <c:pt idx="91">
                  <c:v>0.30904031933574821</c:v>
                </c:pt>
                <c:pt idx="92">
                  <c:v>0.31955457293921891</c:v>
                </c:pt>
                <c:pt idx="93">
                  <c:v>0.33025556774067144</c:v>
                </c:pt>
                <c:pt idx="94">
                  <c:v>0.34113525525763161</c:v>
                </c:pt>
                <c:pt idx="95">
                  <c:v>0.35218488400536085</c:v>
                </c:pt>
                <c:pt idx="96">
                  <c:v>0.36339501661686213</c:v>
                </c:pt>
                <c:pt idx="97">
                  <c:v>0.37475555243744196</c:v>
                </c:pt>
                <c:pt idx="98">
                  <c:v>0.38625575560560804</c:v>
                </c:pt>
                <c:pt idx="99">
                  <c:v>0.39788428855982466</c:v>
                </c:pt>
                <c:pt idx="100">
                  <c:v>0.40962925083571294</c:v>
                </c:pt>
                <c:pt idx="101">
                  <c:v>0.421478222942131</c:v>
                </c:pt>
                <c:pt idx="102">
                  <c:v>0.43341831502879213</c:v>
                </c:pt>
                <c:pt idx="103">
                  <c:v>0.44543621998431204</c:v>
                </c:pt>
                <c:pt idx="104">
                  <c:v>0.45751827053351712</c:v>
                </c:pt>
                <c:pt idx="105">
                  <c:v>0.46965049983813573</c:v>
                </c:pt>
                <c:pt idx="106">
                  <c:v>0.48181870504720342</c:v>
                </c:pt>
                <c:pt idx="107">
                  <c:v>0.49400851319409012</c:v>
                </c:pt>
                <c:pt idx="108">
                  <c:v>0.50620544879724105</c:v>
                </c:pt>
                <c:pt idx="109">
                  <c:v>0.51839500249255366</c:v>
                </c:pt>
                <c:pt idx="110">
                  <c:v>0.53056270000753813</c:v>
                </c:pt>
                <c:pt idx="111">
                  <c:v>0.54269417078150572</c:v>
                </c:pt>
                <c:pt idx="112">
                  <c:v>0.55477521554214237</c:v>
                </c:pt>
                <c:pt idx="113">
                  <c:v>0.56679187216680582</c:v>
                </c:pt>
                <c:pt idx="114">
                  <c:v>0.57873047918624776</c:v>
                </c:pt>
                <c:pt idx="115">
                  <c:v>0.59057773632845545</c:v>
                </c:pt>
                <c:pt idx="116">
                  <c:v>0.60232076154989</c:v>
                </c:pt>
                <c:pt idx="117">
                  <c:v>0.61394714405932482</c:v>
                </c:pt>
                <c:pt idx="118">
                  <c:v>0.62544499290430111</c:v>
                </c:pt>
                <c:pt idx="119">
                  <c:v>0.63680298076036113</c:v>
                </c:pt>
                <c:pt idx="120">
                  <c:v>0.64801038263703303</c:v>
                </c:pt>
                <c:pt idx="121">
                  <c:v>0.65905710929034012</c:v>
                </c:pt>
                <c:pt idx="122">
                  <c:v>0.66993373520775201</c:v>
                </c:pt>
                <c:pt idx="123">
                  <c:v>0.6806315211063928</c:v>
                </c:pt>
                <c:pt idx="124">
                  <c:v>0.69114243095752304</c:v>
                </c:pt>
                <c:pt idx="125">
                  <c:v>0.70145914361850537</c:v>
                </c:pt>
                <c:pt idx="126">
                  <c:v>0.71157505921651554</c:v>
                </c:pt>
                <c:pt idx="127">
                  <c:v>0.72148430048526202</c:v>
                </c:pt>
                <c:pt idx="128">
                  <c:v>0.73118170930620496</c:v>
                </c:pt>
                <c:pt idx="129">
                  <c:v>0.74066283874872152</c:v>
                </c:pt>
                <c:pt idx="130">
                  <c:v>0.74992394093907899</c:v>
                </c:pt>
                <c:pt idx="131">
                  <c:v>0.75896195111585241</c:v>
                </c:pt>
                <c:pt idx="132">
                  <c:v>0.76777446824966</c:v>
                </c:pt>
                <c:pt idx="133">
                  <c:v>0.77635973261807822</c:v>
                </c:pt>
                <c:pt idx="134">
                  <c:v>0.78471660073269212</c:v>
                </c:pt>
                <c:pt idx="135">
                  <c:v>0.79284451801501232</c:v>
                </c:pt>
                <c:pt idx="136">
                  <c:v>0.80074348961200825</c:v>
                </c:pt>
                <c:pt idx="137">
                  <c:v>0.80841404973096131</c:v>
                </c:pt>
                <c:pt idx="138">
                  <c:v>0.81585722985792297</c:v>
                </c:pt>
                <c:pt idx="139">
                  <c:v>0.82307452620500721</c:v>
                </c:pt>
                <c:pt idx="140">
                  <c:v>0.83006786670975097</c:v>
                </c:pt>
                <c:pt idx="141">
                  <c:v>0.83683957788555108</c:v>
                </c:pt>
                <c:pt idx="142">
                  <c:v>0.84339235179636973</c:v>
                </c:pt>
                <c:pt idx="143">
                  <c:v>0.8497292134021236</c:v>
                </c:pt>
                <c:pt idx="144">
                  <c:v>0.85585348849395826</c:v>
                </c:pt>
                <c:pt idx="145">
                  <c:v>0.86176877241147998</c:v>
                </c:pt>
                <c:pt idx="146">
                  <c:v>0.8674788997073698</c:v>
                </c:pt>
                <c:pt idx="147">
                  <c:v>0.87298791489901684</c:v>
                </c:pt>
                <c:pt idx="148">
                  <c:v>0.87830004442217624</c:v>
                </c:pt>
                <c:pt idx="149">
                  <c:v>0.88341966987840381</c:v>
                </c:pt>
                <c:pt idx="150">
                  <c:v>0.88835130264633055</c:v>
                </c:pt>
                <c:pt idx="151">
                  <c:v>0.89309955990684164</c:v>
                </c:pt>
                <c:pt idx="152">
                  <c:v>0.89766914211398596</c:v>
                </c:pt>
                <c:pt idx="153">
                  <c:v>0.90206481192699906</c:v>
                </c:pt>
                <c:pt idx="154">
                  <c:v>0.90629137460417986</c:v>
                </c:pt>
                <c:pt idx="155">
                  <c:v>0.91035365984647831</c:v>
                </c:pt>
                <c:pt idx="156">
                  <c:v>0.91425650506747125</c:v>
                </c:pt>
                <c:pt idx="157">
                  <c:v>0.91800474005685706</c:v>
                </c:pt>
                <c:pt idx="158">
                  <c:v>0.92160317299658456</c:v>
                </c:pt>
                <c:pt idx="159">
                  <c:v>0.92505657778214478</c:v>
                </c:pt>
                <c:pt idx="160">
                  <c:v>0.92836968259629093</c:v>
                </c:pt>
                <c:pt idx="161">
                  <c:v>0.93154715967840007</c:v>
                </c:pt>
                <c:pt idx="162">
                  <c:v>0.93459361622970294</c:v>
                </c:pt>
                <c:pt idx="163">
                  <c:v>0.93751358639262983</c:v>
                </c:pt>
                <c:pt idx="164">
                  <c:v>0.9403115242413691</c:v>
                </c:pt>
                <c:pt idx="165">
                  <c:v>0.94299179772036035</c:v>
                </c:pt>
                <c:pt idx="166">
                  <c:v>0.94555868346771266</c:v>
                </c:pt>
                <c:pt idx="167">
                  <c:v>0.94801636246135779</c:v>
                </c:pt>
                <c:pt idx="168">
                  <c:v>0.95036891642705013</c:v>
                </c:pt>
                <c:pt idx="169">
                  <c:v>0.95262032494899451</c:v>
                </c:pt>
                <c:pt idx="170">
                  <c:v>0.954774463225882</c:v>
                </c:pt>
                <c:pt idx="171">
                  <c:v>0.95683510041734376</c:v>
                </c:pt>
                <c:pt idx="172">
                  <c:v>0.95880589852825937</c:v>
                </c:pt>
                <c:pt idx="173">
                  <c:v>0.96069041178091807</c:v>
                </c:pt>
                <c:pt idx="174">
                  <c:v>0.9624920864276606</c:v>
                </c:pt>
                <c:pt idx="175">
                  <c:v>0.96421426095934071</c:v>
                </c:pt>
                <c:pt idx="176">
                  <c:v>0.96586016666763264</c:v>
                </c:pt>
                <c:pt idx="177">
                  <c:v>0.96743292852191742</c:v>
                </c:pt>
                <c:pt idx="178">
                  <c:v>0.96893556632411426</c:v>
                </c:pt>
                <c:pt idx="179">
                  <c:v>0.97037099610742783</c:v>
                </c:pt>
                <c:pt idx="180">
                  <c:v>0.97174203174748608</c:v>
                </c:pt>
                <c:pt idx="181">
                  <c:v>0.97305138675677338</c:v>
                </c:pt>
                <c:pt idx="182">
                  <c:v>0.97430167623558794</c:v>
                </c:pt>
                <c:pt idx="183">
                  <c:v>0.97549541895496905</c:v>
                </c:pt>
                <c:pt idx="184">
                  <c:v>0.97663503954916198</c:v>
                </c:pt>
                <c:pt idx="185">
                  <c:v>0.97772287079716436</c:v>
                </c:pt>
                <c:pt idx="186">
                  <c:v>0.97876115597480107</c:v>
                </c:pt>
                <c:pt idx="187">
                  <c:v>0.97975205126051967</c:v>
                </c:pt>
                <c:pt idx="188">
                  <c:v>0.98069762817977257</c:v>
                </c:pt>
                <c:pt idx="189">
                  <c:v>0.98159987607437627</c:v>
                </c:pt>
                <c:pt idx="190">
                  <c:v>0.98246070458468171</c:v>
                </c:pt>
                <c:pt idx="191">
                  <c:v>0.98328194613371933</c:v>
                </c:pt>
                <c:pt idx="192">
                  <c:v>0.98406535840370657</c:v>
                </c:pt>
                <c:pt idx="193">
                  <c:v>0.98481262679644499</c:v>
                </c:pt>
                <c:pt idx="194">
                  <c:v>0.98552536687017012</c:v>
                </c:pt>
                <c:pt idx="195">
                  <c:v>0.98620512674638006</c:v>
                </c:pt>
                <c:pt idx="196">
                  <c:v>0.98685338948103707</c:v>
                </c:pt>
                <c:pt idx="197">
                  <c:v>0.98747157539533548</c:v>
                </c:pt>
                <c:pt idx="198">
                  <c:v>0.98806104436195896</c:v>
                </c:pt>
                <c:pt idx="199">
                  <c:v>0.98862309804340087</c:v>
                </c:pt>
                <c:pt idx="200">
                  <c:v>0.98915898207952502</c:v>
                </c:pt>
                <c:pt idx="201">
                  <c:v>0.98966988822207613</c:v>
                </c:pt>
                <c:pt idx="202">
                  <c:v>0.99015695641433554</c:v>
                </c:pt>
                <c:pt idx="203">
                  <c:v>0.99062127681455325</c:v>
                </c:pt>
                <c:pt idx="204">
                  <c:v>0.99106389176216914</c:v>
                </c:pt>
                <c:pt idx="205">
                  <c:v>0.99148579768618783</c:v>
                </c:pt>
                <c:pt idx="206">
                  <c:v>0.99188794695537863</c:v>
                </c:pt>
                <c:pt idx="207">
                  <c:v>0.99227124967023483</c:v>
                </c:pt>
                <c:pt idx="208">
                  <c:v>0.99263657539687467</c:v>
                </c:pt>
                <c:pt idx="209">
                  <c:v>0.99298475484327209</c:v>
                </c:pt>
                <c:pt idx="210">
                  <c:v>0.9933165814783822</c:v>
                </c:pt>
                <c:pt idx="211">
                  <c:v>0.99363281309489271</c:v>
                </c:pt>
                <c:pt idx="212">
                  <c:v>0.9939341733164585</c:v>
                </c:pt>
                <c:pt idx="213">
                  <c:v>0.9942213530503955</c:v>
                </c:pt>
                <c:pt idx="214">
                  <c:v>0.99449501188691147</c:v>
                </c:pt>
                <c:pt idx="215">
                  <c:v>0.99475577944601978</c:v>
                </c:pt>
                <c:pt idx="216">
                  <c:v>0.99500425667336001</c:v>
                </c:pt>
                <c:pt idx="217">
                  <c:v>0.99524101708619372</c:v>
                </c:pt>
                <c:pt idx="218">
                  <c:v>0.99546660797088882</c:v>
                </c:pt>
                <c:pt idx="219">
                  <c:v>0.99568155153323457</c:v>
                </c:pt>
                <c:pt idx="220">
                  <c:v>0.99588634600294701</c:v>
                </c:pt>
                <c:pt idx="221">
                  <c:v>0.99608146669374964</c:v>
                </c:pt>
                <c:pt idx="222">
                  <c:v>0.99626736702039742</c:v>
                </c:pt>
                <c:pt idx="223">
                  <c:v>0.99644447947403658</c:v>
                </c:pt>
                <c:pt idx="224">
                  <c:v>0.99661321655727064</c:v>
                </c:pt>
                <c:pt idx="225">
                  <c:v>0.99677397168029103</c:v>
                </c:pt>
                <c:pt idx="226">
                  <c:v>0.99692712001942785</c:v>
                </c:pt>
                <c:pt idx="227">
                  <c:v>0.99707301933944181</c:v>
                </c:pt>
                <c:pt idx="228">
                  <c:v>0.99721201078087196</c:v>
                </c:pt>
                <c:pt idx="229">
                  <c:v>0.99734441961371201</c:v>
                </c:pt>
                <c:pt idx="230">
                  <c:v>0.99747055595867884</c:v>
                </c:pt>
                <c:pt idx="231">
                  <c:v>0.99759071547729516</c:v>
                </c:pt>
                <c:pt idx="232">
                  <c:v>0.99770518003198416</c:v>
                </c:pt>
                <c:pt idx="233">
                  <c:v>0.99781421831734451</c:v>
                </c:pt>
                <c:pt idx="234">
                  <c:v>0.99791808646373381</c:v>
                </c:pt>
                <c:pt idx="235">
                  <c:v>0.99801702861427188</c:v>
                </c:pt>
                <c:pt idx="236">
                  <c:v>0.99811127747632</c:v>
                </c:pt>
                <c:pt idx="237">
                  <c:v>0.99820105484848454</c:v>
                </c:pt>
                <c:pt idx="238">
                  <c:v>0.99828657212413907</c:v>
                </c:pt>
                <c:pt idx="239">
                  <c:v>0.99836803077243885</c:v>
                </c:pt>
                <c:pt idx="240">
                  <c:v>0.9984456227977625</c:v>
                </c:pt>
                <c:pt idx="241">
                  <c:v>0.99851953117848924</c:v>
                </c:pt>
                <c:pt idx="242">
                  <c:v>0.99858993028597787</c:v>
                </c:pt>
                <c:pt idx="243">
                  <c:v>0.99865698628459976</c:v>
                </c:pt>
                <c:pt idx="244">
                  <c:v>0.99872085751362316</c:v>
                </c:pt>
                <c:pt idx="245">
                  <c:v>0.99878169485174217</c:v>
                </c:pt>
                <c:pt idx="246">
                  <c:v>0.99883964206499043</c:v>
                </c:pt>
                <c:pt idx="247">
                  <c:v>0.99889483613876906</c:v>
                </c:pt>
                <c:pt idx="248">
                  <c:v>0.99894740759468093</c:v>
                </c:pt>
                <c:pt idx="249">
                  <c:v>0.99899748079283424</c:v>
                </c:pt>
                <c:pt idx="250">
                  <c:v>0.99904517422026162</c:v>
                </c:pt>
                <c:pt idx="251">
                  <c:v>0.99909060076606682</c:v>
                </c:pt>
                <c:pt idx="252">
                  <c:v>0.99913386798388293</c:v>
                </c:pt>
                <c:pt idx="253">
                  <c:v>0.99917507834221897</c:v>
                </c:pt>
                <c:pt idx="254">
                  <c:v>0.99921432946322553</c:v>
                </c:pt>
                <c:pt idx="255">
                  <c:v>0.99925171435040572</c:v>
                </c:pt>
                <c:pt idx="256">
                  <c:v>0.99928732160576672</c:v>
                </c:pt>
                <c:pt idx="257">
                  <c:v>0.99932123563688735</c:v>
                </c:pt>
                <c:pt idx="258">
                  <c:v>0.9993535368543619</c:v>
                </c:pt>
                <c:pt idx="259">
                  <c:v>0.99938430186005145</c:v>
                </c:pt>
                <c:pt idx="260">
                  <c:v>0.99941360362656539</c:v>
                </c:pt>
                <c:pt idx="261">
                  <c:v>0.99944151166837059</c:v>
                </c:pt>
                <c:pt idx="262">
                  <c:v>0.99946809220491017</c:v>
                </c:pt>
                <c:pt idx="263">
                  <c:v>0.99949340831610178</c:v>
                </c:pt>
                <c:pt idx="264">
                  <c:v>0.99951752009055839</c:v>
                </c:pt>
                <c:pt idx="265">
                  <c:v>0.99954048476687141</c:v>
                </c:pt>
                <c:pt idx="266">
                  <c:v>0.99956235686827366</c:v>
                </c:pt>
                <c:pt idx="267">
                  <c:v>0.99958318833098592</c:v>
                </c:pt>
                <c:pt idx="268">
                  <c:v>0.99960302862654382</c:v>
                </c:pt>
                <c:pt idx="269">
                  <c:v>0.99962192487837509</c:v>
                </c:pt>
                <c:pt idx="270">
                  <c:v>0.99963992197290297</c:v>
                </c:pt>
                <c:pt idx="271">
                  <c:v>0.99965706266542187</c:v>
                </c:pt>
                <c:pt idx="272">
                  <c:v>0.99967338768099434</c:v>
                </c:pt>
                <c:pt idx="273">
                  <c:v>0.99968893581059493</c:v>
                </c:pt>
                <c:pt idx="274">
                  <c:v>0.99970374400272699</c:v>
                </c:pt>
                <c:pt idx="275">
                  <c:v>0.99971784745072167</c:v>
                </c:pt>
                <c:pt idx="276">
                  <c:v>0.99973127967591957</c:v>
                </c:pt>
                <c:pt idx="277">
                  <c:v>0.99974407260692844</c:v>
                </c:pt>
                <c:pt idx="278">
                  <c:v>0.99975625665514123</c:v>
                </c:pt>
                <c:pt idx="279">
                  <c:v>0.99976786078668745</c:v>
                </c:pt>
                <c:pt idx="280">
                  <c:v>0.99977891259098539</c:v>
                </c:pt>
                <c:pt idx="281">
                  <c:v>0.99978943834605616</c:v>
                </c:pt>
                <c:pt idx="282">
                  <c:v>0.99979946308074941</c:v>
                </c:pt>
                <c:pt idx="283">
                  <c:v>0.99980901063402705</c:v>
                </c:pt>
                <c:pt idx="284">
                  <c:v>0.9998181037114422</c:v>
                </c:pt>
                <c:pt idx="285">
                  <c:v>0.99982676393894487</c:v>
                </c:pt>
                <c:pt idx="286">
                  <c:v>0.99983501191414337</c:v>
                </c:pt>
                <c:pt idx="287">
                  <c:v>0.99984286725513494</c:v>
                </c:pt>
                <c:pt idx="288">
                  <c:v>0.99985034864702715</c:v>
                </c:pt>
                <c:pt idx="289">
                  <c:v>0.99985747388625323</c:v>
                </c:pt>
                <c:pt idx="290">
                  <c:v>0.99986425992278838</c:v>
                </c:pt>
                <c:pt idx="291">
                  <c:v>0.99987072290036627</c:v>
                </c:pt>
                <c:pt idx="292">
                  <c:v>0.99987687819478532</c:v>
                </c:pt>
                <c:pt idx="293">
                  <c:v>0.99988274045040493</c:v>
                </c:pt>
                <c:pt idx="294">
                  <c:v>0.99988832361490343</c:v>
                </c:pt>
                <c:pt idx="295">
                  <c:v>0.9998936409723943</c:v>
                </c:pt>
                <c:pt idx="296">
                  <c:v>0.99989870517496504</c:v>
                </c:pt>
                <c:pt idx="297">
                  <c:v>0.99990352827272444</c:v>
                </c:pt>
                <c:pt idx="298">
                  <c:v>0.99990812174242072</c:v>
                </c:pt>
                <c:pt idx="299">
                  <c:v>0.99991249651470238</c:v>
                </c:pt>
              </c:numCache>
            </c:numRef>
          </c:yVal>
          <c:smooth val="0"/>
          <c:extLst>
            <c:ext xmlns:c16="http://schemas.microsoft.com/office/drawing/2014/chart" uri="{C3380CC4-5D6E-409C-BE32-E72D297353CC}">
              <c16:uniqueId val="{00000000-5D64-4167-9041-73E115222315}"/>
            </c:ext>
          </c:extLst>
        </c:ser>
        <c:dLbls>
          <c:showLegendKey val="0"/>
          <c:showVal val="0"/>
          <c:showCatName val="0"/>
          <c:showSerName val="0"/>
          <c:showPercent val="0"/>
          <c:showBubbleSize val="0"/>
        </c:dLbls>
        <c:axId val="840686687"/>
        <c:axId val="840677567"/>
      </c:scatterChart>
      <c:valAx>
        <c:axId val="840686687"/>
        <c:scaling>
          <c:orientation val="minMax"/>
          <c:max val="3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Time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DE"/>
          </a:p>
        </c:txPr>
        <c:crossAx val="840677567"/>
        <c:crosses val="autoZero"/>
        <c:crossBetween val="midCat"/>
      </c:valAx>
      <c:valAx>
        <c:axId val="840677567"/>
        <c:scaling>
          <c:orientation val="minMax"/>
          <c:max val="1"/>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Allele</a:t>
                </a:r>
                <a:r>
                  <a:rPr lang="en-US" sz="1400" b="1" baseline="0">
                    <a:latin typeface="Times New Roman" panose="02020603050405020304" pitchFamily="18" charset="0"/>
                    <a:cs typeface="Times New Roman" panose="02020603050405020304" pitchFamily="18" charset="0"/>
                  </a:rPr>
                  <a:t> frequency</a:t>
                </a:r>
                <a:endParaRPr lang="en-US" sz="1400" b="1">
                  <a:latin typeface="Times New Roman" panose="02020603050405020304" pitchFamily="18" charset="0"/>
                  <a:cs typeface="Times New Roman" panose="02020603050405020304" pitchFamily="18" charset="0"/>
                </a:endParaRPr>
              </a:p>
            </c:rich>
          </c:tx>
          <c:layout>
            <c:manualLayout>
              <c:xMode val="edge"/>
              <c:yMode val="edge"/>
              <c:x val="2.7414330218068536E-2"/>
              <c:y val="0.24664683546759678"/>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DE"/>
          </a:p>
        </c:txPr>
        <c:crossAx val="840686687"/>
        <c:crosses val="autoZero"/>
        <c:crossBetween val="midCat"/>
        <c:min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N=10, attempts=10</a:t>
            </a:r>
            <a:r>
              <a:rPr lang="en-US" sz="1000" b="0" i="0" u="none" strike="noStrike" kern="1200" spc="0" baseline="30000">
                <a:solidFill>
                  <a:sysClr val="windowText" lastClr="000000">
                    <a:lumMod val="65000"/>
                    <a:lumOff val="35000"/>
                  </a:sysClr>
                </a:solidFill>
              </a:rPr>
              <a:t>7</a:t>
            </a:r>
            <a:r>
              <a:rPr lang="en-US" sz="1000" b="0" i="0" u="none" strike="noStrike" kern="1200" spc="0" baseline="0">
                <a:solidFill>
                  <a:sysClr val="windowText" lastClr="000000">
                    <a:lumMod val="65000"/>
                    <a:lumOff val="35000"/>
                  </a:sysClr>
                </a:solidFill>
              </a:rPr>
              <a:t>,</a:t>
            </a:r>
          </a:p>
          <a:p>
            <a:pPr>
              <a:defRPr sz="1000"/>
            </a:pPr>
            <a:r>
              <a:rPr lang="en-US" sz="1000" b="0" i="0" u="none" strike="noStrike" kern="1200" spc="0" baseline="0">
                <a:solidFill>
                  <a:sysClr val="windowText" lastClr="000000">
                    <a:lumMod val="65000"/>
                    <a:lumOff val="35000"/>
                  </a:sysClr>
                </a:solidFill>
              </a:rPr>
              <a:t>reps= 20, s=0 - 1</a:t>
            </a:r>
          </a:p>
        </c:rich>
      </c:tx>
      <c:layout>
        <c:manualLayout>
          <c:xMode val="edge"/>
          <c:yMode val="edge"/>
          <c:x val="0.21070139748438374"/>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737761111111111"/>
          <c:y val="2.5428331875182269E-2"/>
          <c:w val="0.7849666666666667"/>
          <c:h val="0.75419333333333338"/>
        </c:manualLayout>
      </c:layout>
      <c:scatterChart>
        <c:scatterStyle val="lineMarker"/>
        <c:varyColors val="0"/>
        <c:ser>
          <c:idx val="0"/>
          <c:order val="0"/>
          <c:tx>
            <c:strRef>
              <c:f>Pop_10!$G$28</c:f>
              <c:strCache>
                <c:ptCount val="1"/>
                <c:pt idx="0">
                  <c:v>Prob fix</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poly"/>
            <c:order val="2"/>
            <c:intercept val="5.000000000000001E-2"/>
            <c:dispRSqr val="1"/>
            <c:dispEq val="1"/>
            <c:trendlineLbl>
              <c:layout>
                <c:manualLayout>
                  <c:x val="2.8417777777777712E-2"/>
                  <c:y val="0.2716916666666666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Prob = -0.6498x</a:t>
                    </a:r>
                    <a:r>
                      <a:rPr lang="en-US" baseline="30000"/>
                      <a:t>2</a:t>
                    </a:r>
                    <a:r>
                      <a:rPr lang="en-US" baseline="0"/>
                      <a:t> + 1.3777x + 0.05</a:t>
                    </a:r>
                    <a:br>
                      <a:rPr lang="en-US" baseline="0"/>
                    </a:br>
                    <a:r>
                      <a:rPr lang="en-US" baseline="0"/>
                      <a:t>R² = 0.9993</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Pop_10!$D$29:$D$50</c:f>
              <c:numCache>
                <c:formatCode>General</c:formatCode>
                <c:ptCount val="22"/>
                <c:pt idx="0">
                  <c:v>1</c:v>
                </c:pt>
                <c:pt idx="1">
                  <c:v>0.9</c:v>
                </c:pt>
                <c:pt idx="2">
                  <c:v>0.8</c:v>
                </c:pt>
                <c:pt idx="3">
                  <c:v>0.7</c:v>
                </c:pt>
                <c:pt idx="4">
                  <c:v>0.6</c:v>
                </c:pt>
                <c:pt idx="5">
                  <c:v>0.5</c:v>
                </c:pt>
                <c:pt idx="6">
                  <c:v>0.4</c:v>
                </c:pt>
                <c:pt idx="7">
                  <c:v>0.3</c:v>
                </c:pt>
                <c:pt idx="8">
                  <c:v>0.2</c:v>
                </c:pt>
                <c:pt idx="9">
                  <c:v>0.1</c:v>
                </c:pt>
                <c:pt idx="10">
                  <c:v>0.08</c:v>
                </c:pt>
                <c:pt idx="11">
                  <c:v>0.06</c:v>
                </c:pt>
                <c:pt idx="12">
                  <c:v>0.05</c:v>
                </c:pt>
                <c:pt idx="13">
                  <c:v>0.04</c:v>
                </c:pt>
                <c:pt idx="14">
                  <c:v>0.02</c:v>
                </c:pt>
                <c:pt idx="15" formatCode="0.00E+00">
                  <c:v>0.01</c:v>
                </c:pt>
                <c:pt idx="16" formatCode="0.00E+00">
                  <c:v>5.0000000000000001E-3</c:v>
                </c:pt>
                <c:pt idx="17" formatCode="0.00E+00">
                  <c:v>1E-3</c:v>
                </c:pt>
                <c:pt idx="18">
                  <c:v>1E-4</c:v>
                </c:pt>
                <c:pt idx="19" formatCode="0.00E+00">
                  <c:v>1.0000000000000001E-5</c:v>
                </c:pt>
                <c:pt idx="20" formatCode="0.00E+00">
                  <c:v>9.9999999999999995E-7</c:v>
                </c:pt>
                <c:pt idx="21">
                  <c:v>0</c:v>
                </c:pt>
              </c:numCache>
            </c:numRef>
          </c:xVal>
          <c:yVal>
            <c:numRef>
              <c:f>Pop_10!$G$29:$G$50</c:f>
              <c:numCache>
                <c:formatCode>0.00000</c:formatCode>
                <c:ptCount val="22"/>
                <c:pt idx="0">
                  <c:v>0.79028549999999997</c:v>
                </c:pt>
                <c:pt idx="1">
                  <c:v>0.76086509999999996</c:v>
                </c:pt>
                <c:pt idx="2">
                  <c:v>0.72626168000000002</c:v>
                </c:pt>
                <c:pt idx="3">
                  <c:v>0.68527994999999997</c:v>
                </c:pt>
                <c:pt idx="4">
                  <c:v>0.63649241999999995</c:v>
                </c:pt>
                <c:pt idx="5">
                  <c:v>0.57782975999999997</c:v>
                </c:pt>
                <c:pt idx="6">
                  <c:v>0.50670199999999999</c:v>
                </c:pt>
                <c:pt idx="7">
                  <c:v>0.41929071000000001</c:v>
                </c:pt>
                <c:pt idx="8">
                  <c:v>0.31122314000000001</c:v>
                </c:pt>
                <c:pt idx="9">
                  <c:v>0.17873684000000001</c:v>
                </c:pt>
                <c:pt idx="10">
                  <c:v>0.1502695</c:v>
                </c:pt>
                <c:pt idx="11">
                  <c:v>0.12220093999999999</c:v>
                </c:pt>
                <c:pt idx="12">
                  <c:v>0.10860179</c:v>
                </c:pt>
                <c:pt idx="13">
                  <c:v>9.5400979999999996E-2</c:v>
                </c:pt>
                <c:pt idx="14">
                  <c:v>7.0990429999999993E-2</c:v>
                </c:pt>
                <c:pt idx="15">
                  <c:v>6.0028039999999998E-2</c:v>
                </c:pt>
                <c:pt idx="16">
                  <c:v>5.4871679999999999E-2</c:v>
                </c:pt>
                <c:pt idx="17">
                  <c:v>5.0940609999999997E-2</c:v>
                </c:pt>
                <c:pt idx="18">
                  <c:v>5.0116069999999999E-2</c:v>
                </c:pt>
                <c:pt idx="19">
                  <c:v>4.9994629999999998E-2</c:v>
                </c:pt>
                <c:pt idx="20">
                  <c:v>5.0024699999999998E-2</c:v>
                </c:pt>
                <c:pt idx="21">
                  <c:v>5.0026429999999997E-2</c:v>
                </c:pt>
              </c:numCache>
            </c:numRef>
          </c:yVal>
          <c:smooth val="0"/>
          <c:extLst>
            <c:ext xmlns:c16="http://schemas.microsoft.com/office/drawing/2014/chart" uri="{C3380CC4-5D6E-409C-BE32-E72D297353CC}">
              <c16:uniqueId val="{00000002-CEF5-469A-BFC0-E3579A8B798C}"/>
            </c:ext>
          </c:extLst>
        </c:ser>
        <c:dLbls>
          <c:showLegendKey val="0"/>
          <c:showVal val="0"/>
          <c:showCatName val="0"/>
          <c:showSerName val="0"/>
          <c:showPercent val="0"/>
          <c:showBubbleSize val="0"/>
        </c:dLbls>
        <c:axId val="1643007343"/>
        <c:axId val="1642992943"/>
      </c:scatterChart>
      <c:valAx>
        <c:axId val="1643007343"/>
        <c:scaling>
          <c:orientation val="minMax"/>
          <c:max val="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42992943"/>
        <c:crosses val="autoZero"/>
        <c:crossBetween val="midCat"/>
        <c:minorUnit val="1.0000000000000002E-3"/>
      </c:valAx>
      <c:valAx>
        <c:axId val="1642992943"/>
        <c:scaling>
          <c:orientation val="minMax"/>
          <c:max val="0.8"/>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Prob fixing</a:t>
                </a:r>
              </a:p>
            </c:rich>
          </c:tx>
          <c:layout>
            <c:manualLayout>
              <c:xMode val="edge"/>
              <c:yMode val="edge"/>
              <c:x val="1.1483611111111109E-2"/>
              <c:y val="0.27343277777777775"/>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43007343"/>
        <c:crosses val="autoZero"/>
        <c:crossBetween val="midCat"/>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N=10, attempts=10</a:t>
            </a:r>
            <a:r>
              <a:rPr lang="en-US" sz="1000" b="0" i="0" u="none" strike="noStrike" kern="1200" spc="0" baseline="30000">
                <a:solidFill>
                  <a:sysClr val="windowText" lastClr="000000">
                    <a:lumMod val="65000"/>
                    <a:lumOff val="35000"/>
                  </a:sysClr>
                </a:solidFill>
              </a:rPr>
              <a:t>7</a:t>
            </a:r>
            <a:r>
              <a:rPr lang="en-US" sz="1000" b="0" i="0" u="none" strike="noStrike" kern="1200" spc="0" baseline="0">
                <a:solidFill>
                  <a:sysClr val="windowText" lastClr="000000">
                    <a:lumMod val="65000"/>
                    <a:lumOff val="35000"/>
                  </a:sysClr>
                </a:solidFill>
              </a:rPr>
              <a:t>,</a:t>
            </a:r>
          </a:p>
          <a:p>
            <a:pPr>
              <a:defRPr sz="1000"/>
            </a:pPr>
            <a:r>
              <a:rPr lang="en-US" sz="1000" b="0" i="0" u="none" strike="noStrike" kern="1200" spc="0" baseline="0">
                <a:solidFill>
                  <a:sysClr val="windowText" lastClr="000000">
                    <a:lumMod val="65000"/>
                    <a:lumOff val="35000"/>
                  </a:sysClr>
                </a:solidFill>
              </a:rPr>
              <a:t>reps= 20, s=0 - 0.01</a:t>
            </a:r>
          </a:p>
        </c:rich>
      </c:tx>
      <c:layout>
        <c:manualLayout>
          <c:xMode val="edge"/>
          <c:yMode val="edge"/>
          <c:x val="0.21070139748438374"/>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737761111111111"/>
          <c:y val="2.5428331875182269E-2"/>
          <c:w val="0.76888000000000001"/>
          <c:h val="0.75419333333333338"/>
        </c:manualLayout>
      </c:layout>
      <c:scatterChart>
        <c:scatterStyle val="lineMarker"/>
        <c:varyColors val="0"/>
        <c:ser>
          <c:idx val="0"/>
          <c:order val="0"/>
          <c:tx>
            <c:strRef>
              <c:f>Pop_10!$G$28</c:f>
              <c:strCache>
                <c:ptCount val="1"/>
                <c:pt idx="0">
                  <c:v>Prob fix</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1E-2"/>
            <c:dispRSqr val="0"/>
            <c:dispEq val="0"/>
          </c:trendline>
          <c:trendline>
            <c:spPr>
              <a:ln w="19050" cap="rnd">
                <a:solidFill>
                  <a:schemeClr val="accent1"/>
                </a:solidFill>
                <a:prstDash val="sysDot"/>
              </a:ln>
              <a:effectLst/>
            </c:spPr>
            <c:trendlineType val="linear"/>
            <c:intercept val="5.000000000000001E-2"/>
            <c:dispRSqr val="1"/>
            <c:dispEq val="1"/>
            <c:trendlineLbl>
              <c:layout>
                <c:manualLayout>
                  <c:x val="3.1345555555555557E-2"/>
                  <c:y val="0.29991388888888887"/>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Prob = 1.2393x + 0.05</a:t>
                    </a:r>
                    <a:br>
                      <a:rPr lang="en-US" baseline="0"/>
                    </a:br>
                    <a:r>
                      <a:rPr lang="en-US" baseline="0"/>
                      <a:t>R² = 0.9973</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Pop_10!$D$38:$D$50</c:f>
              <c:numCache>
                <c:formatCode>General</c:formatCode>
                <c:ptCount val="13"/>
                <c:pt idx="0">
                  <c:v>0.1</c:v>
                </c:pt>
                <c:pt idx="1">
                  <c:v>0.08</c:v>
                </c:pt>
                <c:pt idx="2">
                  <c:v>0.06</c:v>
                </c:pt>
                <c:pt idx="3">
                  <c:v>0.05</c:v>
                </c:pt>
                <c:pt idx="4">
                  <c:v>0.04</c:v>
                </c:pt>
                <c:pt idx="5">
                  <c:v>0.02</c:v>
                </c:pt>
                <c:pt idx="6" formatCode="0.00E+00">
                  <c:v>0.01</c:v>
                </c:pt>
                <c:pt idx="7" formatCode="0.00E+00">
                  <c:v>5.0000000000000001E-3</c:v>
                </c:pt>
                <c:pt idx="8" formatCode="0.00E+00">
                  <c:v>1E-3</c:v>
                </c:pt>
                <c:pt idx="9">
                  <c:v>1E-4</c:v>
                </c:pt>
                <c:pt idx="10" formatCode="0.00E+00">
                  <c:v>1.0000000000000001E-5</c:v>
                </c:pt>
                <c:pt idx="11" formatCode="0.00E+00">
                  <c:v>9.9999999999999995E-7</c:v>
                </c:pt>
                <c:pt idx="12">
                  <c:v>0</c:v>
                </c:pt>
              </c:numCache>
            </c:numRef>
          </c:xVal>
          <c:yVal>
            <c:numRef>
              <c:f>Pop_10!$G$38:$G$50</c:f>
              <c:numCache>
                <c:formatCode>0.00000</c:formatCode>
                <c:ptCount val="13"/>
                <c:pt idx="0">
                  <c:v>0.17873684000000001</c:v>
                </c:pt>
                <c:pt idx="1">
                  <c:v>0.1502695</c:v>
                </c:pt>
                <c:pt idx="2">
                  <c:v>0.12220093999999999</c:v>
                </c:pt>
                <c:pt idx="3">
                  <c:v>0.10860179</c:v>
                </c:pt>
                <c:pt idx="4">
                  <c:v>9.5400979999999996E-2</c:v>
                </c:pt>
                <c:pt idx="5">
                  <c:v>7.0990429999999993E-2</c:v>
                </c:pt>
                <c:pt idx="6">
                  <c:v>6.0028039999999998E-2</c:v>
                </c:pt>
                <c:pt idx="7">
                  <c:v>5.4871679999999999E-2</c:v>
                </c:pt>
                <c:pt idx="8">
                  <c:v>5.0940609999999997E-2</c:v>
                </c:pt>
                <c:pt idx="9">
                  <c:v>5.0116069999999999E-2</c:v>
                </c:pt>
                <c:pt idx="10">
                  <c:v>4.9994629999999998E-2</c:v>
                </c:pt>
                <c:pt idx="11">
                  <c:v>5.0024699999999998E-2</c:v>
                </c:pt>
                <c:pt idx="12">
                  <c:v>5.0026429999999997E-2</c:v>
                </c:pt>
              </c:numCache>
            </c:numRef>
          </c:yVal>
          <c:smooth val="0"/>
          <c:extLst>
            <c:ext xmlns:c16="http://schemas.microsoft.com/office/drawing/2014/chart" uri="{C3380CC4-5D6E-409C-BE32-E72D297353CC}">
              <c16:uniqueId val="{00000002-0A31-4A25-B6D1-30A604FED7F6}"/>
            </c:ext>
          </c:extLst>
        </c:ser>
        <c:dLbls>
          <c:showLegendKey val="0"/>
          <c:showVal val="0"/>
          <c:showCatName val="0"/>
          <c:showSerName val="0"/>
          <c:showPercent val="0"/>
          <c:showBubbleSize val="0"/>
        </c:dLbls>
        <c:axId val="1643007343"/>
        <c:axId val="1642992943"/>
      </c:scatterChart>
      <c:valAx>
        <c:axId val="1643007343"/>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42992943"/>
        <c:crosses val="autoZero"/>
        <c:crossBetween val="midCat"/>
        <c:minorUnit val="1.0000000000000002E-2"/>
      </c:valAx>
      <c:valAx>
        <c:axId val="1642992943"/>
        <c:scaling>
          <c:orientation val="minMax"/>
          <c:max val="0.2"/>
          <c:min val="4.0000000000000008E-2"/>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Prob fixing</a:t>
                </a:r>
              </a:p>
            </c:rich>
          </c:tx>
          <c:layout>
            <c:manualLayout>
              <c:xMode val="edge"/>
              <c:yMode val="edge"/>
              <c:x val="1.1483611111111109E-2"/>
              <c:y val="0.27343277777777775"/>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43007343"/>
        <c:crosses val="autoZero"/>
        <c:crossBetween val="midCat"/>
        <c:min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Prob of fixing based on initial</a:t>
            </a:r>
          </a:p>
          <a:p>
            <a:pPr algn="l">
              <a:defRPr/>
            </a:pPr>
            <a:r>
              <a:rPr lang="en-US" sz="1400" b="0" i="0" u="none" strike="noStrike" kern="1200" spc="0" baseline="0">
                <a:solidFill>
                  <a:sysClr val="windowText" lastClr="000000">
                    <a:lumMod val="65000"/>
                    <a:lumOff val="35000"/>
                  </a:sysClr>
                </a:solidFill>
              </a:rPr>
              <a:t>number of alleles. s = 0.1.</a:t>
            </a:r>
          </a:p>
        </c:rich>
      </c:tx>
      <c:layout>
        <c:manualLayout>
          <c:xMode val="edge"/>
          <c:yMode val="edge"/>
          <c:x val="0.36519444444444443"/>
          <c:y val="0.3834579518415561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6620277777777778"/>
          <c:y val="2.5265520277581353E-2"/>
          <c:w val="0.79654388888888894"/>
          <c:h val="0.85562206911317995"/>
        </c:manualLayout>
      </c:layout>
      <c:scatterChart>
        <c:scatterStyle val="lineMarker"/>
        <c:varyColors val="0"/>
        <c:ser>
          <c:idx val="0"/>
          <c:order val="0"/>
          <c:tx>
            <c:strRef>
              <c:f>Pop_10!$I$54</c:f>
              <c:strCache>
                <c:ptCount val="1"/>
                <c:pt idx="0">
                  <c:v>N=10</c:v>
                </c:pt>
              </c:strCache>
            </c:strRef>
          </c:tx>
          <c:spPr>
            <a:ln w="19050" cap="rnd">
              <a:noFill/>
              <a:round/>
            </a:ln>
            <a:effectLst/>
          </c:spPr>
          <c:marker>
            <c:symbol val="circle"/>
            <c:size val="5"/>
            <c:spPr>
              <a:solidFill>
                <a:srgbClr val="00B0F0"/>
              </a:solidFill>
              <a:ln w="9525">
                <a:solidFill>
                  <a:schemeClr val="accent1"/>
                </a:solidFill>
              </a:ln>
              <a:effectLst/>
            </c:spPr>
          </c:marker>
          <c:trendline>
            <c:spPr>
              <a:ln w="19050" cap="rnd">
                <a:solidFill>
                  <a:srgbClr val="00B0F0"/>
                </a:solidFill>
                <a:prstDash val="solid"/>
              </a:ln>
              <a:effectLst/>
            </c:spPr>
            <c:trendlineType val="poly"/>
            <c:order val="4"/>
            <c:dispRSqr val="0"/>
            <c:dispEq val="0"/>
          </c:trendline>
          <c:xVal>
            <c:numRef>
              <c:f>Pop_10!$H$55:$H$60</c:f>
              <c:numCache>
                <c:formatCode>General</c:formatCode>
                <c:ptCount val="6"/>
                <c:pt idx="0">
                  <c:v>1</c:v>
                </c:pt>
                <c:pt idx="1">
                  <c:v>2</c:v>
                </c:pt>
                <c:pt idx="2">
                  <c:v>4</c:v>
                </c:pt>
                <c:pt idx="3">
                  <c:v>5</c:v>
                </c:pt>
                <c:pt idx="4">
                  <c:v>10</c:v>
                </c:pt>
                <c:pt idx="5">
                  <c:v>20</c:v>
                </c:pt>
              </c:numCache>
            </c:numRef>
          </c:xVal>
          <c:yVal>
            <c:numRef>
              <c:f>Pop_10!$I$55:$I$60</c:f>
              <c:numCache>
                <c:formatCode>0.000</c:formatCode>
                <c:ptCount val="6"/>
                <c:pt idx="0">
                  <c:v>0.17949499999999999</c:v>
                </c:pt>
                <c:pt idx="1">
                  <c:v>0.32565</c:v>
                </c:pt>
                <c:pt idx="2">
                  <c:v>0.54842000000000002</c:v>
                </c:pt>
                <c:pt idx="3">
                  <c:v>0.63099499999999997</c:v>
                </c:pt>
                <c:pt idx="4">
                  <c:v>0.87168999999999996</c:v>
                </c:pt>
                <c:pt idx="5">
                  <c:v>1</c:v>
                </c:pt>
              </c:numCache>
            </c:numRef>
          </c:yVal>
          <c:smooth val="0"/>
          <c:extLst>
            <c:ext xmlns:c16="http://schemas.microsoft.com/office/drawing/2014/chart" uri="{C3380CC4-5D6E-409C-BE32-E72D297353CC}">
              <c16:uniqueId val="{00000000-C1E3-45BC-8C3D-3501846B0C69}"/>
            </c:ext>
          </c:extLst>
        </c:ser>
        <c:ser>
          <c:idx val="1"/>
          <c:order val="1"/>
          <c:tx>
            <c:strRef>
              <c:f>Pop_10!$J$54</c:f>
              <c:strCache>
                <c:ptCount val="1"/>
                <c:pt idx="0">
                  <c:v>N=100</c:v>
                </c:pt>
              </c:strCache>
            </c:strRef>
          </c:tx>
          <c:spPr>
            <a:ln w="19050" cap="rnd">
              <a:noFill/>
              <a:round/>
            </a:ln>
            <a:effectLst/>
          </c:spPr>
          <c:marker>
            <c:symbol val="circle"/>
            <c:size val="5"/>
            <c:spPr>
              <a:solidFill>
                <a:schemeClr val="accent2"/>
              </a:solidFill>
              <a:ln w="9525">
                <a:solidFill>
                  <a:schemeClr val="accent2"/>
                </a:solidFill>
              </a:ln>
              <a:effectLst/>
            </c:spPr>
          </c:marker>
          <c:xVal>
            <c:numRef>
              <c:f>Pop_10!$H$55:$H$60</c:f>
              <c:numCache>
                <c:formatCode>General</c:formatCode>
                <c:ptCount val="6"/>
                <c:pt idx="0">
                  <c:v>1</c:v>
                </c:pt>
                <c:pt idx="1">
                  <c:v>2</c:v>
                </c:pt>
                <c:pt idx="2">
                  <c:v>4</c:v>
                </c:pt>
                <c:pt idx="3">
                  <c:v>5</c:v>
                </c:pt>
                <c:pt idx="4">
                  <c:v>10</c:v>
                </c:pt>
                <c:pt idx="5">
                  <c:v>20</c:v>
                </c:pt>
              </c:numCache>
            </c:numRef>
          </c:xVal>
          <c:yVal>
            <c:numRef>
              <c:f>Pop_10!$J$55:$J$60</c:f>
              <c:numCache>
                <c:formatCode>0.000</c:formatCode>
                <c:ptCount val="6"/>
                <c:pt idx="0">
                  <c:v>0.175756</c:v>
                </c:pt>
                <c:pt idx="1">
                  <c:v>0.32060650000000002</c:v>
                </c:pt>
                <c:pt idx="2">
                  <c:v>0.5388655</c:v>
                </c:pt>
                <c:pt idx="3">
                  <c:v>0.61966949999999998</c:v>
                </c:pt>
                <c:pt idx="4">
                  <c:v>0.85538150000000002</c:v>
                </c:pt>
                <c:pt idx="5">
                  <c:v>0.97896249999999996</c:v>
                </c:pt>
              </c:numCache>
            </c:numRef>
          </c:yVal>
          <c:smooth val="0"/>
          <c:extLst>
            <c:ext xmlns:c16="http://schemas.microsoft.com/office/drawing/2014/chart" uri="{C3380CC4-5D6E-409C-BE32-E72D297353CC}">
              <c16:uniqueId val="{00000001-C1E3-45BC-8C3D-3501846B0C69}"/>
            </c:ext>
          </c:extLst>
        </c:ser>
        <c:dLbls>
          <c:showLegendKey val="0"/>
          <c:showVal val="0"/>
          <c:showCatName val="0"/>
          <c:showSerName val="0"/>
          <c:showPercent val="0"/>
          <c:showBubbleSize val="0"/>
        </c:dLbls>
        <c:axId val="2030763983"/>
        <c:axId val="2024520143"/>
      </c:scatterChart>
      <c:valAx>
        <c:axId val="2030763983"/>
        <c:scaling>
          <c:orientation val="minMax"/>
          <c:max val="2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Copies of allele </a:t>
                </a:r>
                <a:r>
                  <a:rPr lang="en-US" sz="1200" b="0" i="1" u="none" strike="noStrike" kern="1200" baseline="0">
                    <a:solidFill>
                      <a:sysClr val="windowText" lastClr="000000">
                        <a:lumMod val="65000"/>
                        <a:lumOff val="35000"/>
                      </a:sysClr>
                    </a:solidFill>
                  </a:rPr>
                  <a:t>A</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024520143"/>
        <c:crosses val="autoZero"/>
        <c:crossBetween val="midCat"/>
      </c:valAx>
      <c:valAx>
        <c:axId val="2024520143"/>
        <c:scaling>
          <c:orientation val="minMax"/>
          <c:max val="1.05"/>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030763983"/>
        <c:crosses val="autoZero"/>
        <c:crossBetween val="midCat"/>
        <c:minorUnit val="5.000000000000001E-2"/>
      </c:valAx>
      <c:spPr>
        <a:noFill/>
        <a:ln>
          <a:noFill/>
        </a:ln>
        <a:effectLst/>
      </c:spPr>
    </c:plotArea>
    <c:legend>
      <c:legendPos val="b"/>
      <c:legendEntry>
        <c:idx val="2"/>
        <c:delete val="1"/>
      </c:legendEntry>
      <c:layout>
        <c:manualLayout>
          <c:xMode val="edge"/>
          <c:yMode val="edge"/>
          <c:x val="0.7478461111111111"/>
          <c:y val="0.12627049170945434"/>
          <c:w val="0.1836288888888889"/>
          <c:h val="9.48221733048820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N=100, attempts=10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a:t>
            </a:r>
          </a:p>
          <a:p>
            <a:pPr>
              <a:defRPr sz="1100"/>
            </a:pPr>
            <a:r>
              <a:rPr lang="en-US" sz="1100" b="0" i="0" u="none" strike="noStrike" kern="1200" spc="0" baseline="0">
                <a:solidFill>
                  <a:sysClr val="windowText" lastClr="000000">
                    <a:lumMod val="65000"/>
                    <a:lumOff val="35000"/>
                  </a:sysClr>
                </a:solidFill>
              </a:rPr>
              <a:t>reps=20, s=0 - 0.1</a:t>
            </a:r>
          </a:p>
        </c:rich>
      </c:tx>
      <c:layout>
        <c:manualLayout>
          <c:xMode val="edge"/>
          <c:yMode val="edge"/>
          <c:x val="0.27722972222222225"/>
          <c:y val="4.233333333333333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6128944444444446"/>
          <c:y val="3.8752777777777775E-2"/>
          <c:w val="0.77116907261592305"/>
          <c:h val="0.73274388888888886"/>
        </c:manualLayout>
      </c:layout>
      <c:scatterChart>
        <c:scatterStyle val="lineMarker"/>
        <c:varyColors val="0"/>
        <c:ser>
          <c:idx val="0"/>
          <c:order val="0"/>
          <c:tx>
            <c:strRef>
              <c:f>Pop_100!$G$2</c:f>
              <c:strCache>
                <c:ptCount val="1"/>
                <c:pt idx="0">
                  <c:v>Prob fix</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olid"/>
              </a:ln>
              <a:effectLst/>
            </c:spPr>
            <c:trendlineType val="linear"/>
            <c:intercept val="5.000000000000001E-3"/>
            <c:dispRSqr val="1"/>
            <c:dispEq val="1"/>
            <c:trendlineLbl>
              <c:layout>
                <c:manualLayout>
                  <c:x val="-4.2649999999999997E-3"/>
                  <c:y val="0.45513611111111113"/>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1.7226s + 0.005</a:t>
                    </a:r>
                    <a:br>
                      <a:rPr lang="en-US" sz="1000" baseline="0"/>
                    </a:br>
                    <a:r>
                      <a:rPr lang="en-US" sz="1000" baseline="0"/>
                      <a:t>R² = 0.9995</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Pop_100!$D$12:$D$25</c:f>
              <c:numCache>
                <c:formatCode>General</c:formatCode>
                <c:ptCount val="14"/>
                <c:pt idx="0">
                  <c:v>0.1</c:v>
                </c:pt>
                <c:pt idx="1">
                  <c:v>0.05</c:v>
                </c:pt>
                <c:pt idx="2" formatCode="0.0E+00">
                  <c:v>0.01</c:v>
                </c:pt>
                <c:pt idx="3">
                  <c:v>5.0000000000000001E-3</c:v>
                </c:pt>
                <c:pt idx="4" formatCode="0.0E+00">
                  <c:v>1E-3</c:v>
                </c:pt>
                <c:pt idx="5">
                  <c:v>5.0000000000000001E-4</c:v>
                </c:pt>
                <c:pt idx="6" formatCode="0.0E+00">
                  <c:v>1E-4</c:v>
                </c:pt>
                <c:pt idx="7" formatCode="0.0E+00">
                  <c:v>5.0000000000000002E-5</c:v>
                </c:pt>
                <c:pt idx="8" formatCode="0.0E+00">
                  <c:v>1.0000000000000001E-5</c:v>
                </c:pt>
                <c:pt idx="9" formatCode="0.0E+00">
                  <c:v>5.0000000000000004E-6</c:v>
                </c:pt>
                <c:pt idx="10" formatCode="0.0E+00">
                  <c:v>9.9999999999999995E-7</c:v>
                </c:pt>
                <c:pt idx="11" formatCode="0.0E+00">
                  <c:v>4.9999999999999998E-7</c:v>
                </c:pt>
                <c:pt idx="12" formatCode="0.0E+00">
                  <c:v>9.9999999999999995E-8</c:v>
                </c:pt>
                <c:pt idx="13">
                  <c:v>0</c:v>
                </c:pt>
              </c:numCache>
            </c:numRef>
          </c:xVal>
          <c:yVal>
            <c:numRef>
              <c:f>Pop_100!$G$12:$G$25</c:f>
              <c:numCache>
                <c:formatCode>0.00000</c:formatCode>
                <c:ptCount val="14"/>
                <c:pt idx="0">
                  <c:v>0.17630999999999999</c:v>
                </c:pt>
                <c:pt idx="1">
                  <c:v>9.3625E-2</c:v>
                </c:pt>
                <c:pt idx="2">
                  <c:v>2.0424999999999999E-2</c:v>
                </c:pt>
                <c:pt idx="3">
                  <c:v>1.1325E-2</c:v>
                </c:pt>
                <c:pt idx="4">
                  <c:v>6.2500000000000003E-3</c:v>
                </c:pt>
                <c:pt idx="5">
                  <c:v>5.2449999999999997E-3</c:v>
                </c:pt>
                <c:pt idx="6">
                  <c:v>5.2649999999999997E-3</c:v>
                </c:pt>
                <c:pt idx="7">
                  <c:v>5.3049999999999998E-3</c:v>
                </c:pt>
                <c:pt idx="8">
                  <c:v>5.0600000000000003E-3</c:v>
                </c:pt>
                <c:pt idx="9">
                  <c:v>5.1399999999999996E-3</c:v>
                </c:pt>
                <c:pt idx="10">
                  <c:v>5.0099999999999997E-3</c:v>
                </c:pt>
                <c:pt idx="11">
                  <c:v>5.1850000000000004E-3</c:v>
                </c:pt>
                <c:pt idx="12">
                  <c:v>5.025E-3</c:v>
                </c:pt>
                <c:pt idx="13">
                  <c:v>5.0899999999999999E-3</c:v>
                </c:pt>
              </c:numCache>
            </c:numRef>
          </c:yVal>
          <c:smooth val="0"/>
          <c:extLst>
            <c:ext xmlns:c16="http://schemas.microsoft.com/office/drawing/2014/chart" uri="{C3380CC4-5D6E-409C-BE32-E72D297353CC}">
              <c16:uniqueId val="{00000000-E5AF-4CE8-8B23-059B1CB82CB3}"/>
            </c:ext>
          </c:extLst>
        </c:ser>
        <c:dLbls>
          <c:showLegendKey val="0"/>
          <c:showVal val="0"/>
          <c:showCatName val="0"/>
          <c:showSerName val="0"/>
          <c:showPercent val="0"/>
          <c:showBubbleSize val="0"/>
        </c:dLbls>
        <c:axId val="965745216"/>
        <c:axId val="965745696"/>
      </c:scatterChart>
      <c:valAx>
        <c:axId val="965745216"/>
        <c:scaling>
          <c:orientation val="minMax"/>
          <c:max val="0.1"/>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5745696"/>
        <c:crosses val="autoZero"/>
        <c:crossBetween val="midCat"/>
        <c:minorUnit val="1.0000000000000002E-2"/>
      </c:valAx>
      <c:valAx>
        <c:axId val="9657456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9.8751093613298323E-3"/>
              <c:y val="0.2836614173228346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5745216"/>
        <c:crosses val="autoZero"/>
        <c:crossBetween val="midCat"/>
        <c:minorUnit val="2.5000000000000005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N=100, attempts=10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a:t>
            </a:r>
          </a:p>
          <a:p>
            <a:pPr>
              <a:defRPr sz="1100"/>
            </a:pPr>
            <a:r>
              <a:rPr lang="en-US" sz="1100" b="0" i="0" u="none" strike="noStrike" kern="1200" spc="0" baseline="0">
                <a:solidFill>
                  <a:sysClr val="windowText" lastClr="000000">
                    <a:lumMod val="65000"/>
                    <a:lumOff val="35000"/>
                  </a:sysClr>
                </a:solidFill>
              </a:rPr>
              <a:t>reps=20, s=0 - 0.01</a:t>
            </a:r>
          </a:p>
        </c:rich>
      </c:tx>
      <c:layout>
        <c:manualLayout>
          <c:xMode val="edge"/>
          <c:yMode val="edge"/>
          <c:x val="0.28428527777777779"/>
          <c:y val="3.5277777777777776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004166666666666"/>
          <c:y val="2.5428331875182269E-2"/>
          <c:w val="0.75000250000000002"/>
          <c:h val="0.73274388888888886"/>
        </c:manualLayout>
      </c:layout>
      <c:scatterChart>
        <c:scatterStyle val="lineMarker"/>
        <c:varyColors val="0"/>
        <c:ser>
          <c:idx val="0"/>
          <c:order val="0"/>
          <c:tx>
            <c:strRef>
              <c:f>Pop_100!$G$2</c:f>
              <c:strCache>
                <c:ptCount val="1"/>
                <c:pt idx="0">
                  <c:v>Prob fix</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olid"/>
              </a:ln>
              <a:effectLst/>
            </c:spPr>
            <c:trendlineType val="linear"/>
            <c:intercept val="5.000000000000001E-3"/>
            <c:dispRSqr val="1"/>
            <c:dispEq val="1"/>
            <c:trendlineLbl>
              <c:layout>
                <c:manualLayout>
                  <c:x val="2.2769444444444443E-3"/>
                  <c:y val="0.38773666666666667"/>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1.4833s + 0.005</a:t>
                    </a:r>
                    <a:br>
                      <a:rPr lang="en-US" sz="1000" baseline="0"/>
                    </a:br>
                    <a:r>
                      <a:rPr lang="en-US" sz="1000" baseline="0"/>
                      <a:t>R² = 0.9915</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Pop_100!$D$14:$D$25</c:f>
              <c:numCache>
                <c:formatCode>General</c:formatCode>
                <c:ptCount val="12"/>
                <c:pt idx="0" formatCode="0.0E+00">
                  <c:v>0.01</c:v>
                </c:pt>
                <c:pt idx="1">
                  <c:v>5.0000000000000001E-3</c:v>
                </c:pt>
                <c:pt idx="2" formatCode="0.0E+00">
                  <c:v>1E-3</c:v>
                </c:pt>
                <c:pt idx="3">
                  <c:v>5.0000000000000001E-4</c:v>
                </c:pt>
                <c:pt idx="4" formatCode="0.0E+00">
                  <c:v>1E-4</c:v>
                </c:pt>
                <c:pt idx="5" formatCode="0.0E+00">
                  <c:v>5.0000000000000002E-5</c:v>
                </c:pt>
                <c:pt idx="6" formatCode="0.0E+00">
                  <c:v>1.0000000000000001E-5</c:v>
                </c:pt>
                <c:pt idx="7" formatCode="0.0E+00">
                  <c:v>5.0000000000000004E-6</c:v>
                </c:pt>
                <c:pt idx="8" formatCode="0.0E+00">
                  <c:v>9.9999999999999995E-7</c:v>
                </c:pt>
                <c:pt idx="9" formatCode="0.0E+00">
                  <c:v>4.9999999999999998E-7</c:v>
                </c:pt>
                <c:pt idx="10" formatCode="0.0E+00">
                  <c:v>9.9999999999999995E-8</c:v>
                </c:pt>
                <c:pt idx="11">
                  <c:v>0</c:v>
                </c:pt>
              </c:numCache>
            </c:numRef>
          </c:xVal>
          <c:yVal>
            <c:numRef>
              <c:f>Pop_100!$G$14:$G$25</c:f>
              <c:numCache>
                <c:formatCode>0.00000</c:formatCode>
                <c:ptCount val="12"/>
                <c:pt idx="0">
                  <c:v>2.0424999999999999E-2</c:v>
                </c:pt>
                <c:pt idx="1">
                  <c:v>1.1325E-2</c:v>
                </c:pt>
                <c:pt idx="2">
                  <c:v>6.2500000000000003E-3</c:v>
                </c:pt>
                <c:pt idx="3">
                  <c:v>5.2449999999999997E-3</c:v>
                </c:pt>
                <c:pt idx="4">
                  <c:v>5.2649999999999997E-3</c:v>
                </c:pt>
                <c:pt idx="5">
                  <c:v>5.3049999999999998E-3</c:v>
                </c:pt>
                <c:pt idx="6">
                  <c:v>5.0600000000000003E-3</c:v>
                </c:pt>
                <c:pt idx="7">
                  <c:v>5.1399999999999996E-3</c:v>
                </c:pt>
                <c:pt idx="8">
                  <c:v>5.0099999999999997E-3</c:v>
                </c:pt>
                <c:pt idx="9">
                  <c:v>5.1850000000000004E-3</c:v>
                </c:pt>
                <c:pt idx="10">
                  <c:v>5.025E-3</c:v>
                </c:pt>
                <c:pt idx="11">
                  <c:v>5.0899999999999999E-3</c:v>
                </c:pt>
              </c:numCache>
            </c:numRef>
          </c:yVal>
          <c:smooth val="0"/>
          <c:extLst>
            <c:ext xmlns:c16="http://schemas.microsoft.com/office/drawing/2014/chart" uri="{C3380CC4-5D6E-409C-BE32-E72D297353CC}">
              <c16:uniqueId val="{00000001-93FC-47D9-966C-77477F4CB45B}"/>
            </c:ext>
          </c:extLst>
        </c:ser>
        <c:dLbls>
          <c:showLegendKey val="0"/>
          <c:showVal val="0"/>
          <c:showCatName val="0"/>
          <c:showSerName val="0"/>
          <c:showPercent val="0"/>
          <c:showBubbleSize val="0"/>
        </c:dLbls>
        <c:axId val="965745216"/>
        <c:axId val="965745696"/>
      </c:scatterChart>
      <c:valAx>
        <c:axId val="965745216"/>
        <c:scaling>
          <c:orientation val="minMax"/>
          <c:max val="1.0000000000000002E-2"/>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5745696"/>
        <c:crosses val="autoZero"/>
        <c:crossBetween val="midCat"/>
        <c:minorUnit val="1.0000000000000002E-3"/>
      </c:valAx>
      <c:valAx>
        <c:axId val="965745696"/>
        <c:scaling>
          <c:orientation val="minMax"/>
          <c:max val="2.5000000000000005E-2"/>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2.8194444444444439E-3"/>
              <c:y val="0.28366166666666665"/>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5745216"/>
        <c:crosses val="autoZero"/>
        <c:crossBetween val="midCat"/>
        <c:majorUnit val="5.000000000000001E-3"/>
        <c:minorUnit val="2.5000000000000005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N=100, attempts=10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a:t>
            </a:r>
          </a:p>
          <a:p>
            <a:pPr algn="l">
              <a:defRPr sz="1100"/>
            </a:pPr>
            <a:r>
              <a:rPr lang="en-US" sz="1100" b="0" i="0" u="none" strike="noStrike" kern="1200" spc="0" baseline="0">
                <a:solidFill>
                  <a:sysClr val="windowText" lastClr="000000">
                    <a:lumMod val="65000"/>
                    <a:lumOff val="35000"/>
                  </a:sysClr>
                </a:solidFill>
              </a:rPr>
              <a:t>reps=20, s=0 - 1</a:t>
            </a:r>
          </a:p>
        </c:rich>
      </c:tx>
      <c:layout>
        <c:manualLayout>
          <c:xMode val="edge"/>
          <c:yMode val="edge"/>
          <c:x val="0.26556722222222223"/>
          <c:y val="2.9451111111111112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146999999999999"/>
          <c:y val="3.8752777777777775E-2"/>
          <c:w val="0.79109785240077724"/>
          <c:h val="0.71863277777777779"/>
        </c:manualLayout>
      </c:layout>
      <c:scatterChart>
        <c:scatterStyle val="lineMarker"/>
        <c:varyColors val="0"/>
        <c:ser>
          <c:idx val="0"/>
          <c:order val="0"/>
          <c:tx>
            <c:strRef>
              <c:f>Pop_100!$G$2</c:f>
              <c:strCache>
                <c:ptCount val="1"/>
                <c:pt idx="0">
                  <c:v>Prob fix</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olid"/>
              </a:ln>
              <a:effectLst/>
            </c:spPr>
            <c:trendlineType val="poly"/>
            <c:order val="3"/>
            <c:intercept val="5.000000000000001E-3"/>
            <c:dispRSqr val="1"/>
            <c:dispEq val="1"/>
            <c:trendlineLbl>
              <c:layout>
                <c:manualLayout>
                  <c:x val="3.4026944444444443E-2"/>
                  <c:y val="0.37046944444444446"/>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0.6234s</a:t>
                    </a:r>
                    <a:r>
                      <a:rPr lang="en-US" sz="1000" baseline="30000"/>
                      <a:t>3</a:t>
                    </a:r>
                    <a:r>
                      <a:rPr lang="en-US" sz="1000" baseline="0"/>
                      <a:t> - 1.6703s</a:t>
                    </a:r>
                    <a:r>
                      <a:rPr lang="en-US" sz="1000" baseline="30000"/>
                      <a:t>2</a:t>
                    </a:r>
                    <a:r>
                      <a:rPr lang="en-US" sz="1000" baseline="0"/>
                      <a:t> +</a:t>
                    </a:r>
                  </a:p>
                  <a:p>
                    <a:pPr>
                      <a:defRPr sz="1000"/>
                    </a:pPr>
                    <a:r>
                      <a:rPr lang="en-US" sz="1000" baseline="0"/>
                      <a:t>1.841s + 0.005</a:t>
                    </a:r>
                    <a:br>
                      <a:rPr lang="en-US" sz="1000" baseline="0"/>
                    </a:br>
                    <a:r>
                      <a:rPr lang="en-US" sz="1000" baseline="0"/>
                      <a:t>R² = 1</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Pop_100!$D$3:$D$25</c:f>
              <c:numCache>
                <c:formatCode>General</c:formatCode>
                <c:ptCount val="23"/>
                <c:pt idx="0">
                  <c:v>1</c:v>
                </c:pt>
                <c:pt idx="1">
                  <c:v>0.9</c:v>
                </c:pt>
                <c:pt idx="2">
                  <c:v>0.8</c:v>
                </c:pt>
                <c:pt idx="3">
                  <c:v>0.7</c:v>
                </c:pt>
                <c:pt idx="4">
                  <c:v>0.6</c:v>
                </c:pt>
                <c:pt idx="5">
                  <c:v>0.5</c:v>
                </c:pt>
                <c:pt idx="6">
                  <c:v>0.4</c:v>
                </c:pt>
                <c:pt idx="7">
                  <c:v>0.3</c:v>
                </c:pt>
                <c:pt idx="8">
                  <c:v>0.2</c:v>
                </c:pt>
                <c:pt idx="9">
                  <c:v>0.1</c:v>
                </c:pt>
                <c:pt idx="10">
                  <c:v>0.05</c:v>
                </c:pt>
                <c:pt idx="11" formatCode="0.0E+00">
                  <c:v>0.01</c:v>
                </c:pt>
                <c:pt idx="12">
                  <c:v>5.0000000000000001E-3</c:v>
                </c:pt>
                <c:pt idx="13" formatCode="0.0E+00">
                  <c:v>1E-3</c:v>
                </c:pt>
                <c:pt idx="14">
                  <c:v>5.0000000000000001E-4</c:v>
                </c:pt>
                <c:pt idx="15" formatCode="0.0E+00">
                  <c:v>1E-4</c:v>
                </c:pt>
                <c:pt idx="16" formatCode="0.0E+00">
                  <c:v>5.0000000000000002E-5</c:v>
                </c:pt>
                <c:pt idx="17" formatCode="0.0E+00">
                  <c:v>1.0000000000000001E-5</c:v>
                </c:pt>
                <c:pt idx="18" formatCode="0.0E+00">
                  <c:v>5.0000000000000004E-6</c:v>
                </c:pt>
                <c:pt idx="19" formatCode="0.0E+00">
                  <c:v>9.9999999999999995E-7</c:v>
                </c:pt>
                <c:pt idx="20" formatCode="0.0E+00">
                  <c:v>4.9999999999999998E-7</c:v>
                </c:pt>
                <c:pt idx="21" formatCode="0.0E+00">
                  <c:v>9.9999999999999995E-8</c:v>
                </c:pt>
                <c:pt idx="22">
                  <c:v>0</c:v>
                </c:pt>
              </c:numCache>
            </c:numRef>
          </c:xVal>
          <c:yVal>
            <c:numRef>
              <c:f>Pop_100!$G$3:$G$25</c:f>
              <c:numCache>
                <c:formatCode>0.00000</c:formatCode>
                <c:ptCount val="23"/>
                <c:pt idx="0">
                  <c:v>0.79688000000000003</c:v>
                </c:pt>
                <c:pt idx="1">
                  <c:v>0.76605000000000001</c:v>
                </c:pt>
                <c:pt idx="2">
                  <c:v>0.72902500000000003</c:v>
                </c:pt>
                <c:pt idx="3">
                  <c:v>0.69006999999999996</c:v>
                </c:pt>
                <c:pt idx="4">
                  <c:v>0.64305000000000001</c:v>
                </c:pt>
                <c:pt idx="5">
                  <c:v>0.58319500000000002</c:v>
                </c:pt>
                <c:pt idx="6">
                  <c:v>0.51131000000000004</c:v>
                </c:pt>
                <c:pt idx="7">
                  <c:v>0.42327500000000001</c:v>
                </c:pt>
                <c:pt idx="8">
                  <c:v>0.31474999999999997</c:v>
                </c:pt>
                <c:pt idx="9">
                  <c:v>0.17630999999999999</c:v>
                </c:pt>
                <c:pt idx="10">
                  <c:v>9.3625E-2</c:v>
                </c:pt>
                <c:pt idx="11">
                  <c:v>2.0424999999999999E-2</c:v>
                </c:pt>
                <c:pt idx="12">
                  <c:v>1.1325E-2</c:v>
                </c:pt>
                <c:pt idx="13">
                  <c:v>6.2500000000000003E-3</c:v>
                </c:pt>
                <c:pt idx="14">
                  <c:v>5.2449999999999997E-3</c:v>
                </c:pt>
                <c:pt idx="15">
                  <c:v>5.2649999999999997E-3</c:v>
                </c:pt>
                <c:pt idx="16">
                  <c:v>5.3049999999999998E-3</c:v>
                </c:pt>
                <c:pt idx="17">
                  <c:v>5.0600000000000003E-3</c:v>
                </c:pt>
                <c:pt idx="18">
                  <c:v>5.1399999999999996E-3</c:v>
                </c:pt>
                <c:pt idx="19">
                  <c:v>5.0099999999999997E-3</c:v>
                </c:pt>
                <c:pt idx="20">
                  <c:v>5.1850000000000004E-3</c:v>
                </c:pt>
                <c:pt idx="21">
                  <c:v>5.025E-3</c:v>
                </c:pt>
                <c:pt idx="22">
                  <c:v>5.0899999999999999E-3</c:v>
                </c:pt>
              </c:numCache>
            </c:numRef>
          </c:yVal>
          <c:smooth val="0"/>
          <c:extLst>
            <c:ext xmlns:c16="http://schemas.microsoft.com/office/drawing/2014/chart" uri="{C3380CC4-5D6E-409C-BE32-E72D297353CC}">
              <c16:uniqueId val="{00000001-6BB1-4567-82AA-85F945DE15BD}"/>
            </c:ext>
          </c:extLst>
        </c:ser>
        <c:dLbls>
          <c:showLegendKey val="0"/>
          <c:showVal val="0"/>
          <c:showCatName val="0"/>
          <c:showSerName val="0"/>
          <c:showPercent val="0"/>
          <c:showBubbleSize val="0"/>
        </c:dLbls>
        <c:axId val="965745216"/>
        <c:axId val="965745696"/>
      </c:scatterChart>
      <c:valAx>
        <c:axId val="965745216"/>
        <c:scaling>
          <c:orientation val="minMax"/>
          <c:max val="1"/>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5745696"/>
        <c:crosses val="autoZero"/>
        <c:crossBetween val="midCat"/>
        <c:minorUnit val="0.1"/>
      </c:valAx>
      <c:valAx>
        <c:axId val="9657456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9.8751093613298323E-3"/>
              <c:y val="0.2836614173228346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5745216"/>
        <c:crosses val="autoZero"/>
        <c:crossBetween val="midCat"/>
        <c:majorUnit val="0.2"/>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0" i="0" u="none" strike="noStrike" kern="1200" spc="0" baseline="0">
                <a:solidFill>
                  <a:sysClr val="windowText" lastClr="000000">
                    <a:lumMod val="65000"/>
                    <a:lumOff val="35000"/>
                  </a:sysClr>
                </a:solidFill>
              </a:rPr>
              <a:t>N=100, attempts=10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a:t>
            </a:r>
          </a:p>
          <a:p>
            <a:pPr marL="0" marR="0" lvl="0" indent="0" algn="l"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defRPr>
            </a:pPr>
            <a:r>
              <a:rPr lang="en-US" sz="1100" b="0" i="0" u="none" strike="noStrike" kern="1200" spc="0" baseline="0">
                <a:solidFill>
                  <a:sysClr val="windowText" lastClr="000000">
                    <a:lumMod val="65000"/>
                    <a:lumOff val="35000"/>
                  </a:sysClr>
                </a:solidFill>
              </a:rPr>
              <a:t>reps=20, s=0 - 1</a:t>
            </a:r>
          </a:p>
        </c:rich>
      </c:tx>
      <c:layout>
        <c:manualLayout>
          <c:xMode val="edge"/>
          <c:yMode val="edge"/>
          <c:x val="0.26860333333333336"/>
          <c:y val="2.2695E-2"/>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16781686358071715"/>
          <c:y val="2.662420382165603E-2"/>
          <c:w val="0.78288250000000004"/>
          <c:h val="0.70815111111111106"/>
        </c:manualLayout>
      </c:layout>
      <c:scatterChart>
        <c:scatterStyle val="lineMarker"/>
        <c:varyColors val="0"/>
        <c:ser>
          <c:idx val="0"/>
          <c:order val="0"/>
          <c:tx>
            <c:strRef>
              <c:f>Pop_100!$L$2</c:f>
              <c:strCache>
                <c:ptCount val="1"/>
                <c:pt idx="0">
                  <c:v>Kimura</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6896388888888889E-2"/>
                  <c:y val="0.4410249999999999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Kimura = 1.0889(sim) - 0.0024</a:t>
                    </a:r>
                    <a:br>
                      <a:rPr lang="en-US" baseline="0"/>
                    </a:br>
                    <a:r>
                      <a:rPr lang="en-US" baseline="0"/>
                      <a:t>R² = 0.9998</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Pop_100!$G$3:$G$25</c:f>
              <c:numCache>
                <c:formatCode>0.00000</c:formatCode>
                <c:ptCount val="23"/>
                <c:pt idx="0">
                  <c:v>0.79688000000000003</c:v>
                </c:pt>
                <c:pt idx="1">
                  <c:v>0.76605000000000001</c:v>
                </c:pt>
                <c:pt idx="2">
                  <c:v>0.72902500000000003</c:v>
                </c:pt>
                <c:pt idx="3">
                  <c:v>0.69006999999999996</c:v>
                </c:pt>
                <c:pt idx="4">
                  <c:v>0.64305000000000001</c:v>
                </c:pt>
                <c:pt idx="5">
                  <c:v>0.58319500000000002</c:v>
                </c:pt>
                <c:pt idx="6">
                  <c:v>0.51131000000000004</c:v>
                </c:pt>
                <c:pt idx="7">
                  <c:v>0.42327500000000001</c:v>
                </c:pt>
                <c:pt idx="8">
                  <c:v>0.31474999999999997</c:v>
                </c:pt>
                <c:pt idx="9">
                  <c:v>0.17630999999999999</c:v>
                </c:pt>
                <c:pt idx="10">
                  <c:v>9.3625E-2</c:v>
                </c:pt>
                <c:pt idx="11">
                  <c:v>2.0424999999999999E-2</c:v>
                </c:pt>
                <c:pt idx="12">
                  <c:v>1.1325E-2</c:v>
                </c:pt>
                <c:pt idx="13">
                  <c:v>6.2500000000000003E-3</c:v>
                </c:pt>
                <c:pt idx="14">
                  <c:v>5.2449999999999997E-3</c:v>
                </c:pt>
                <c:pt idx="15">
                  <c:v>5.2649999999999997E-3</c:v>
                </c:pt>
                <c:pt idx="16">
                  <c:v>5.3049999999999998E-3</c:v>
                </c:pt>
                <c:pt idx="17">
                  <c:v>5.0600000000000003E-3</c:v>
                </c:pt>
                <c:pt idx="18">
                  <c:v>5.1399999999999996E-3</c:v>
                </c:pt>
                <c:pt idx="19">
                  <c:v>5.0099999999999997E-3</c:v>
                </c:pt>
                <c:pt idx="20">
                  <c:v>5.1850000000000004E-3</c:v>
                </c:pt>
                <c:pt idx="21">
                  <c:v>5.025E-3</c:v>
                </c:pt>
                <c:pt idx="22">
                  <c:v>5.0899999999999999E-3</c:v>
                </c:pt>
              </c:numCache>
            </c:numRef>
          </c:xVal>
          <c:yVal>
            <c:numRef>
              <c:f>Pop_100!$L$3:$L$25</c:f>
              <c:numCache>
                <c:formatCode>0.00000</c:formatCode>
                <c:ptCount val="23"/>
                <c:pt idx="0">
                  <c:v>0.8646647167633873</c:v>
                </c:pt>
                <c:pt idx="1">
                  <c:v>0.83470111177841344</c:v>
                </c:pt>
                <c:pt idx="2">
                  <c:v>0.79810348200534464</c:v>
                </c:pt>
                <c:pt idx="3">
                  <c:v>0.75340303605839354</c:v>
                </c:pt>
                <c:pt idx="4">
                  <c:v>0.69880578808779781</c:v>
                </c:pt>
                <c:pt idx="5">
                  <c:v>0.63212055882855767</c:v>
                </c:pt>
                <c:pt idx="6">
                  <c:v>0.55067103588277844</c:v>
                </c:pt>
                <c:pt idx="7">
                  <c:v>0.45118836390597361</c:v>
                </c:pt>
                <c:pt idx="8">
                  <c:v>0.32967995396436067</c:v>
                </c:pt>
                <c:pt idx="9">
                  <c:v>0.18126924692201818</c:v>
                </c:pt>
                <c:pt idx="10">
                  <c:v>9.516258216018518E-2</c:v>
                </c:pt>
                <c:pt idx="11">
                  <c:v>2.0170767181041434E-2</c:v>
                </c:pt>
                <c:pt idx="12">
                  <c:v>1.150754281737938E-2</c:v>
                </c:pt>
                <c:pt idx="13">
                  <c:v>6.0604271161810181E-3</c:v>
                </c:pt>
                <c:pt idx="14">
                  <c:v>5.513898157556543E-3</c:v>
                </c:pt>
                <c:pt idx="15">
                  <c:v>5.1001566162271281E-3</c:v>
                </c:pt>
                <c:pt idx="16">
                  <c:v>5.0499141656390779E-3</c:v>
                </c:pt>
                <c:pt idx="17">
                  <c:v>5.0099565669328361E-3</c:v>
                </c:pt>
                <c:pt idx="18">
                  <c:v>5.0049766417445381E-3</c:v>
                </c:pt>
                <c:pt idx="19">
                  <c:v>5.0009950656437078E-3</c:v>
                </c:pt>
                <c:pt idx="20">
                  <c:v>5.0004975163384612E-3</c:v>
                </c:pt>
                <c:pt idx="21">
                  <c:v>5.0000995012044209E-3</c:v>
                </c:pt>
                <c:pt idx="22">
                  <c:v>5.0000000000000001E-3</c:v>
                </c:pt>
              </c:numCache>
            </c:numRef>
          </c:yVal>
          <c:smooth val="0"/>
          <c:extLst>
            <c:ext xmlns:c16="http://schemas.microsoft.com/office/drawing/2014/chart" uri="{C3380CC4-5D6E-409C-BE32-E72D297353CC}">
              <c16:uniqueId val="{00000000-780D-4EB5-BF8F-71F67B29F0FD}"/>
            </c:ext>
          </c:extLst>
        </c:ser>
        <c:dLbls>
          <c:showLegendKey val="0"/>
          <c:showVal val="0"/>
          <c:showCatName val="0"/>
          <c:showSerName val="0"/>
          <c:showPercent val="0"/>
          <c:showBubbleSize val="0"/>
        </c:dLbls>
        <c:axId val="1075237312"/>
        <c:axId val="1075239712"/>
      </c:scatterChart>
      <c:valAx>
        <c:axId val="1075237312"/>
        <c:scaling>
          <c:orientation val="minMax"/>
          <c:max val="0.9"/>
          <c:min val="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 (simulation)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5239712"/>
        <c:crosses val="autoZero"/>
        <c:crossBetween val="midCat"/>
        <c:majorUnit val="0.1"/>
        <c:minorUnit val="5.000000000000001E-2"/>
      </c:valAx>
      <c:valAx>
        <c:axId val="1075239712"/>
        <c:scaling>
          <c:orientation val="minMax"/>
          <c:max val="1"/>
          <c:min val="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 (Kimura)</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5237312"/>
        <c:crosses val="autoZero"/>
        <c:crossBetween val="midCat"/>
        <c:majorUnit val="0.2"/>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N=100, attempts=10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a:t>
            </a:r>
          </a:p>
          <a:p>
            <a:pPr algn="l">
              <a:defRPr/>
            </a:pPr>
            <a:r>
              <a:rPr lang="en-US" sz="1100" b="0" i="0" u="none" strike="noStrike" kern="1200" spc="0" baseline="0">
                <a:solidFill>
                  <a:sysClr val="windowText" lastClr="000000">
                    <a:lumMod val="65000"/>
                    <a:lumOff val="35000"/>
                  </a:sysClr>
                </a:solidFill>
              </a:rPr>
              <a:t>reps=20, s=0 - 0.01</a:t>
            </a:r>
          </a:p>
        </c:rich>
      </c:tx>
      <c:layout>
        <c:manualLayout>
          <c:xMode val="edge"/>
          <c:yMode val="edge"/>
          <c:x val="0.27048055555555556"/>
          <c:y val="2.684500000000000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6458994652330508"/>
          <c:y val="2.6919831223628687E-2"/>
          <c:w val="0.78610944444444442"/>
          <c:h val="0.70016"/>
        </c:manualLayout>
      </c:layout>
      <c:scatterChart>
        <c:scatterStyle val="lineMarker"/>
        <c:varyColors val="0"/>
        <c:ser>
          <c:idx val="0"/>
          <c:order val="0"/>
          <c:tx>
            <c:strRef>
              <c:f>Pop_100!$L$2</c:f>
              <c:strCache>
                <c:ptCount val="1"/>
                <c:pt idx="0">
                  <c:v>Kimura</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6275E-2"/>
                  <c:y val="0.39869166666666667"/>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Kimura = 0.9944(sim) - 4E-05</a:t>
                    </a:r>
                    <a:br>
                      <a:rPr lang="en-US" sz="1000" baseline="0"/>
                    </a:br>
                    <a:r>
                      <a:rPr lang="en-US" sz="1000" baseline="0"/>
                      <a:t>R² = 0.9987</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Pop_100!$G$14:$G$25</c:f>
              <c:numCache>
                <c:formatCode>0.00000</c:formatCode>
                <c:ptCount val="12"/>
                <c:pt idx="0">
                  <c:v>2.0424999999999999E-2</c:v>
                </c:pt>
                <c:pt idx="1">
                  <c:v>1.1325E-2</c:v>
                </c:pt>
                <c:pt idx="2">
                  <c:v>6.2500000000000003E-3</c:v>
                </c:pt>
                <c:pt idx="3">
                  <c:v>5.2449999999999997E-3</c:v>
                </c:pt>
                <c:pt idx="4">
                  <c:v>5.2649999999999997E-3</c:v>
                </c:pt>
                <c:pt idx="5">
                  <c:v>5.3049999999999998E-3</c:v>
                </c:pt>
                <c:pt idx="6">
                  <c:v>5.0600000000000003E-3</c:v>
                </c:pt>
                <c:pt idx="7">
                  <c:v>5.1399999999999996E-3</c:v>
                </c:pt>
                <c:pt idx="8">
                  <c:v>5.0099999999999997E-3</c:v>
                </c:pt>
                <c:pt idx="9">
                  <c:v>5.1850000000000004E-3</c:v>
                </c:pt>
                <c:pt idx="10">
                  <c:v>5.025E-3</c:v>
                </c:pt>
                <c:pt idx="11">
                  <c:v>5.0899999999999999E-3</c:v>
                </c:pt>
              </c:numCache>
            </c:numRef>
          </c:xVal>
          <c:yVal>
            <c:numRef>
              <c:f>Pop_100!$L$14:$L$25</c:f>
              <c:numCache>
                <c:formatCode>0.00000</c:formatCode>
                <c:ptCount val="12"/>
                <c:pt idx="0">
                  <c:v>2.0170767181041434E-2</c:v>
                </c:pt>
                <c:pt idx="1">
                  <c:v>1.150754281737938E-2</c:v>
                </c:pt>
                <c:pt idx="2">
                  <c:v>6.0604271161810181E-3</c:v>
                </c:pt>
                <c:pt idx="3">
                  <c:v>5.513898157556543E-3</c:v>
                </c:pt>
                <c:pt idx="4">
                  <c:v>5.1001566162271281E-3</c:v>
                </c:pt>
                <c:pt idx="5">
                  <c:v>5.0499141656390779E-3</c:v>
                </c:pt>
                <c:pt idx="6">
                  <c:v>5.0099565669328361E-3</c:v>
                </c:pt>
                <c:pt idx="7">
                  <c:v>5.0049766417445381E-3</c:v>
                </c:pt>
                <c:pt idx="8">
                  <c:v>5.0009950656437078E-3</c:v>
                </c:pt>
                <c:pt idx="9">
                  <c:v>5.0004975163384612E-3</c:v>
                </c:pt>
                <c:pt idx="10">
                  <c:v>5.0000995012044209E-3</c:v>
                </c:pt>
                <c:pt idx="11">
                  <c:v>5.0000000000000001E-3</c:v>
                </c:pt>
              </c:numCache>
            </c:numRef>
          </c:yVal>
          <c:smooth val="0"/>
          <c:extLst>
            <c:ext xmlns:c16="http://schemas.microsoft.com/office/drawing/2014/chart" uri="{C3380CC4-5D6E-409C-BE32-E72D297353CC}">
              <c16:uniqueId val="{00000002-FCF4-4C42-AEB3-BEC4E0294B03}"/>
            </c:ext>
          </c:extLst>
        </c:ser>
        <c:dLbls>
          <c:showLegendKey val="0"/>
          <c:showVal val="0"/>
          <c:showCatName val="0"/>
          <c:showSerName val="0"/>
          <c:showPercent val="0"/>
          <c:showBubbleSize val="0"/>
        </c:dLbls>
        <c:axId val="1075237312"/>
        <c:axId val="1075239712"/>
      </c:scatterChart>
      <c:valAx>
        <c:axId val="1075237312"/>
        <c:scaling>
          <c:orientation val="minMax"/>
          <c:max val="2.2000000000000006E-2"/>
          <c:min val="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 (simulation)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5239712"/>
        <c:crosses val="autoZero"/>
        <c:crossBetween val="midCat"/>
        <c:majorUnit val="1.0000000000000002E-2"/>
        <c:minorUnit val="5.000000000000001E-3"/>
      </c:valAx>
      <c:valAx>
        <c:axId val="1075239712"/>
        <c:scaling>
          <c:orientation val="minMax"/>
          <c:max val="2.2000000000000006E-2"/>
          <c:min val="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 (Kimura)</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5237312"/>
        <c:crosses val="autoZero"/>
        <c:crossBetween val="midCat"/>
        <c:majorUnit val="1.0000000000000002E-2"/>
        <c:min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N=100,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 20, s=0 - 1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712305555555556"/>
          <c:y val="4.7378333333333335E-2"/>
          <c:w val="0.80834888888888889"/>
          <c:h val="0.69217722222222222"/>
        </c:manualLayout>
      </c:layout>
      <c:scatterChart>
        <c:scatterStyle val="lineMarker"/>
        <c:varyColors val="0"/>
        <c:ser>
          <c:idx val="0"/>
          <c:order val="0"/>
          <c:tx>
            <c:strRef>
              <c:f>Pop_100!$I$2</c:f>
              <c:strCache>
                <c:ptCount val="1"/>
                <c:pt idx="0">
                  <c:v>Gen</c:v>
                </c:pt>
              </c:strCache>
            </c:strRef>
          </c:tx>
          <c:spPr>
            <a:ln w="25400" cap="rnd">
              <a:noFill/>
              <a:round/>
            </a:ln>
            <a:effectLst/>
          </c:spPr>
          <c:marker>
            <c:symbol val="circle"/>
            <c:size val="5"/>
            <c:spPr>
              <a:solidFill>
                <a:srgbClr val="FF0000"/>
              </a:solidFill>
              <a:ln w="9525">
                <a:noFill/>
              </a:ln>
              <a:effectLst/>
            </c:spPr>
          </c:marker>
          <c:xVal>
            <c:numRef>
              <c:f>Pop_100!$D$3:$D$25</c:f>
              <c:numCache>
                <c:formatCode>General</c:formatCode>
                <c:ptCount val="23"/>
                <c:pt idx="0">
                  <c:v>1</c:v>
                </c:pt>
                <c:pt idx="1">
                  <c:v>0.9</c:v>
                </c:pt>
                <c:pt idx="2">
                  <c:v>0.8</c:v>
                </c:pt>
                <c:pt idx="3">
                  <c:v>0.7</c:v>
                </c:pt>
                <c:pt idx="4">
                  <c:v>0.6</c:v>
                </c:pt>
                <c:pt idx="5">
                  <c:v>0.5</c:v>
                </c:pt>
                <c:pt idx="6">
                  <c:v>0.4</c:v>
                </c:pt>
                <c:pt idx="7">
                  <c:v>0.3</c:v>
                </c:pt>
                <c:pt idx="8">
                  <c:v>0.2</c:v>
                </c:pt>
                <c:pt idx="9">
                  <c:v>0.1</c:v>
                </c:pt>
                <c:pt idx="10">
                  <c:v>0.05</c:v>
                </c:pt>
                <c:pt idx="11" formatCode="0.0E+00">
                  <c:v>0.01</c:v>
                </c:pt>
                <c:pt idx="12">
                  <c:v>5.0000000000000001E-3</c:v>
                </c:pt>
                <c:pt idx="13" formatCode="0.0E+00">
                  <c:v>1E-3</c:v>
                </c:pt>
                <c:pt idx="14">
                  <c:v>5.0000000000000001E-4</c:v>
                </c:pt>
                <c:pt idx="15" formatCode="0.0E+00">
                  <c:v>1E-4</c:v>
                </c:pt>
                <c:pt idx="16" formatCode="0.0E+00">
                  <c:v>5.0000000000000002E-5</c:v>
                </c:pt>
                <c:pt idx="17" formatCode="0.0E+00">
                  <c:v>1.0000000000000001E-5</c:v>
                </c:pt>
                <c:pt idx="18" formatCode="0.0E+00">
                  <c:v>5.0000000000000004E-6</c:v>
                </c:pt>
                <c:pt idx="19" formatCode="0.0E+00">
                  <c:v>9.9999999999999995E-7</c:v>
                </c:pt>
                <c:pt idx="20" formatCode="0.0E+00">
                  <c:v>4.9999999999999998E-7</c:v>
                </c:pt>
                <c:pt idx="21" formatCode="0.0E+00">
                  <c:v>9.9999999999999995E-8</c:v>
                </c:pt>
                <c:pt idx="22">
                  <c:v>0</c:v>
                </c:pt>
              </c:numCache>
            </c:numRef>
          </c:xVal>
          <c:yVal>
            <c:numRef>
              <c:f>Pop_100!$I$3:$I$25</c:f>
              <c:numCache>
                <c:formatCode>0</c:formatCode>
                <c:ptCount val="23"/>
                <c:pt idx="0">
                  <c:v>16.2</c:v>
                </c:pt>
                <c:pt idx="1">
                  <c:v>17.350000000000001</c:v>
                </c:pt>
                <c:pt idx="2">
                  <c:v>18.760000000000002</c:v>
                </c:pt>
                <c:pt idx="3">
                  <c:v>20.55</c:v>
                </c:pt>
                <c:pt idx="4">
                  <c:v>22.88</c:v>
                </c:pt>
                <c:pt idx="5">
                  <c:v>26.02</c:v>
                </c:pt>
                <c:pt idx="6">
                  <c:v>30.56</c:v>
                </c:pt>
                <c:pt idx="7">
                  <c:v>37.74</c:v>
                </c:pt>
                <c:pt idx="8">
                  <c:v>51.03</c:v>
                </c:pt>
                <c:pt idx="9">
                  <c:v>85.57</c:v>
                </c:pt>
                <c:pt idx="10">
                  <c:v>140.74</c:v>
                </c:pt>
                <c:pt idx="11">
                  <c:v>331.32</c:v>
                </c:pt>
                <c:pt idx="12">
                  <c:v>375.96</c:v>
                </c:pt>
                <c:pt idx="13">
                  <c:v>402.31</c:v>
                </c:pt>
                <c:pt idx="14">
                  <c:v>400.06</c:v>
                </c:pt>
                <c:pt idx="15">
                  <c:v>397.95</c:v>
                </c:pt>
                <c:pt idx="16">
                  <c:v>392.81</c:v>
                </c:pt>
                <c:pt idx="17">
                  <c:v>395.07</c:v>
                </c:pt>
                <c:pt idx="18">
                  <c:v>405.29</c:v>
                </c:pt>
                <c:pt idx="19">
                  <c:v>385.9</c:v>
                </c:pt>
                <c:pt idx="20">
                  <c:v>387.67</c:v>
                </c:pt>
                <c:pt idx="21">
                  <c:v>403.27</c:v>
                </c:pt>
                <c:pt idx="22">
                  <c:v>396.37</c:v>
                </c:pt>
              </c:numCache>
            </c:numRef>
          </c:yVal>
          <c:smooth val="0"/>
          <c:extLst>
            <c:ext xmlns:c16="http://schemas.microsoft.com/office/drawing/2014/chart" uri="{C3380CC4-5D6E-409C-BE32-E72D297353CC}">
              <c16:uniqueId val="{00000000-4C18-4D2E-9801-29F909AB1AF4}"/>
            </c:ext>
          </c:extLst>
        </c:ser>
        <c:dLbls>
          <c:showLegendKey val="0"/>
          <c:showVal val="0"/>
          <c:showCatName val="0"/>
          <c:showSerName val="0"/>
          <c:showPercent val="0"/>
          <c:showBubbleSize val="0"/>
        </c:dLbls>
        <c:axId val="169055488"/>
        <c:axId val="169046368"/>
      </c:scatterChart>
      <c:valAx>
        <c:axId val="169055488"/>
        <c:scaling>
          <c:orientation val="minMax"/>
          <c:max val="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latin typeface="+mn-lt"/>
                    <a:cs typeface="Times New Roman" panose="02020603050405020304" pitchFamily="18" charset="0"/>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169046368"/>
        <c:crosses val="autoZero"/>
        <c:crossBetween val="midCat"/>
        <c:majorUnit val="0.1"/>
        <c:minorUnit val="5.000000000000001E-2"/>
      </c:valAx>
      <c:valAx>
        <c:axId val="169046368"/>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200">
                    <a:latin typeface="Calibri" panose="020F0502020204030204" pitchFamily="34" charset="0"/>
                    <a:ea typeface="Calibri" panose="020F0502020204030204" pitchFamily="34" charset="0"/>
                    <a:cs typeface="Calibri" panose="020F0502020204030204" pitchFamily="34" charset="0"/>
                  </a:rPr>
                  <a:t>Generations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169055488"/>
        <c:crosses val="autoZero"/>
        <c:crossBetween val="midCat"/>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N=100, attempts=10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a:t>
            </a:r>
          </a:p>
          <a:p>
            <a:pPr algn="l">
              <a:defRPr sz="1100"/>
            </a:pPr>
            <a:r>
              <a:rPr lang="en-US" sz="1100" b="0" i="0" u="none" strike="noStrike" kern="1200" spc="0" baseline="0">
                <a:solidFill>
                  <a:sysClr val="windowText" lastClr="000000">
                    <a:lumMod val="65000"/>
                    <a:lumOff val="35000"/>
                  </a:sysClr>
                </a:solidFill>
              </a:rPr>
              <a:t>reps=20, s=0 - 1</a:t>
            </a:r>
          </a:p>
          <a:p>
            <a:pPr algn="l">
              <a:defRPr sz="1100"/>
            </a:pPr>
            <a:r>
              <a:rPr lang="en-US" sz="1100" b="0" i="0" u="none" strike="noStrike" kern="1200" spc="0" baseline="0">
                <a:solidFill>
                  <a:sysClr val="windowText" lastClr="000000">
                    <a:lumMod val="65000"/>
                    <a:lumOff val="35000"/>
                  </a:sysClr>
                </a:solidFill>
              </a:rPr>
              <a:t>(Using Kimura's equation)</a:t>
            </a:r>
          </a:p>
        </c:rich>
      </c:tx>
      <c:layout>
        <c:manualLayout>
          <c:xMode val="edge"/>
          <c:yMode val="edge"/>
          <c:x val="0.18929143125881012"/>
          <c:y val="2.4542618353395152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245603674540684"/>
          <c:y val="2.5428331875182269E-2"/>
          <c:w val="0.79109785240077724"/>
          <c:h val="0.7750772820064159"/>
        </c:manualLayout>
      </c:layout>
      <c:scatterChart>
        <c:scatterStyle val="lineMarker"/>
        <c:varyColors val="0"/>
        <c:ser>
          <c:idx val="0"/>
          <c:order val="0"/>
          <c:tx>
            <c:strRef>
              <c:f>Pop_100!$L$2</c:f>
              <c:strCache>
                <c:ptCount val="1"/>
                <c:pt idx="0">
                  <c:v>Kimura</c:v>
                </c:pt>
              </c:strCache>
            </c:strRef>
          </c:tx>
          <c:spPr>
            <a:ln w="25400" cap="rnd">
              <a:noFill/>
              <a:round/>
            </a:ln>
            <a:effectLst/>
          </c:spPr>
          <c:marker>
            <c:symbol val="circle"/>
            <c:size val="5"/>
            <c:spPr>
              <a:solidFill>
                <a:srgbClr val="FF0000"/>
              </a:solidFill>
              <a:ln w="9525">
                <a:noFill/>
              </a:ln>
              <a:effectLst/>
            </c:spPr>
          </c:marker>
          <c:trendline>
            <c:spPr>
              <a:ln w="19050" cap="rnd">
                <a:solidFill>
                  <a:schemeClr val="accent1"/>
                </a:solidFill>
                <a:prstDash val="solid"/>
              </a:ln>
              <a:effectLst/>
            </c:spPr>
            <c:trendlineType val="poly"/>
            <c:order val="3"/>
            <c:intercept val="5.000000000000001E-3"/>
            <c:dispRSqr val="1"/>
            <c:dispEq val="1"/>
            <c:trendlineLbl>
              <c:layout>
                <c:manualLayout>
                  <c:x val="2.2800895463538483E-2"/>
                  <c:y val="0.50282379605325156"/>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0.4951s</a:t>
                    </a:r>
                    <a:r>
                      <a:rPr lang="en-US" sz="1000" baseline="30000"/>
                      <a:t>3</a:t>
                    </a:r>
                    <a:r>
                      <a:rPr lang="en-US" sz="1000" baseline="0"/>
                      <a:t> - 1.535s</a:t>
                    </a:r>
                    <a:r>
                      <a:rPr lang="en-US" sz="1000" baseline="30000"/>
                      <a:t>2</a:t>
                    </a:r>
                    <a:r>
                      <a:rPr lang="en-US" sz="1000" baseline="0"/>
                      <a:t> +</a:t>
                    </a:r>
                  </a:p>
                  <a:p>
                    <a:pPr>
                      <a:defRPr sz="1000"/>
                    </a:pPr>
                    <a:r>
                      <a:rPr lang="en-US" sz="1000" baseline="0"/>
                      <a:t>1.9009s + 0.005</a:t>
                    </a:r>
                    <a:br>
                      <a:rPr lang="en-US" sz="1000" baseline="0"/>
                    </a:br>
                    <a:r>
                      <a:rPr lang="en-US" sz="1000" baseline="0"/>
                      <a:t>R² = 1</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Pop_100!$D$3:$D$25</c:f>
              <c:numCache>
                <c:formatCode>General</c:formatCode>
                <c:ptCount val="23"/>
                <c:pt idx="0">
                  <c:v>1</c:v>
                </c:pt>
                <c:pt idx="1">
                  <c:v>0.9</c:v>
                </c:pt>
                <c:pt idx="2">
                  <c:v>0.8</c:v>
                </c:pt>
                <c:pt idx="3">
                  <c:v>0.7</c:v>
                </c:pt>
                <c:pt idx="4">
                  <c:v>0.6</c:v>
                </c:pt>
                <c:pt idx="5">
                  <c:v>0.5</c:v>
                </c:pt>
                <c:pt idx="6">
                  <c:v>0.4</c:v>
                </c:pt>
                <c:pt idx="7">
                  <c:v>0.3</c:v>
                </c:pt>
                <c:pt idx="8">
                  <c:v>0.2</c:v>
                </c:pt>
                <c:pt idx="9">
                  <c:v>0.1</c:v>
                </c:pt>
                <c:pt idx="10">
                  <c:v>0.05</c:v>
                </c:pt>
                <c:pt idx="11" formatCode="0.0E+00">
                  <c:v>0.01</c:v>
                </c:pt>
                <c:pt idx="12">
                  <c:v>5.0000000000000001E-3</c:v>
                </c:pt>
                <c:pt idx="13" formatCode="0.0E+00">
                  <c:v>1E-3</c:v>
                </c:pt>
                <c:pt idx="14">
                  <c:v>5.0000000000000001E-4</c:v>
                </c:pt>
                <c:pt idx="15" formatCode="0.0E+00">
                  <c:v>1E-4</c:v>
                </c:pt>
                <c:pt idx="16" formatCode="0.0E+00">
                  <c:v>5.0000000000000002E-5</c:v>
                </c:pt>
                <c:pt idx="17" formatCode="0.0E+00">
                  <c:v>1.0000000000000001E-5</c:v>
                </c:pt>
                <c:pt idx="18" formatCode="0.0E+00">
                  <c:v>5.0000000000000004E-6</c:v>
                </c:pt>
                <c:pt idx="19" formatCode="0.0E+00">
                  <c:v>9.9999999999999995E-7</c:v>
                </c:pt>
                <c:pt idx="20" formatCode="0.0E+00">
                  <c:v>4.9999999999999998E-7</c:v>
                </c:pt>
                <c:pt idx="21" formatCode="0.0E+00">
                  <c:v>9.9999999999999995E-8</c:v>
                </c:pt>
                <c:pt idx="22">
                  <c:v>0</c:v>
                </c:pt>
              </c:numCache>
            </c:numRef>
          </c:xVal>
          <c:yVal>
            <c:numRef>
              <c:f>Pop_100!$L$3:$L$25</c:f>
              <c:numCache>
                <c:formatCode>0.00000</c:formatCode>
                <c:ptCount val="23"/>
                <c:pt idx="0">
                  <c:v>0.8646647167633873</c:v>
                </c:pt>
                <c:pt idx="1">
                  <c:v>0.83470111177841344</c:v>
                </c:pt>
                <c:pt idx="2">
                  <c:v>0.79810348200534464</c:v>
                </c:pt>
                <c:pt idx="3">
                  <c:v>0.75340303605839354</c:v>
                </c:pt>
                <c:pt idx="4">
                  <c:v>0.69880578808779781</c:v>
                </c:pt>
                <c:pt idx="5">
                  <c:v>0.63212055882855767</c:v>
                </c:pt>
                <c:pt idx="6">
                  <c:v>0.55067103588277844</c:v>
                </c:pt>
                <c:pt idx="7">
                  <c:v>0.45118836390597361</c:v>
                </c:pt>
                <c:pt idx="8">
                  <c:v>0.32967995396436067</c:v>
                </c:pt>
                <c:pt idx="9">
                  <c:v>0.18126924692201818</c:v>
                </c:pt>
                <c:pt idx="10">
                  <c:v>9.516258216018518E-2</c:v>
                </c:pt>
                <c:pt idx="11">
                  <c:v>2.0170767181041434E-2</c:v>
                </c:pt>
                <c:pt idx="12">
                  <c:v>1.150754281737938E-2</c:v>
                </c:pt>
                <c:pt idx="13">
                  <c:v>6.0604271161810181E-3</c:v>
                </c:pt>
                <c:pt idx="14">
                  <c:v>5.513898157556543E-3</c:v>
                </c:pt>
                <c:pt idx="15">
                  <c:v>5.1001566162271281E-3</c:v>
                </c:pt>
                <c:pt idx="16">
                  <c:v>5.0499141656390779E-3</c:v>
                </c:pt>
                <c:pt idx="17">
                  <c:v>5.0099565669328361E-3</c:v>
                </c:pt>
                <c:pt idx="18">
                  <c:v>5.0049766417445381E-3</c:v>
                </c:pt>
                <c:pt idx="19">
                  <c:v>5.0009950656437078E-3</c:v>
                </c:pt>
                <c:pt idx="20">
                  <c:v>5.0004975163384612E-3</c:v>
                </c:pt>
                <c:pt idx="21">
                  <c:v>5.0000995012044209E-3</c:v>
                </c:pt>
                <c:pt idx="22">
                  <c:v>5.0000000000000001E-3</c:v>
                </c:pt>
              </c:numCache>
            </c:numRef>
          </c:yVal>
          <c:smooth val="0"/>
          <c:extLst>
            <c:ext xmlns:c16="http://schemas.microsoft.com/office/drawing/2014/chart" uri="{C3380CC4-5D6E-409C-BE32-E72D297353CC}">
              <c16:uniqueId val="{00000001-2DC0-4A9F-9815-FDE0F9E6D0DC}"/>
            </c:ext>
          </c:extLst>
        </c:ser>
        <c:dLbls>
          <c:showLegendKey val="0"/>
          <c:showVal val="0"/>
          <c:showCatName val="0"/>
          <c:showSerName val="0"/>
          <c:showPercent val="0"/>
          <c:showBubbleSize val="0"/>
        </c:dLbls>
        <c:axId val="965745216"/>
        <c:axId val="965745696"/>
      </c:scatterChart>
      <c:valAx>
        <c:axId val="965745216"/>
        <c:scaling>
          <c:orientation val="minMax"/>
          <c:max val="1"/>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5745696"/>
        <c:crosses val="autoZero"/>
        <c:crossBetween val="midCat"/>
      </c:valAx>
      <c:valAx>
        <c:axId val="965745696"/>
        <c:scaling>
          <c:orientation val="minMax"/>
          <c:max val="1"/>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9.8751093613298323E-3"/>
              <c:y val="0.2836614173228346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65745216"/>
        <c:crosses val="autoZero"/>
        <c:crossBetween val="midCat"/>
        <c:majorUnit val="0.2"/>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Generations to fix for </a:t>
            </a:r>
            <a:r>
              <a:rPr lang="en-US" sz="1100" b="0" i="1" u="none" strike="noStrike" kern="1200" spc="0" baseline="0">
                <a:solidFill>
                  <a:sysClr val="windowText" lastClr="000000">
                    <a:lumMod val="65000"/>
                    <a:lumOff val="35000"/>
                  </a:sysClr>
                </a:solidFill>
              </a:rPr>
              <a:t>N</a:t>
            </a:r>
            <a:r>
              <a:rPr lang="en-US" sz="1100" b="0" i="0" u="none" strike="noStrike" kern="1200" spc="0" baseline="0">
                <a:solidFill>
                  <a:sysClr val="windowText" lastClr="000000">
                    <a:lumMod val="65000"/>
                    <a:lumOff val="35000"/>
                  </a:sysClr>
                </a:solidFill>
              </a:rPr>
              <a:t> = 0 ‒ 10</a:t>
            </a:r>
            <a:r>
              <a:rPr lang="en-US" sz="1100" b="0" i="0" u="none" strike="noStrike" kern="1200" spc="0" baseline="30000">
                <a:solidFill>
                  <a:sysClr val="windowText" lastClr="000000">
                    <a:lumMod val="65000"/>
                    <a:lumOff val="35000"/>
                  </a:sysClr>
                </a:solidFill>
              </a:rPr>
              <a:t>6</a:t>
            </a:r>
          </a:p>
          <a:p>
            <a:pPr algn="l">
              <a:defRPr sz="1100"/>
            </a:pPr>
            <a:r>
              <a:rPr lang="en-US" sz="1100" b="0" i="0" u="none" strike="noStrike" kern="1200" spc="0" baseline="0">
                <a:solidFill>
                  <a:sysClr val="windowText" lastClr="000000">
                    <a:lumMod val="65000"/>
                    <a:lumOff val="35000"/>
                  </a:sysClr>
                </a:solidFill>
              </a:rPr>
              <a:t>and </a:t>
            </a:r>
            <a:r>
              <a:rPr lang="en-US" sz="1100" b="0" i="1" u="none" strike="noStrike" kern="1200" spc="0" baseline="0">
                <a:solidFill>
                  <a:sysClr val="windowText" lastClr="000000">
                    <a:lumMod val="65000"/>
                    <a:lumOff val="35000"/>
                  </a:sysClr>
                </a:solidFill>
              </a:rPr>
              <a:t>s</a:t>
            </a:r>
            <a:r>
              <a:rPr lang="en-US" sz="1100" b="0" i="0" u="none" strike="noStrike" kern="1200" spc="0" baseline="0">
                <a:solidFill>
                  <a:sysClr val="windowText" lastClr="000000">
                    <a:lumMod val="65000"/>
                    <a:lumOff val="35000"/>
                  </a:sysClr>
                </a:solidFill>
              </a:rPr>
              <a:t> = 1 and </a:t>
            </a:r>
            <a:r>
              <a:rPr lang="en-US" sz="1100" b="0" i="1" u="none" strike="noStrike" kern="1200" spc="0" baseline="0">
                <a:solidFill>
                  <a:sysClr val="windowText" lastClr="000000">
                    <a:lumMod val="65000"/>
                    <a:lumOff val="35000"/>
                  </a:sysClr>
                </a:solidFill>
              </a:rPr>
              <a:t>s</a:t>
            </a:r>
            <a:r>
              <a:rPr lang="en-US" sz="1100" b="0" i="0" u="none" strike="noStrike" kern="1200" spc="0" baseline="0">
                <a:solidFill>
                  <a:sysClr val="windowText" lastClr="000000">
                    <a:lumMod val="65000"/>
                    <a:lumOff val="35000"/>
                  </a:sysClr>
                </a:solidFill>
              </a:rPr>
              <a:t> = 0.1</a:t>
            </a:r>
          </a:p>
        </c:rich>
      </c:tx>
      <c:layout>
        <c:manualLayout>
          <c:xMode val="edge"/>
          <c:yMode val="edge"/>
          <c:x val="0.30625000000000002"/>
          <c:y val="1.8073888888888893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7332555555555557"/>
          <c:y val="4.7378333333333335E-2"/>
          <c:w val="0.72698833333333335"/>
          <c:h val="0.70051222222222231"/>
        </c:manualLayout>
      </c:layout>
      <c:scatterChart>
        <c:scatterStyle val="lineMarker"/>
        <c:varyColors val="0"/>
        <c:ser>
          <c:idx val="0"/>
          <c:order val="0"/>
          <c:tx>
            <c:strRef>
              <c:f>'Summary results (4)'!$F$3</c:f>
              <c:strCache>
                <c:ptCount val="1"/>
                <c:pt idx="0">
                  <c:v>s=1</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log"/>
            <c:dispRSqr val="0"/>
            <c:dispEq val="0"/>
          </c:trendline>
          <c:xVal>
            <c:numRef>
              <c:f>'Summary results (4)'!$E$4:$E$9</c:f>
              <c:numCache>
                <c:formatCode>General</c:formatCode>
                <c:ptCount val="6"/>
                <c:pt idx="0">
                  <c:v>10</c:v>
                </c:pt>
                <c:pt idx="1">
                  <c:v>100</c:v>
                </c:pt>
                <c:pt idx="2">
                  <c:v>1000</c:v>
                </c:pt>
                <c:pt idx="3" formatCode="#,##0">
                  <c:v>10000</c:v>
                </c:pt>
                <c:pt idx="4" formatCode="#,##0">
                  <c:v>100000</c:v>
                </c:pt>
                <c:pt idx="5" formatCode="#,##0">
                  <c:v>1000000</c:v>
                </c:pt>
              </c:numCache>
            </c:numRef>
          </c:xVal>
          <c:yVal>
            <c:numRef>
              <c:f>'Summary results (4)'!$F$4:$F$9</c:f>
              <c:numCache>
                <c:formatCode>0</c:formatCode>
                <c:ptCount val="6"/>
                <c:pt idx="0">
                  <c:v>9.41</c:v>
                </c:pt>
                <c:pt idx="1">
                  <c:v>16.2</c:v>
                </c:pt>
                <c:pt idx="2">
                  <c:v>22.85</c:v>
                </c:pt>
                <c:pt idx="3" formatCode="#,##0">
                  <c:v>29.49</c:v>
                </c:pt>
                <c:pt idx="4" formatCode="#,##0">
                  <c:v>36</c:v>
                </c:pt>
                <c:pt idx="5" formatCode="#,##0">
                  <c:v>43</c:v>
                </c:pt>
              </c:numCache>
            </c:numRef>
          </c:yVal>
          <c:smooth val="0"/>
          <c:extLst>
            <c:ext xmlns:c16="http://schemas.microsoft.com/office/drawing/2014/chart" uri="{C3380CC4-5D6E-409C-BE32-E72D297353CC}">
              <c16:uniqueId val="{00000000-86A9-4A3A-9E01-9041F35201F4}"/>
            </c:ext>
          </c:extLst>
        </c:ser>
        <c:ser>
          <c:idx val="1"/>
          <c:order val="1"/>
          <c:tx>
            <c:strRef>
              <c:f>'Summary results (4)'!$G$3</c:f>
              <c:strCache>
                <c:ptCount val="1"/>
                <c:pt idx="0">
                  <c:v>s=10‒1</c:v>
                </c:pt>
              </c:strCache>
            </c:strRef>
          </c:tx>
          <c:spPr>
            <a:ln w="19050" cap="rnd">
              <a:noFill/>
              <a:round/>
            </a:ln>
            <a:effectLst/>
          </c:spPr>
          <c:marker>
            <c:symbol val="circle"/>
            <c:size val="5"/>
            <c:spPr>
              <a:solidFill>
                <a:srgbClr val="FF0000"/>
              </a:solidFill>
              <a:ln w="9525">
                <a:noFill/>
              </a:ln>
              <a:effectLst/>
            </c:spPr>
          </c:marker>
          <c:trendline>
            <c:spPr>
              <a:ln w="19050" cap="rnd">
                <a:solidFill>
                  <a:srgbClr val="FF0000"/>
                </a:solidFill>
                <a:prstDash val="solid"/>
              </a:ln>
              <a:effectLst/>
            </c:spPr>
            <c:trendlineType val="log"/>
            <c:dispRSqr val="0"/>
            <c:dispEq val="0"/>
          </c:trendline>
          <c:xVal>
            <c:numRef>
              <c:f>'Summary results (4)'!$E$4:$E$9</c:f>
              <c:numCache>
                <c:formatCode>General</c:formatCode>
                <c:ptCount val="6"/>
                <c:pt idx="0">
                  <c:v>10</c:v>
                </c:pt>
                <c:pt idx="1">
                  <c:v>100</c:v>
                </c:pt>
                <c:pt idx="2">
                  <c:v>1000</c:v>
                </c:pt>
                <c:pt idx="3" formatCode="#,##0">
                  <c:v>10000</c:v>
                </c:pt>
                <c:pt idx="4" formatCode="#,##0">
                  <c:v>100000</c:v>
                </c:pt>
                <c:pt idx="5" formatCode="#,##0">
                  <c:v>1000000</c:v>
                </c:pt>
              </c:numCache>
            </c:numRef>
          </c:xVal>
          <c:yVal>
            <c:numRef>
              <c:f>'Summary results (4)'!$G$4:$G$9</c:f>
              <c:numCache>
                <c:formatCode>0</c:formatCode>
                <c:ptCount val="6"/>
                <c:pt idx="0">
                  <c:v>31.43</c:v>
                </c:pt>
                <c:pt idx="1">
                  <c:v>85.57</c:v>
                </c:pt>
                <c:pt idx="2">
                  <c:v>134.35</c:v>
                </c:pt>
                <c:pt idx="3" formatCode="#,##0">
                  <c:v>182.72</c:v>
                </c:pt>
                <c:pt idx="4" formatCode="#,##0">
                  <c:v>231.05</c:v>
                </c:pt>
                <c:pt idx="5" formatCode="#,##0">
                  <c:v>279.38</c:v>
                </c:pt>
              </c:numCache>
            </c:numRef>
          </c:yVal>
          <c:smooth val="0"/>
          <c:extLst>
            <c:ext xmlns:c16="http://schemas.microsoft.com/office/drawing/2014/chart" uri="{C3380CC4-5D6E-409C-BE32-E72D297353CC}">
              <c16:uniqueId val="{00000001-86A9-4A3A-9E01-9041F35201F4}"/>
            </c:ext>
          </c:extLst>
        </c:ser>
        <c:dLbls>
          <c:showLegendKey val="0"/>
          <c:showVal val="0"/>
          <c:showCatName val="0"/>
          <c:showSerName val="0"/>
          <c:showPercent val="0"/>
          <c:showBubbleSize val="0"/>
        </c:dLbls>
        <c:axId val="637078432"/>
        <c:axId val="637075552"/>
      </c:scatterChart>
      <c:valAx>
        <c:axId val="637078432"/>
        <c:scaling>
          <c:orientation val="minMax"/>
          <c:max val="100000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Population</a:t>
                </a:r>
                <a:r>
                  <a:rPr lang="en-US" sz="1200" baseline="0"/>
                  <a:t> size, N</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637075552"/>
        <c:crosses val="autoZero"/>
        <c:crossBetween val="midCat"/>
        <c:minorUnit val="100000"/>
      </c:valAx>
      <c:valAx>
        <c:axId val="637075552"/>
        <c:scaling>
          <c:orientation val="minMax"/>
          <c:max val="4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637078432"/>
        <c:crosses val="autoZero"/>
        <c:crossBetween val="midCat"/>
        <c:majorUnit val="100"/>
        <c:minorUnit val="50"/>
      </c:valAx>
      <c:spPr>
        <a:noFill/>
        <a:ln>
          <a:noFill/>
        </a:ln>
        <a:effectLst/>
      </c:spPr>
    </c:plotArea>
    <c:legend>
      <c:legendPos val="b"/>
      <c:legendEntry>
        <c:idx val="2"/>
        <c:delete val="1"/>
      </c:legendEntry>
      <c:legendEntry>
        <c:idx val="3"/>
        <c:delete val="1"/>
      </c:legendEntry>
      <c:layout>
        <c:manualLayout>
          <c:xMode val="edge"/>
          <c:yMode val="edge"/>
          <c:x val="0.25237817147856517"/>
          <c:y val="0.43576334208223982"/>
          <c:w val="0.21023444444444445"/>
          <c:h val="0.1848100758238553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 20, s=0 - 0.5</a:t>
            </a:r>
          </a:p>
        </c:rich>
      </c:tx>
      <c:layout>
        <c:manualLayout>
          <c:xMode val="edge"/>
          <c:yMode val="edge"/>
          <c:x val="0.19746604448201413"/>
          <c:y val="2.7531956735496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758213412978547"/>
          <c:y val="2.5428331875182269E-2"/>
          <c:w val="0.79607747307448651"/>
          <c:h val="0.76417468649752118"/>
        </c:manualLayout>
      </c:layout>
      <c:scatterChart>
        <c:scatterStyle val="lineMarker"/>
        <c:varyColors val="0"/>
        <c:ser>
          <c:idx val="0"/>
          <c:order val="0"/>
          <c:tx>
            <c:strRef>
              <c:f>Pop_1k!$G$2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intercept val="5.0000000000000012E-4"/>
            <c:dispRSqr val="1"/>
            <c:dispEq val="1"/>
            <c:trendlineLbl>
              <c:layout>
                <c:manualLayout>
                  <c:x val="4.3442977195447464E-2"/>
                  <c:y val="0.54880976161165695"/>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-0.4822s</a:t>
                    </a:r>
                    <a:r>
                      <a:rPr lang="en-US" sz="1000" baseline="30000"/>
                      <a:t>4</a:t>
                    </a:r>
                    <a:r>
                      <a:rPr lang="en-US" sz="1000" baseline="0"/>
                      <a:t> + 1.574s</a:t>
                    </a:r>
                    <a:r>
                      <a:rPr lang="en-US" sz="1000" baseline="30000"/>
                      <a:t>3</a:t>
                    </a:r>
                    <a:r>
                      <a:rPr lang="en-US" sz="1000" baseline="0"/>
                      <a:t> - 2.2531s</a:t>
                    </a:r>
                    <a:r>
                      <a:rPr lang="en-US" sz="1000" baseline="30000"/>
                      <a:t>2</a:t>
                    </a:r>
                    <a:r>
                      <a:rPr lang="en-US" sz="1000" baseline="0"/>
                      <a:t> + 1.9571s + 0.0005</a:t>
                    </a:r>
                    <a:br>
                      <a:rPr lang="en-US" sz="1000" baseline="0"/>
                    </a:br>
                    <a:r>
                      <a:rPr lang="en-US" sz="1000" baseline="0"/>
                      <a:t>R² = 1</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Pop_1k!$D$3:$D$32</c:f>
              <c:numCache>
                <c:formatCode>General</c:formatCode>
                <c:ptCount val="30"/>
                <c:pt idx="0">
                  <c:v>1</c:v>
                </c:pt>
                <c:pt idx="1">
                  <c:v>0.9</c:v>
                </c:pt>
                <c:pt idx="2">
                  <c:v>0.8</c:v>
                </c:pt>
                <c:pt idx="3">
                  <c:v>0.7</c:v>
                </c:pt>
                <c:pt idx="4">
                  <c:v>0.6</c:v>
                </c:pt>
                <c:pt idx="5">
                  <c:v>0.5</c:v>
                </c:pt>
                <c:pt idx="6">
                  <c:v>0.45</c:v>
                </c:pt>
                <c:pt idx="7">
                  <c:v>0.4</c:v>
                </c:pt>
                <c:pt idx="8">
                  <c:v>0.35</c:v>
                </c:pt>
                <c:pt idx="9">
                  <c:v>0.3</c:v>
                </c:pt>
                <c:pt idx="10">
                  <c:v>0.25</c:v>
                </c:pt>
                <c:pt idx="11">
                  <c:v>0.2</c:v>
                </c:pt>
                <c:pt idx="12">
                  <c:v>0.15</c:v>
                </c:pt>
                <c:pt idx="13">
                  <c:v>0.1</c:v>
                </c:pt>
                <c:pt idx="14">
                  <c:v>0.05</c:v>
                </c:pt>
                <c:pt idx="15" formatCode="0.0E+00">
                  <c:v>0.01</c:v>
                </c:pt>
                <c:pt idx="16">
                  <c:v>8.9999999999999993E-3</c:v>
                </c:pt>
                <c:pt idx="17">
                  <c:v>8.0000000000000002E-3</c:v>
                </c:pt>
                <c:pt idx="18">
                  <c:v>7.0000000000000001E-3</c:v>
                </c:pt>
                <c:pt idx="19">
                  <c:v>6.0000000000000001E-3</c:v>
                </c:pt>
                <c:pt idx="20">
                  <c:v>5.0000000000000001E-3</c:v>
                </c:pt>
                <c:pt idx="21">
                  <c:v>4.0000000000000001E-3</c:v>
                </c:pt>
                <c:pt idx="22">
                  <c:v>3.0000000000000001E-3</c:v>
                </c:pt>
                <c:pt idx="23">
                  <c:v>2E-3</c:v>
                </c:pt>
                <c:pt idx="24" formatCode="0.0E+00">
                  <c:v>1E-3</c:v>
                </c:pt>
                <c:pt idx="25" formatCode="0.0E+00">
                  <c:v>1E-4</c:v>
                </c:pt>
                <c:pt idx="26" formatCode="0.E+00">
                  <c:v>1.0000000000000001E-5</c:v>
                </c:pt>
                <c:pt idx="27" formatCode="0.E+00">
                  <c:v>9.9999999999999995E-7</c:v>
                </c:pt>
                <c:pt idx="28" formatCode="0.E+00">
                  <c:v>9.9999999999999995E-8</c:v>
                </c:pt>
                <c:pt idx="29">
                  <c:v>0</c:v>
                </c:pt>
              </c:numCache>
            </c:numRef>
          </c:xVal>
          <c:yVal>
            <c:numRef>
              <c:f>Pop_1k!$G$3:$G$32</c:f>
              <c:numCache>
                <c:formatCode>0.00000</c:formatCode>
                <c:ptCount val="30"/>
                <c:pt idx="0">
                  <c:v>0.79687450000000004</c:v>
                </c:pt>
                <c:pt idx="1">
                  <c:v>0.76716200000000001</c:v>
                </c:pt>
                <c:pt idx="2">
                  <c:v>0.73171149999999996</c:v>
                </c:pt>
                <c:pt idx="3">
                  <c:v>0.69144799999999995</c:v>
                </c:pt>
                <c:pt idx="4">
                  <c:v>0.64211549999999995</c:v>
                </c:pt>
                <c:pt idx="5">
                  <c:v>0.582986</c:v>
                </c:pt>
                <c:pt idx="6">
                  <c:v>0.54871250000000005</c:v>
                </c:pt>
                <c:pt idx="7">
                  <c:v>0.51049250000000002</c:v>
                </c:pt>
                <c:pt idx="8">
                  <c:v>0.46898699999999999</c:v>
                </c:pt>
                <c:pt idx="9">
                  <c:v>0.422844</c:v>
                </c:pt>
                <c:pt idx="10">
                  <c:v>0.37111699999999997</c:v>
                </c:pt>
                <c:pt idx="11">
                  <c:v>0.31359150000000002</c:v>
                </c:pt>
                <c:pt idx="12">
                  <c:v>0.24910750000000001</c:v>
                </c:pt>
                <c:pt idx="13">
                  <c:v>0.17637700000000001</c:v>
                </c:pt>
                <c:pt idx="14">
                  <c:v>9.3803999999999998E-2</c:v>
                </c:pt>
                <c:pt idx="15">
                  <c:v>1.9806500000000001E-2</c:v>
                </c:pt>
                <c:pt idx="16">
                  <c:v>1.7622499999999999E-2</c:v>
                </c:pt>
                <c:pt idx="17">
                  <c:v>1.5873499999999999E-2</c:v>
                </c:pt>
                <c:pt idx="18">
                  <c:v>1.3922E-2</c:v>
                </c:pt>
                <c:pt idx="19">
                  <c:v>1.16875E-2</c:v>
                </c:pt>
                <c:pt idx="20">
                  <c:v>1.00035E-2</c:v>
                </c:pt>
                <c:pt idx="21">
                  <c:v>7.9085000000000006E-3</c:v>
                </c:pt>
                <c:pt idx="22">
                  <c:v>5.9195000000000003E-3</c:v>
                </c:pt>
                <c:pt idx="23">
                  <c:v>4.0340000000000003E-3</c:v>
                </c:pt>
                <c:pt idx="24">
                  <c:v>1.9615000000000001E-3</c:v>
                </c:pt>
                <c:pt idx="25">
                  <c:v>6.045E-4</c:v>
                </c:pt>
                <c:pt idx="26">
                  <c:v>5.0199999999999995E-4</c:v>
                </c:pt>
                <c:pt idx="27">
                  <c:v>5.1650000000000003E-4</c:v>
                </c:pt>
                <c:pt idx="28">
                  <c:v>5.1800000000000001E-4</c:v>
                </c:pt>
                <c:pt idx="29">
                  <c:v>5.0549999999999998E-4</c:v>
                </c:pt>
              </c:numCache>
            </c:numRef>
          </c:yVal>
          <c:smooth val="0"/>
          <c:extLst>
            <c:ext xmlns:c16="http://schemas.microsoft.com/office/drawing/2014/chart" uri="{C3380CC4-5D6E-409C-BE32-E72D297353CC}">
              <c16:uniqueId val="{00000000-74C7-4056-B1D6-626F8C4EEDDD}"/>
            </c:ext>
          </c:extLst>
        </c:ser>
        <c:dLbls>
          <c:showLegendKey val="0"/>
          <c:showVal val="0"/>
          <c:showCatName val="0"/>
          <c:showSerName val="0"/>
          <c:showPercent val="0"/>
          <c:showBubbleSize val="0"/>
        </c:dLbls>
        <c:axId val="1378554319"/>
        <c:axId val="1378554799"/>
      </c:scatterChart>
      <c:valAx>
        <c:axId val="1378554319"/>
        <c:scaling>
          <c:orientation val="minMax"/>
          <c:max val="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78554799"/>
        <c:crosses val="autoZero"/>
        <c:crossBetween val="midCat"/>
      </c:valAx>
      <c:valAx>
        <c:axId val="1378554799"/>
        <c:scaling>
          <c:orientation val="minMax"/>
          <c:max val="0.8"/>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layout>
            <c:manualLayout>
              <c:xMode val="edge"/>
              <c:yMode val="edge"/>
              <c:x val="2.5223323377681236E-2"/>
              <c:y val="0.2667971049073411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78554319"/>
        <c:crosses val="autoZero"/>
        <c:crossBetween val="midCat"/>
        <c:min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7397861852634275"/>
          <c:y val="2.5428331875182269E-2"/>
          <c:w val="0.78474268321781282"/>
          <c:h val="0.74912985113502029"/>
        </c:manualLayout>
      </c:layout>
      <c:scatterChart>
        <c:scatterStyle val="lineMarker"/>
        <c:varyColors val="0"/>
        <c:ser>
          <c:idx val="0"/>
          <c:order val="0"/>
          <c:tx>
            <c:strRef>
              <c:f>Pop_1k!$G$2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12E-4"/>
            <c:dispRSqr val="0"/>
            <c:dispEq val="0"/>
          </c:trendline>
          <c:trendline>
            <c:spPr>
              <a:ln w="19050" cap="rnd">
                <a:solidFill>
                  <a:schemeClr val="accent1"/>
                </a:solidFill>
                <a:prstDash val="sysDot"/>
              </a:ln>
              <a:effectLst/>
            </c:spPr>
            <c:trendlineType val="linear"/>
            <c:intercept val="5.0000000000000012E-4"/>
            <c:dispRSqr val="1"/>
            <c:dispEq val="1"/>
            <c:trendlineLbl>
              <c:layout>
                <c:manualLayout>
                  <c:x val="1.3142497561806334E-2"/>
                  <c:y val="0.36316535370062691"/>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1.9043s + 0.0005</a:t>
                    </a:r>
                    <a:br>
                      <a:rPr lang="en-US" sz="1200" baseline="0"/>
                    </a:br>
                    <a:r>
                      <a:rPr lang="en-US" sz="1200" baseline="0"/>
                      <a:t>R² = 0.9994</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Pop_1k!$D$18:$D$32</c:f>
              <c:numCache>
                <c:formatCode>General</c:formatCode>
                <c:ptCount val="15"/>
                <c:pt idx="0" formatCode="0.0E+0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formatCode="0.0E+00">
                  <c:v>1E-3</c:v>
                </c:pt>
                <c:pt idx="10" formatCode="0.0E+00">
                  <c:v>1E-4</c:v>
                </c:pt>
                <c:pt idx="11" formatCode="0.E+00">
                  <c:v>1.0000000000000001E-5</c:v>
                </c:pt>
                <c:pt idx="12" formatCode="0.E+00">
                  <c:v>9.9999999999999995E-7</c:v>
                </c:pt>
                <c:pt idx="13" formatCode="0.E+00">
                  <c:v>9.9999999999999995E-8</c:v>
                </c:pt>
                <c:pt idx="14">
                  <c:v>0</c:v>
                </c:pt>
              </c:numCache>
            </c:numRef>
          </c:xVal>
          <c:yVal>
            <c:numRef>
              <c:f>Pop_1k!$G$18:$G$32</c:f>
              <c:numCache>
                <c:formatCode>0.00000</c:formatCode>
                <c:ptCount val="15"/>
                <c:pt idx="0">
                  <c:v>1.9806500000000001E-2</c:v>
                </c:pt>
                <c:pt idx="1">
                  <c:v>1.7622499999999999E-2</c:v>
                </c:pt>
                <c:pt idx="2">
                  <c:v>1.5873499999999999E-2</c:v>
                </c:pt>
                <c:pt idx="3">
                  <c:v>1.3922E-2</c:v>
                </c:pt>
                <c:pt idx="4">
                  <c:v>1.16875E-2</c:v>
                </c:pt>
                <c:pt idx="5">
                  <c:v>1.00035E-2</c:v>
                </c:pt>
                <c:pt idx="6">
                  <c:v>7.9085000000000006E-3</c:v>
                </c:pt>
                <c:pt idx="7">
                  <c:v>5.9195000000000003E-3</c:v>
                </c:pt>
                <c:pt idx="8">
                  <c:v>4.0340000000000003E-3</c:v>
                </c:pt>
                <c:pt idx="9">
                  <c:v>1.9615000000000001E-3</c:v>
                </c:pt>
                <c:pt idx="10">
                  <c:v>6.045E-4</c:v>
                </c:pt>
                <c:pt idx="11">
                  <c:v>5.0199999999999995E-4</c:v>
                </c:pt>
                <c:pt idx="12">
                  <c:v>5.1650000000000003E-4</c:v>
                </c:pt>
                <c:pt idx="13">
                  <c:v>5.1800000000000001E-4</c:v>
                </c:pt>
                <c:pt idx="14">
                  <c:v>5.0549999999999998E-4</c:v>
                </c:pt>
              </c:numCache>
            </c:numRef>
          </c:yVal>
          <c:smooth val="0"/>
          <c:extLst>
            <c:ext xmlns:c16="http://schemas.microsoft.com/office/drawing/2014/chart" uri="{C3380CC4-5D6E-409C-BE32-E72D297353CC}">
              <c16:uniqueId val="{00000000-7C3E-454C-824A-2C1C47CD37FC}"/>
            </c:ext>
          </c:extLst>
        </c:ser>
        <c:dLbls>
          <c:showLegendKey val="0"/>
          <c:showVal val="0"/>
          <c:showCatName val="0"/>
          <c:showSerName val="0"/>
          <c:showPercent val="0"/>
          <c:showBubbleSize val="0"/>
        </c:dLbls>
        <c:axId val="1378553359"/>
        <c:axId val="1378553839"/>
      </c:scatterChart>
      <c:valAx>
        <c:axId val="1378553359"/>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out"/>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78553839"/>
        <c:crosses val="autoZero"/>
        <c:crossBetween val="midCat"/>
        <c:majorUnit val="2.0000000000000005E-3"/>
        <c:minorUnit val="5.0000000000000012E-4"/>
      </c:valAx>
      <c:valAx>
        <c:axId val="1378553839"/>
        <c:scaling>
          <c:orientation val="minMax"/>
          <c:max val="2.0000000000000004E-2"/>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78553359"/>
        <c:crosses val="autoZero"/>
        <c:crossBetween val="midCat"/>
        <c:minorUnit val="2.0000000000000005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6559671345429647"/>
          <c:y val="3.0937995868387174E-2"/>
          <c:w val="0.78420769142987556"/>
          <c:h val="0.74152510403880112"/>
        </c:manualLayout>
      </c:layout>
      <c:scatterChart>
        <c:scatterStyle val="lineMarker"/>
        <c:varyColors val="0"/>
        <c:ser>
          <c:idx val="0"/>
          <c:order val="0"/>
          <c:tx>
            <c:strRef>
              <c:f>Pop_1k!$G$2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12E-4"/>
            <c:dispRSqr val="0"/>
            <c:dispEq val="0"/>
          </c:trendline>
          <c:trendline>
            <c:spPr>
              <a:ln w="19050" cap="rnd">
                <a:solidFill>
                  <a:schemeClr val="accent1"/>
                </a:solidFill>
                <a:prstDash val="sysDot"/>
              </a:ln>
              <a:effectLst/>
            </c:spPr>
            <c:trendlineType val="linear"/>
            <c:intercept val="5.0000000000000012E-4"/>
            <c:dispRSqr val="1"/>
            <c:dispEq val="1"/>
            <c:trendlineLbl>
              <c:layout>
                <c:manualLayout>
                  <c:x val="1.1427490503497095E-2"/>
                  <c:y val="0.40470685248763605"/>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1.7839s + 0.0005</a:t>
                    </a:r>
                    <a:br>
                      <a:rPr lang="en-US" sz="1200" baseline="0"/>
                    </a:br>
                    <a:r>
                      <a:rPr lang="en-US" sz="1200" baseline="0"/>
                      <a:t>R² = 0.9992</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Pop_1k!$D$16:$D$32</c:f>
              <c:numCache>
                <c:formatCode>General</c:formatCode>
                <c:ptCount val="17"/>
                <c:pt idx="0">
                  <c:v>0.1</c:v>
                </c:pt>
                <c:pt idx="1">
                  <c:v>0.05</c:v>
                </c:pt>
                <c:pt idx="2" formatCode="0.0E+00">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formatCode="0.0E+00">
                  <c:v>1E-3</c:v>
                </c:pt>
                <c:pt idx="12" formatCode="0.0E+00">
                  <c:v>1E-4</c:v>
                </c:pt>
                <c:pt idx="13" formatCode="0.E+00">
                  <c:v>1.0000000000000001E-5</c:v>
                </c:pt>
                <c:pt idx="14" formatCode="0.E+00">
                  <c:v>9.9999999999999995E-7</c:v>
                </c:pt>
                <c:pt idx="15" formatCode="0.E+00">
                  <c:v>9.9999999999999995E-8</c:v>
                </c:pt>
                <c:pt idx="16">
                  <c:v>0</c:v>
                </c:pt>
              </c:numCache>
            </c:numRef>
          </c:xVal>
          <c:yVal>
            <c:numRef>
              <c:f>Pop_1k!$G$16:$G$32</c:f>
              <c:numCache>
                <c:formatCode>0.00000</c:formatCode>
                <c:ptCount val="17"/>
                <c:pt idx="0">
                  <c:v>0.17637700000000001</c:v>
                </c:pt>
                <c:pt idx="1">
                  <c:v>9.3803999999999998E-2</c:v>
                </c:pt>
                <c:pt idx="2">
                  <c:v>1.9806500000000001E-2</c:v>
                </c:pt>
                <c:pt idx="3">
                  <c:v>1.7622499999999999E-2</c:v>
                </c:pt>
                <c:pt idx="4">
                  <c:v>1.5873499999999999E-2</c:v>
                </c:pt>
                <c:pt idx="5">
                  <c:v>1.3922E-2</c:v>
                </c:pt>
                <c:pt idx="6">
                  <c:v>1.16875E-2</c:v>
                </c:pt>
                <c:pt idx="7">
                  <c:v>1.00035E-2</c:v>
                </c:pt>
                <c:pt idx="8">
                  <c:v>7.9085000000000006E-3</c:v>
                </c:pt>
                <c:pt idx="9">
                  <c:v>5.9195000000000003E-3</c:v>
                </c:pt>
                <c:pt idx="10">
                  <c:v>4.0340000000000003E-3</c:v>
                </c:pt>
                <c:pt idx="11">
                  <c:v>1.9615000000000001E-3</c:v>
                </c:pt>
                <c:pt idx="12">
                  <c:v>6.045E-4</c:v>
                </c:pt>
                <c:pt idx="13">
                  <c:v>5.0199999999999995E-4</c:v>
                </c:pt>
                <c:pt idx="14">
                  <c:v>5.1650000000000003E-4</c:v>
                </c:pt>
                <c:pt idx="15">
                  <c:v>5.1800000000000001E-4</c:v>
                </c:pt>
                <c:pt idx="16">
                  <c:v>5.0549999999999998E-4</c:v>
                </c:pt>
              </c:numCache>
            </c:numRef>
          </c:yVal>
          <c:smooth val="0"/>
          <c:extLst>
            <c:ext xmlns:c16="http://schemas.microsoft.com/office/drawing/2014/chart" uri="{C3380CC4-5D6E-409C-BE32-E72D297353CC}">
              <c16:uniqueId val="{00000000-C3A1-453E-83B2-A66593C85735}"/>
            </c:ext>
          </c:extLst>
        </c:ser>
        <c:dLbls>
          <c:showLegendKey val="0"/>
          <c:showVal val="0"/>
          <c:showCatName val="0"/>
          <c:showSerName val="0"/>
          <c:showPercent val="0"/>
          <c:showBubbleSize val="0"/>
        </c:dLbls>
        <c:axId val="1378536079"/>
        <c:axId val="1378532239"/>
      </c:scatterChart>
      <c:valAx>
        <c:axId val="1378536079"/>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78532239"/>
        <c:crosses val="autoZero"/>
        <c:crossBetween val="midCat"/>
        <c:majorUnit val="1.0000000000000002E-2"/>
        <c:minorUnit val="5.000000000000001E-3"/>
      </c:valAx>
      <c:valAx>
        <c:axId val="13785322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layout>
            <c:manualLayout>
              <c:xMode val="edge"/>
              <c:yMode val="edge"/>
              <c:x val="8.6956521739130436E-3"/>
              <c:y val="0.328597347384808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78536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N=1000, attempts=10</a:t>
            </a:r>
            <a:r>
              <a:rPr lang="en-US" sz="1200" b="0" i="0" u="none" strike="noStrike" kern="1200" spc="0" baseline="30000">
                <a:solidFill>
                  <a:sysClr val="windowText" lastClr="000000">
                    <a:lumMod val="65000"/>
                    <a:lumOff val="35000"/>
                  </a:sysClr>
                </a:solidFill>
              </a:rPr>
              <a:t>5</a:t>
            </a:r>
            <a:r>
              <a:rPr lang="en-US" sz="1200" b="0" i="0" u="none" strike="noStrike" kern="1200" spc="0" baseline="0">
                <a:solidFill>
                  <a:sysClr val="windowText" lastClr="000000">
                    <a:lumMod val="65000"/>
                    <a:lumOff val="35000"/>
                  </a:sysClr>
                </a:solidFill>
              </a:rPr>
              <a:t>,</a:t>
            </a:r>
          </a:p>
          <a:p>
            <a:pPr>
              <a:defRPr sz="1200"/>
            </a:pPr>
            <a:r>
              <a:rPr lang="en-US" sz="1200" b="0" i="0" u="none" strike="noStrike" kern="1200" spc="0" baseline="0">
                <a:solidFill>
                  <a:sysClr val="windowText" lastClr="000000">
                    <a:lumMod val="65000"/>
                    <a:lumOff val="35000"/>
                  </a:sysClr>
                </a:solidFill>
              </a:rPr>
              <a:t>reps= 20, s=0 - 1</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185055555555555"/>
          <c:y val="2.5428331875182269E-2"/>
          <c:w val="0.76180916666666665"/>
          <c:h val="0.72244129483814523"/>
        </c:manualLayout>
      </c:layout>
      <c:scatterChart>
        <c:scatterStyle val="lineMarker"/>
        <c:varyColors val="0"/>
        <c:ser>
          <c:idx val="0"/>
          <c:order val="0"/>
          <c:tx>
            <c:strRef>
              <c:f>Pop_1k!$I$2</c:f>
              <c:strCache>
                <c:ptCount val="1"/>
                <c:pt idx="0">
                  <c:v>Gen</c:v>
                </c:pt>
              </c:strCache>
            </c:strRef>
          </c:tx>
          <c:spPr>
            <a:ln w="19050" cap="rnd">
              <a:noFill/>
              <a:round/>
            </a:ln>
            <a:effectLst/>
          </c:spPr>
          <c:marker>
            <c:symbol val="circle"/>
            <c:size val="5"/>
            <c:spPr>
              <a:solidFill>
                <a:srgbClr val="FF0000"/>
              </a:solidFill>
              <a:ln w="9525">
                <a:noFill/>
              </a:ln>
              <a:effectLst/>
            </c:spPr>
          </c:marker>
          <c:xVal>
            <c:numRef>
              <c:f>Pop_1k!$D$3:$D$33</c:f>
              <c:numCache>
                <c:formatCode>General</c:formatCode>
                <c:ptCount val="31"/>
                <c:pt idx="0">
                  <c:v>1</c:v>
                </c:pt>
                <c:pt idx="1">
                  <c:v>0.9</c:v>
                </c:pt>
                <c:pt idx="2">
                  <c:v>0.8</c:v>
                </c:pt>
                <c:pt idx="3">
                  <c:v>0.7</c:v>
                </c:pt>
                <c:pt idx="4">
                  <c:v>0.6</c:v>
                </c:pt>
                <c:pt idx="5">
                  <c:v>0.5</c:v>
                </c:pt>
                <c:pt idx="6">
                  <c:v>0.45</c:v>
                </c:pt>
                <c:pt idx="7">
                  <c:v>0.4</c:v>
                </c:pt>
                <c:pt idx="8">
                  <c:v>0.35</c:v>
                </c:pt>
                <c:pt idx="9">
                  <c:v>0.3</c:v>
                </c:pt>
                <c:pt idx="10">
                  <c:v>0.25</c:v>
                </c:pt>
                <c:pt idx="11">
                  <c:v>0.2</c:v>
                </c:pt>
                <c:pt idx="12">
                  <c:v>0.15</c:v>
                </c:pt>
                <c:pt idx="13">
                  <c:v>0.1</c:v>
                </c:pt>
                <c:pt idx="14">
                  <c:v>0.05</c:v>
                </c:pt>
                <c:pt idx="15" formatCode="0.0E+00">
                  <c:v>0.01</c:v>
                </c:pt>
                <c:pt idx="16">
                  <c:v>8.9999999999999993E-3</c:v>
                </c:pt>
                <c:pt idx="17">
                  <c:v>8.0000000000000002E-3</c:v>
                </c:pt>
                <c:pt idx="18">
                  <c:v>7.0000000000000001E-3</c:v>
                </c:pt>
                <c:pt idx="19">
                  <c:v>6.0000000000000001E-3</c:v>
                </c:pt>
                <c:pt idx="20">
                  <c:v>5.0000000000000001E-3</c:v>
                </c:pt>
                <c:pt idx="21">
                  <c:v>4.0000000000000001E-3</c:v>
                </c:pt>
                <c:pt idx="22">
                  <c:v>3.0000000000000001E-3</c:v>
                </c:pt>
                <c:pt idx="23">
                  <c:v>2E-3</c:v>
                </c:pt>
                <c:pt idx="24" formatCode="0.0E+00">
                  <c:v>1E-3</c:v>
                </c:pt>
                <c:pt idx="25" formatCode="0.0E+00">
                  <c:v>1E-4</c:v>
                </c:pt>
                <c:pt idx="26" formatCode="0.E+00">
                  <c:v>1.0000000000000001E-5</c:v>
                </c:pt>
                <c:pt idx="27" formatCode="0.E+00">
                  <c:v>9.9999999999999995E-7</c:v>
                </c:pt>
                <c:pt idx="28" formatCode="0.E+00">
                  <c:v>9.9999999999999995E-8</c:v>
                </c:pt>
                <c:pt idx="29">
                  <c:v>0</c:v>
                </c:pt>
                <c:pt idx="30">
                  <c:v>0</c:v>
                </c:pt>
              </c:numCache>
            </c:numRef>
          </c:xVal>
          <c:yVal>
            <c:numRef>
              <c:f>Pop_1k!$I$3:$I$33</c:f>
              <c:numCache>
                <c:formatCode>0</c:formatCode>
                <c:ptCount val="31"/>
                <c:pt idx="0">
                  <c:v>22.85</c:v>
                </c:pt>
                <c:pt idx="1">
                  <c:v>24.54</c:v>
                </c:pt>
                <c:pt idx="2">
                  <c:v>26.62</c:v>
                </c:pt>
                <c:pt idx="3">
                  <c:v>29.25</c:v>
                </c:pt>
                <c:pt idx="4">
                  <c:v>32.700000000000003</c:v>
                </c:pt>
                <c:pt idx="5">
                  <c:v>37.409999999999997</c:v>
                </c:pt>
                <c:pt idx="6">
                  <c:v>40.49</c:v>
                </c:pt>
                <c:pt idx="7">
                  <c:v>44.28</c:v>
                </c:pt>
                <c:pt idx="8">
                  <c:v>49.09</c:v>
                </c:pt>
                <c:pt idx="9">
                  <c:v>55.36</c:v>
                </c:pt>
                <c:pt idx="10">
                  <c:v>63.93</c:v>
                </c:pt>
                <c:pt idx="11">
                  <c:v>76.44</c:v>
                </c:pt>
                <c:pt idx="12">
                  <c:v>96.49</c:v>
                </c:pt>
                <c:pt idx="13">
                  <c:v>134.35</c:v>
                </c:pt>
                <c:pt idx="14">
                  <c:v>236.88</c:v>
                </c:pt>
                <c:pt idx="15">
                  <c:v>847.43</c:v>
                </c:pt>
                <c:pt idx="16">
                  <c:v>919.45</c:v>
                </c:pt>
                <c:pt idx="17">
                  <c:v>1001.68</c:v>
                </c:pt>
                <c:pt idx="18">
                  <c:v>1108.44</c:v>
                </c:pt>
                <c:pt idx="19">
                  <c:v>1237.4100000000001</c:v>
                </c:pt>
                <c:pt idx="20">
                  <c:v>1403.9</c:v>
                </c:pt>
                <c:pt idx="21">
                  <c:v>1641.76</c:v>
                </c:pt>
                <c:pt idx="22">
                  <c:v>1982.16</c:v>
                </c:pt>
                <c:pt idx="23">
                  <c:v>2543.33</c:v>
                </c:pt>
                <c:pt idx="24">
                  <c:v>3303.59</c:v>
                </c:pt>
                <c:pt idx="25">
                  <c:v>3990.92</c:v>
                </c:pt>
                <c:pt idx="26">
                  <c:v>3932.11</c:v>
                </c:pt>
                <c:pt idx="27">
                  <c:v>4062.34</c:v>
                </c:pt>
                <c:pt idx="28">
                  <c:v>4029.73</c:v>
                </c:pt>
                <c:pt idx="29">
                  <c:v>4016.64</c:v>
                </c:pt>
                <c:pt idx="30">
                  <c:v>4000</c:v>
                </c:pt>
              </c:numCache>
            </c:numRef>
          </c:yVal>
          <c:smooth val="0"/>
          <c:extLst>
            <c:ext xmlns:c16="http://schemas.microsoft.com/office/drawing/2014/chart" uri="{C3380CC4-5D6E-409C-BE32-E72D297353CC}">
              <c16:uniqueId val="{00000000-F441-43FC-B459-B39781BB1F29}"/>
            </c:ext>
          </c:extLst>
        </c:ser>
        <c:dLbls>
          <c:showLegendKey val="0"/>
          <c:showVal val="0"/>
          <c:showCatName val="0"/>
          <c:showSerName val="0"/>
          <c:showPercent val="0"/>
          <c:showBubbleSize val="0"/>
        </c:dLbls>
        <c:axId val="1378560559"/>
        <c:axId val="1378559119"/>
      </c:scatterChart>
      <c:valAx>
        <c:axId val="1378560559"/>
        <c:scaling>
          <c:orientation val="minMax"/>
          <c:max val="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1378559119"/>
        <c:crosses val="autoZero"/>
        <c:crossBetween val="midCat"/>
        <c:minorUnit val="0.1"/>
      </c:valAx>
      <c:valAx>
        <c:axId val="1378559119"/>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1378560559"/>
        <c:crosses val="autoZero"/>
        <c:crossBetween val="midCat"/>
        <c:majorUnit val="1000"/>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 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7009417196344434"/>
          <c:y val="3.2824074074074089E-2"/>
          <c:w val="0.77723201467286462"/>
          <c:h val="0.70982493693142723"/>
        </c:manualLayout>
      </c:layout>
      <c:scatterChart>
        <c:scatterStyle val="lineMarker"/>
        <c:varyColors val="0"/>
        <c:ser>
          <c:idx val="0"/>
          <c:order val="0"/>
          <c:tx>
            <c:strRef>
              <c:f>Pop_1k!$I$2</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Pop_1k!$D$18:$D$33</c:f>
              <c:numCache>
                <c:formatCode>General</c:formatCode>
                <c:ptCount val="16"/>
                <c:pt idx="0" formatCode="0.0E+0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formatCode="0.0E+00">
                  <c:v>1E-3</c:v>
                </c:pt>
                <c:pt idx="10" formatCode="0.0E+00">
                  <c:v>1E-4</c:v>
                </c:pt>
                <c:pt idx="11" formatCode="0.E+00">
                  <c:v>1.0000000000000001E-5</c:v>
                </c:pt>
                <c:pt idx="12" formatCode="0.E+00">
                  <c:v>9.9999999999999995E-7</c:v>
                </c:pt>
                <c:pt idx="13" formatCode="0.E+00">
                  <c:v>9.9999999999999995E-8</c:v>
                </c:pt>
                <c:pt idx="14">
                  <c:v>0</c:v>
                </c:pt>
                <c:pt idx="15">
                  <c:v>0</c:v>
                </c:pt>
              </c:numCache>
            </c:numRef>
          </c:xVal>
          <c:yVal>
            <c:numRef>
              <c:f>Pop_1k!$I$18:$I$33</c:f>
              <c:numCache>
                <c:formatCode>0</c:formatCode>
                <c:ptCount val="16"/>
                <c:pt idx="0">
                  <c:v>847.43</c:v>
                </c:pt>
                <c:pt idx="1">
                  <c:v>919.45</c:v>
                </c:pt>
                <c:pt idx="2">
                  <c:v>1001.68</c:v>
                </c:pt>
                <c:pt idx="3">
                  <c:v>1108.44</c:v>
                </c:pt>
                <c:pt idx="4">
                  <c:v>1237.4100000000001</c:v>
                </c:pt>
                <c:pt idx="5">
                  <c:v>1403.9</c:v>
                </c:pt>
                <c:pt idx="6">
                  <c:v>1641.76</c:v>
                </c:pt>
                <c:pt idx="7">
                  <c:v>1982.16</c:v>
                </c:pt>
                <c:pt idx="8">
                  <c:v>2543.33</c:v>
                </c:pt>
                <c:pt idx="9">
                  <c:v>3303.59</c:v>
                </c:pt>
                <c:pt idx="10">
                  <c:v>3990.92</c:v>
                </c:pt>
                <c:pt idx="11">
                  <c:v>3932.11</c:v>
                </c:pt>
                <c:pt idx="12">
                  <c:v>4062.34</c:v>
                </c:pt>
                <c:pt idx="13">
                  <c:v>4029.73</c:v>
                </c:pt>
                <c:pt idx="14">
                  <c:v>4016.64</c:v>
                </c:pt>
                <c:pt idx="15">
                  <c:v>4000</c:v>
                </c:pt>
              </c:numCache>
            </c:numRef>
          </c:yVal>
          <c:smooth val="0"/>
          <c:extLst>
            <c:ext xmlns:c16="http://schemas.microsoft.com/office/drawing/2014/chart" uri="{C3380CC4-5D6E-409C-BE32-E72D297353CC}">
              <c16:uniqueId val="{00000000-EEAB-4A5C-A81E-5FD4B3EDBC8C}"/>
            </c:ext>
          </c:extLst>
        </c:ser>
        <c:dLbls>
          <c:showLegendKey val="0"/>
          <c:showVal val="0"/>
          <c:showCatName val="0"/>
          <c:showSerName val="0"/>
          <c:showPercent val="0"/>
          <c:showBubbleSize val="0"/>
        </c:dLbls>
        <c:axId val="1378548559"/>
        <c:axId val="1301535343"/>
      </c:scatterChart>
      <c:valAx>
        <c:axId val="1378548559"/>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01535343"/>
        <c:crosses val="autoZero"/>
        <c:crossBetween val="midCat"/>
        <c:majorUnit val="2.0000000000000005E-3"/>
        <c:minorUnit val="5.0000000000000012E-4"/>
      </c:valAx>
      <c:valAx>
        <c:axId val="1301535343"/>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Generations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 sourceLinked="1"/>
        <c:majorTickMark val="in"/>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78548559"/>
        <c:crosses val="autoZero"/>
        <c:crossBetween val="midCat"/>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672070402964336"/>
          <c:y val="2.5428331875182269E-2"/>
          <c:w val="0.75323066234367775"/>
          <c:h val="0.73839457567804034"/>
        </c:manualLayout>
      </c:layout>
      <c:scatterChart>
        <c:scatterStyle val="lineMarker"/>
        <c:varyColors val="0"/>
        <c:ser>
          <c:idx val="0"/>
          <c:order val="0"/>
          <c:tx>
            <c:strRef>
              <c:f>Pop_1k!$G$36</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12E-4"/>
            <c:dispRSqr val="1"/>
            <c:dispEq val="1"/>
            <c:trendlineLbl>
              <c:layout>
                <c:manualLayout>
                  <c:x val="3.347204107503686E-2"/>
                  <c:y val="0.32642390965497131"/>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1.9115x + 0.0005</a:t>
                    </a:r>
                    <a:br>
                      <a:rPr lang="en-US" sz="1200" baseline="0"/>
                    </a:br>
                    <a:r>
                      <a:rPr lang="en-US" sz="1200" baseline="0"/>
                      <a:t>R² = 0.9993</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Pop_1k!$D$47:$D$59</c:f>
              <c:numCache>
                <c:formatCode>General</c:formatCode>
                <c:ptCount val="13"/>
                <c:pt idx="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c:v>1E-3</c:v>
                </c:pt>
                <c:pt idx="10">
                  <c:v>1E-4</c:v>
                </c:pt>
                <c:pt idx="11" formatCode="0.E+00">
                  <c:v>1.0000000000000001E-5</c:v>
                </c:pt>
                <c:pt idx="12">
                  <c:v>0</c:v>
                </c:pt>
              </c:numCache>
            </c:numRef>
          </c:xVal>
          <c:yVal>
            <c:numRef>
              <c:f>Pop_1k!$G$47:$G$59</c:f>
              <c:numCache>
                <c:formatCode>0.00000</c:formatCode>
                <c:ptCount val="13"/>
                <c:pt idx="0">
                  <c:v>1.9775000000000001E-2</c:v>
                </c:pt>
                <c:pt idx="1">
                  <c:v>1.7975000000000001E-2</c:v>
                </c:pt>
                <c:pt idx="2">
                  <c:v>1.5984999999999999E-2</c:v>
                </c:pt>
                <c:pt idx="3">
                  <c:v>1.389E-2</c:v>
                </c:pt>
                <c:pt idx="4">
                  <c:v>1.174E-2</c:v>
                </c:pt>
                <c:pt idx="5">
                  <c:v>9.7999999999999997E-3</c:v>
                </c:pt>
                <c:pt idx="6">
                  <c:v>7.8799999999999999E-3</c:v>
                </c:pt>
                <c:pt idx="7">
                  <c:v>5.8650000000000004E-3</c:v>
                </c:pt>
                <c:pt idx="8">
                  <c:v>4.1000000000000003E-3</c:v>
                </c:pt>
                <c:pt idx="9">
                  <c:v>2.0500000000000002E-3</c:v>
                </c:pt>
                <c:pt idx="10">
                  <c:v>5.9999999999999995E-4</c:v>
                </c:pt>
                <c:pt idx="11">
                  <c:v>5.2999999999999998E-4</c:v>
                </c:pt>
                <c:pt idx="12">
                  <c:v>4.55E-4</c:v>
                </c:pt>
              </c:numCache>
            </c:numRef>
          </c:yVal>
          <c:smooth val="0"/>
          <c:extLst>
            <c:ext xmlns:c16="http://schemas.microsoft.com/office/drawing/2014/chart" uri="{C3380CC4-5D6E-409C-BE32-E72D297353CC}">
              <c16:uniqueId val="{00000000-FAB0-467B-B422-5E61AD20EFA9}"/>
            </c:ext>
          </c:extLst>
        </c:ser>
        <c:dLbls>
          <c:showLegendKey val="0"/>
          <c:showVal val="0"/>
          <c:showCatName val="0"/>
          <c:showSerName val="0"/>
          <c:showPercent val="0"/>
          <c:showBubbleSize val="0"/>
        </c:dLbls>
        <c:axId val="1437705135"/>
        <c:axId val="1437705615"/>
      </c:scatterChart>
      <c:valAx>
        <c:axId val="1437705135"/>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437705615"/>
        <c:crosses val="autoZero"/>
        <c:crossBetween val="midCat"/>
      </c:valAx>
      <c:valAx>
        <c:axId val="1437705615"/>
        <c:scaling>
          <c:orientation val="minMax"/>
          <c:max val="2.0000000000000004E-2"/>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437705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705336832895889"/>
          <c:y val="4.6712962962962977E-2"/>
          <c:w val="0.7902729658792651"/>
          <c:h val="0.74771617089530473"/>
        </c:manualLayout>
      </c:layout>
      <c:scatterChart>
        <c:scatterStyle val="lineMarker"/>
        <c:varyColors val="0"/>
        <c:ser>
          <c:idx val="0"/>
          <c:order val="0"/>
          <c:tx>
            <c:strRef>
              <c:f>Pop_1k!$G$62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12E-4"/>
            <c:dispRSqr val="1"/>
            <c:dispEq val="1"/>
            <c:trendlineLbl>
              <c:layout>
                <c:manualLayout>
                  <c:x val="-6.5065068722558175E-3"/>
                  <c:y val="0.38637699484644711"/>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baseline="0"/>
                      <a:t>Prob = 1.8686s + 0.0005</a:t>
                    </a:r>
                    <a:br>
                      <a:rPr lang="en-US" baseline="0"/>
                    </a:br>
                    <a:r>
                      <a:rPr lang="en-US" baseline="0"/>
                      <a:t>R² = 0.9961</a:t>
                    </a:r>
                    <a:endParaRPr lang="en-US"/>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Pop_1k!$D$73:$D$85</c:f>
              <c:numCache>
                <c:formatCode>General</c:formatCode>
                <c:ptCount val="13"/>
                <c:pt idx="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c:v>1E-3</c:v>
                </c:pt>
                <c:pt idx="10">
                  <c:v>1E-4</c:v>
                </c:pt>
                <c:pt idx="11" formatCode="0.E+00">
                  <c:v>1.0000000000000001E-5</c:v>
                </c:pt>
                <c:pt idx="12">
                  <c:v>0</c:v>
                </c:pt>
              </c:numCache>
            </c:numRef>
          </c:xVal>
          <c:yVal>
            <c:numRef>
              <c:f>Pop_1k!$G$73:$G$85</c:f>
              <c:numCache>
                <c:formatCode>0.00000</c:formatCode>
                <c:ptCount val="13"/>
                <c:pt idx="0">
                  <c:v>1.9349999999999999E-2</c:v>
                </c:pt>
                <c:pt idx="1">
                  <c:v>1.755E-2</c:v>
                </c:pt>
                <c:pt idx="2">
                  <c:v>1.515E-2</c:v>
                </c:pt>
                <c:pt idx="3">
                  <c:v>1.32E-2</c:v>
                </c:pt>
                <c:pt idx="4">
                  <c:v>1.23E-2</c:v>
                </c:pt>
                <c:pt idx="5">
                  <c:v>9.5499999999999995E-3</c:v>
                </c:pt>
                <c:pt idx="6">
                  <c:v>8.3499999999999998E-3</c:v>
                </c:pt>
                <c:pt idx="7">
                  <c:v>5.5500000000000002E-3</c:v>
                </c:pt>
                <c:pt idx="8">
                  <c:v>4.4999999999999997E-3</c:v>
                </c:pt>
                <c:pt idx="9">
                  <c:v>1.2999999999999999E-3</c:v>
                </c:pt>
                <c:pt idx="10">
                  <c:v>4.0000000000000002E-4</c:v>
                </c:pt>
                <c:pt idx="11">
                  <c:v>4.0000000000000002E-4</c:v>
                </c:pt>
                <c:pt idx="12">
                  <c:v>5.5000000000000003E-4</c:v>
                </c:pt>
              </c:numCache>
            </c:numRef>
          </c:yVal>
          <c:smooth val="0"/>
          <c:extLst>
            <c:ext xmlns:c16="http://schemas.microsoft.com/office/drawing/2014/chart" uri="{C3380CC4-5D6E-409C-BE32-E72D297353CC}">
              <c16:uniqueId val="{00000000-CECF-4C26-9C0E-42A836F5A996}"/>
            </c:ext>
          </c:extLst>
        </c:ser>
        <c:dLbls>
          <c:showLegendKey val="0"/>
          <c:showVal val="0"/>
          <c:showCatName val="0"/>
          <c:showSerName val="0"/>
          <c:showPercent val="0"/>
          <c:showBubbleSize val="0"/>
        </c:dLbls>
        <c:axId val="1301536783"/>
        <c:axId val="1301540623"/>
      </c:scatterChart>
      <c:valAx>
        <c:axId val="1301536783"/>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40623"/>
        <c:crosses val="autoZero"/>
        <c:crossBetween val="midCat"/>
      </c:valAx>
      <c:valAx>
        <c:axId val="1301540623"/>
        <c:scaling>
          <c:orientation val="minMax"/>
          <c:max val="2.0000000000000004E-2"/>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36783"/>
        <c:crosses val="autoZero"/>
        <c:crossBetween val="midCat"/>
        <c:min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 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081714785651792"/>
          <c:y val="3.2824074074074089E-2"/>
          <c:w val="0.79650918635170609"/>
          <c:h val="0.70982493693142723"/>
        </c:manualLayout>
      </c:layout>
      <c:scatterChart>
        <c:scatterStyle val="lineMarker"/>
        <c:varyColors val="0"/>
        <c:ser>
          <c:idx val="0"/>
          <c:order val="0"/>
          <c:tx>
            <c:strRef>
              <c:f>Pop_1k!$I$2</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Pop_1k!$D$16:$D$33</c:f>
              <c:numCache>
                <c:formatCode>General</c:formatCode>
                <c:ptCount val="18"/>
                <c:pt idx="0">
                  <c:v>0.1</c:v>
                </c:pt>
                <c:pt idx="1">
                  <c:v>0.05</c:v>
                </c:pt>
                <c:pt idx="2" formatCode="0.0E+00">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formatCode="0.0E+00">
                  <c:v>1E-3</c:v>
                </c:pt>
                <c:pt idx="12" formatCode="0.0E+00">
                  <c:v>1E-4</c:v>
                </c:pt>
                <c:pt idx="13" formatCode="0.E+00">
                  <c:v>1.0000000000000001E-5</c:v>
                </c:pt>
                <c:pt idx="14" formatCode="0.E+00">
                  <c:v>9.9999999999999995E-7</c:v>
                </c:pt>
                <c:pt idx="15" formatCode="0.E+00">
                  <c:v>9.9999999999999995E-8</c:v>
                </c:pt>
                <c:pt idx="16">
                  <c:v>0</c:v>
                </c:pt>
                <c:pt idx="17">
                  <c:v>0</c:v>
                </c:pt>
              </c:numCache>
            </c:numRef>
          </c:xVal>
          <c:yVal>
            <c:numRef>
              <c:f>Pop_1k!$I$16:$I$33</c:f>
              <c:numCache>
                <c:formatCode>0</c:formatCode>
                <c:ptCount val="18"/>
                <c:pt idx="0">
                  <c:v>134.35</c:v>
                </c:pt>
                <c:pt idx="1">
                  <c:v>236.88</c:v>
                </c:pt>
                <c:pt idx="2">
                  <c:v>847.43</c:v>
                </c:pt>
                <c:pt idx="3">
                  <c:v>919.45</c:v>
                </c:pt>
                <c:pt idx="4">
                  <c:v>1001.68</c:v>
                </c:pt>
                <c:pt idx="5">
                  <c:v>1108.44</c:v>
                </c:pt>
                <c:pt idx="6">
                  <c:v>1237.4100000000001</c:v>
                </c:pt>
                <c:pt idx="7">
                  <c:v>1403.9</c:v>
                </c:pt>
                <c:pt idx="8">
                  <c:v>1641.76</c:v>
                </c:pt>
                <c:pt idx="9">
                  <c:v>1982.16</c:v>
                </c:pt>
                <c:pt idx="10">
                  <c:v>2543.33</c:v>
                </c:pt>
                <c:pt idx="11">
                  <c:v>3303.59</c:v>
                </c:pt>
                <c:pt idx="12">
                  <c:v>3990.92</c:v>
                </c:pt>
                <c:pt idx="13">
                  <c:v>3932.11</c:v>
                </c:pt>
                <c:pt idx="14">
                  <c:v>4062.34</c:v>
                </c:pt>
                <c:pt idx="15">
                  <c:v>4029.73</c:v>
                </c:pt>
                <c:pt idx="16">
                  <c:v>4016.64</c:v>
                </c:pt>
                <c:pt idx="17">
                  <c:v>4000</c:v>
                </c:pt>
              </c:numCache>
            </c:numRef>
          </c:yVal>
          <c:smooth val="0"/>
          <c:extLst>
            <c:ext xmlns:c16="http://schemas.microsoft.com/office/drawing/2014/chart" uri="{C3380CC4-5D6E-409C-BE32-E72D297353CC}">
              <c16:uniqueId val="{00000000-E3A5-4228-8122-3E7FFD0744D5}"/>
            </c:ext>
          </c:extLst>
        </c:ser>
        <c:dLbls>
          <c:showLegendKey val="0"/>
          <c:showVal val="0"/>
          <c:showCatName val="0"/>
          <c:showSerName val="0"/>
          <c:showPercent val="0"/>
          <c:showBubbleSize val="0"/>
        </c:dLbls>
        <c:axId val="1378548559"/>
        <c:axId val="1301535343"/>
      </c:scatterChart>
      <c:valAx>
        <c:axId val="1378548559"/>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01535343"/>
        <c:crosses val="autoZero"/>
        <c:crossBetween val="midCat"/>
        <c:majorUnit val="2.0000000000000004E-2"/>
        <c:minorUnit val="5.000000000000001E-3"/>
      </c:valAx>
      <c:valAx>
        <c:axId val="1301535343"/>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Generations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 sourceLinked="1"/>
        <c:majorTickMark val="in"/>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78548559"/>
        <c:crosses val="autoZero"/>
        <c:crossBetween val="midCat"/>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672070402964336"/>
          <c:y val="2.5428331875182269E-2"/>
          <c:w val="0.75323066234367775"/>
          <c:h val="0.73839457567804034"/>
        </c:manualLayout>
      </c:layout>
      <c:scatterChart>
        <c:scatterStyle val="lineMarker"/>
        <c:varyColors val="0"/>
        <c:ser>
          <c:idx val="0"/>
          <c:order val="0"/>
          <c:tx>
            <c:strRef>
              <c:f>Pop_1k!$G$36</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5.0000000000000012E-4"/>
            <c:dispRSqr val="1"/>
            <c:dispEq val="1"/>
            <c:trendlineLbl>
              <c:layout>
                <c:manualLayout>
                  <c:x val="1.5032422417786013E-2"/>
                  <c:y val="0.40305226214539275"/>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1.7759s + 0.0005</a:t>
                    </a:r>
                    <a:br>
                      <a:rPr lang="en-US" sz="1200" baseline="0"/>
                    </a:br>
                    <a:r>
                      <a:rPr lang="en-US" sz="1200" baseline="0"/>
                      <a:t>R² = 0.9991</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Pop_1k!$D$45:$D$59</c:f>
              <c:numCache>
                <c:formatCode>General</c:formatCode>
                <c:ptCount val="15"/>
                <c:pt idx="0">
                  <c:v>0.1</c:v>
                </c:pt>
                <c:pt idx="1">
                  <c:v>0.05</c:v>
                </c:pt>
                <c:pt idx="2">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c:v>1E-3</c:v>
                </c:pt>
                <c:pt idx="12">
                  <c:v>1E-4</c:v>
                </c:pt>
                <c:pt idx="13" formatCode="0.E+00">
                  <c:v>1.0000000000000001E-5</c:v>
                </c:pt>
                <c:pt idx="14">
                  <c:v>0</c:v>
                </c:pt>
              </c:numCache>
            </c:numRef>
          </c:xVal>
          <c:yVal>
            <c:numRef>
              <c:f>Pop_1k!$G$45:$G$59</c:f>
              <c:numCache>
                <c:formatCode>0.00000</c:formatCode>
                <c:ptCount val="15"/>
                <c:pt idx="0">
                  <c:v>0.17538999999999999</c:v>
                </c:pt>
                <c:pt idx="1">
                  <c:v>9.3655000000000002E-2</c:v>
                </c:pt>
                <c:pt idx="2">
                  <c:v>1.9775000000000001E-2</c:v>
                </c:pt>
                <c:pt idx="3">
                  <c:v>1.7975000000000001E-2</c:v>
                </c:pt>
                <c:pt idx="4">
                  <c:v>1.5984999999999999E-2</c:v>
                </c:pt>
                <c:pt idx="5">
                  <c:v>1.389E-2</c:v>
                </c:pt>
                <c:pt idx="6">
                  <c:v>1.174E-2</c:v>
                </c:pt>
                <c:pt idx="7">
                  <c:v>9.7999999999999997E-3</c:v>
                </c:pt>
                <c:pt idx="8">
                  <c:v>7.8799999999999999E-3</c:v>
                </c:pt>
                <c:pt idx="9">
                  <c:v>5.8650000000000004E-3</c:v>
                </c:pt>
                <c:pt idx="10">
                  <c:v>4.1000000000000003E-3</c:v>
                </c:pt>
                <c:pt idx="11">
                  <c:v>2.0500000000000002E-3</c:v>
                </c:pt>
                <c:pt idx="12">
                  <c:v>5.9999999999999995E-4</c:v>
                </c:pt>
                <c:pt idx="13">
                  <c:v>5.2999999999999998E-4</c:v>
                </c:pt>
                <c:pt idx="14">
                  <c:v>4.55E-4</c:v>
                </c:pt>
              </c:numCache>
            </c:numRef>
          </c:yVal>
          <c:smooth val="0"/>
          <c:extLst>
            <c:ext xmlns:c16="http://schemas.microsoft.com/office/drawing/2014/chart" uri="{C3380CC4-5D6E-409C-BE32-E72D297353CC}">
              <c16:uniqueId val="{00000002-696C-43D2-B36F-2C87218C7F54}"/>
            </c:ext>
          </c:extLst>
        </c:ser>
        <c:dLbls>
          <c:showLegendKey val="0"/>
          <c:showVal val="0"/>
          <c:showCatName val="0"/>
          <c:showSerName val="0"/>
          <c:showPercent val="0"/>
          <c:showBubbleSize val="0"/>
        </c:dLbls>
        <c:axId val="1437705135"/>
        <c:axId val="1437705615"/>
      </c:scatterChart>
      <c:valAx>
        <c:axId val="1437705135"/>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437705615"/>
        <c:crosses val="autoZero"/>
        <c:crossBetween val="midCat"/>
      </c:valAx>
      <c:valAx>
        <c:axId val="1437705615"/>
        <c:scaling>
          <c:orientation val="minMax"/>
          <c:max val="0.2"/>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in"/>
        <c:tickLblPos val="nextTo"/>
        <c:crossAx val="1437705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705336832895889"/>
          <c:y val="4.6712962962962977E-2"/>
          <c:w val="0.7902729658792651"/>
          <c:h val="0.74771617089530473"/>
        </c:manualLayout>
      </c:layout>
      <c:scatterChart>
        <c:scatterStyle val="lineMarker"/>
        <c:varyColors val="0"/>
        <c:ser>
          <c:idx val="0"/>
          <c:order val="0"/>
          <c:tx>
            <c:strRef>
              <c:f>Pop_1k!$G$62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5.0000000000000012E-4"/>
            <c:dispRSqr val="1"/>
            <c:dispEq val="1"/>
            <c:trendlineLbl>
              <c:layout>
                <c:manualLayout>
                  <c:x val="-6.5065068722558175E-3"/>
                  <c:y val="0.43017261528440331"/>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1.7962s + 0.0005</a:t>
                    </a:r>
                    <a:br>
                      <a:rPr lang="en-US" sz="1200" baseline="0"/>
                    </a:br>
                    <a:r>
                      <a:rPr lang="en-US" sz="1200" baseline="0"/>
                      <a:t>R² = 0.9997</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Pop_1k!$D$71:$D$85</c:f>
              <c:numCache>
                <c:formatCode>General</c:formatCode>
                <c:ptCount val="15"/>
                <c:pt idx="0">
                  <c:v>0.1</c:v>
                </c:pt>
                <c:pt idx="1">
                  <c:v>0.05</c:v>
                </c:pt>
                <c:pt idx="2">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c:v>1E-3</c:v>
                </c:pt>
                <c:pt idx="12">
                  <c:v>1E-4</c:v>
                </c:pt>
                <c:pt idx="13" formatCode="0.E+00">
                  <c:v>1.0000000000000001E-5</c:v>
                </c:pt>
                <c:pt idx="14">
                  <c:v>0</c:v>
                </c:pt>
              </c:numCache>
            </c:numRef>
          </c:xVal>
          <c:yVal>
            <c:numRef>
              <c:f>Pop_1k!$G$71:$G$85</c:f>
              <c:numCache>
                <c:formatCode>0.00000</c:formatCode>
                <c:ptCount val="15"/>
                <c:pt idx="0">
                  <c:v>0.17885000000000001</c:v>
                </c:pt>
                <c:pt idx="1">
                  <c:v>9.2299999999999993E-2</c:v>
                </c:pt>
                <c:pt idx="2">
                  <c:v>1.9349999999999999E-2</c:v>
                </c:pt>
                <c:pt idx="3">
                  <c:v>1.755E-2</c:v>
                </c:pt>
                <c:pt idx="4">
                  <c:v>1.515E-2</c:v>
                </c:pt>
                <c:pt idx="5">
                  <c:v>1.32E-2</c:v>
                </c:pt>
                <c:pt idx="6">
                  <c:v>1.23E-2</c:v>
                </c:pt>
                <c:pt idx="7">
                  <c:v>9.5499999999999995E-3</c:v>
                </c:pt>
                <c:pt idx="8">
                  <c:v>8.3499999999999998E-3</c:v>
                </c:pt>
                <c:pt idx="9">
                  <c:v>5.5500000000000002E-3</c:v>
                </c:pt>
                <c:pt idx="10">
                  <c:v>4.4999999999999997E-3</c:v>
                </c:pt>
                <c:pt idx="11">
                  <c:v>1.2999999999999999E-3</c:v>
                </c:pt>
                <c:pt idx="12">
                  <c:v>4.0000000000000002E-4</c:v>
                </c:pt>
                <c:pt idx="13">
                  <c:v>4.0000000000000002E-4</c:v>
                </c:pt>
                <c:pt idx="14">
                  <c:v>5.5000000000000003E-4</c:v>
                </c:pt>
              </c:numCache>
            </c:numRef>
          </c:yVal>
          <c:smooth val="0"/>
          <c:extLst>
            <c:ext xmlns:c16="http://schemas.microsoft.com/office/drawing/2014/chart" uri="{C3380CC4-5D6E-409C-BE32-E72D297353CC}">
              <c16:uniqueId val="{00000002-C640-4DAC-9E64-52467CC012C5}"/>
            </c:ext>
          </c:extLst>
        </c:ser>
        <c:dLbls>
          <c:showLegendKey val="0"/>
          <c:showVal val="0"/>
          <c:showCatName val="0"/>
          <c:showSerName val="0"/>
          <c:showPercent val="0"/>
          <c:showBubbleSize val="0"/>
        </c:dLbls>
        <c:axId val="1301536783"/>
        <c:axId val="1301540623"/>
      </c:scatterChart>
      <c:valAx>
        <c:axId val="1301536783"/>
        <c:scaling>
          <c:orientation val="minMax"/>
          <c:max val="0.1"/>
          <c:min val="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40623"/>
        <c:crosses val="autoZero"/>
        <c:crossBetween val="midCat"/>
        <c:majorUnit val="2.0000000000000004E-2"/>
      </c:valAx>
      <c:valAx>
        <c:axId val="1301540623"/>
        <c:scaling>
          <c:orientation val="minMax"/>
          <c:max val="0.2"/>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36783"/>
        <c:crosses val="autoZero"/>
        <c:crossBetween val="midCat"/>
        <c:majorUnit val="5.000000000000001E-2"/>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a:t>Generations</a:t>
            </a:r>
            <a:r>
              <a:rPr lang="en-US" sz="1100" baseline="0"/>
              <a:t> to fix </a:t>
            </a:r>
            <a:r>
              <a:rPr lang="en-US" sz="1100" i="1" baseline="0"/>
              <a:t>N</a:t>
            </a:r>
            <a:r>
              <a:rPr lang="en-US" sz="1100" i="0" baseline="0"/>
              <a:t> = 0 ‒ </a:t>
            </a:r>
            <a:r>
              <a:rPr lang="en-US" sz="1100" b="0" i="0" u="none" strike="noStrike" kern="1200" spc="0" baseline="0">
                <a:solidFill>
                  <a:sysClr val="windowText" lastClr="000000">
                    <a:lumMod val="65000"/>
                    <a:lumOff val="35000"/>
                  </a:sysClr>
                </a:solidFill>
              </a:rPr>
              <a:t>10</a:t>
            </a:r>
            <a:r>
              <a:rPr lang="en-US" sz="1100" b="0" i="0" u="none" strike="noStrike" kern="1200" spc="0" baseline="30000">
                <a:solidFill>
                  <a:sysClr val="windowText" lastClr="000000">
                    <a:lumMod val="65000"/>
                    <a:lumOff val="35000"/>
                  </a:sysClr>
                </a:solidFill>
              </a:rPr>
              <a:t>6</a:t>
            </a:r>
          </a:p>
          <a:p>
            <a:pPr algn="l">
              <a:defRPr sz="1100"/>
            </a:pPr>
            <a:r>
              <a:rPr lang="en-US" sz="1100" b="0" i="0" u="none" strike="noStrike" kern="1200" spc="0" baseline="0">
                <a:solidFill>
                  <a:sysClr val="windowText" lastClr="000000">
                    <a:lumMod val="65000"/>
                    <a:lumOff val="35000"/>
                  </a:sysClr>
                </a:solidFill>
              </a:rPr>
              <a:t>a</a:t>
            </a:r>
            <a:r>
              <a:rPr lang="en-US" sz="1100" baseline="0"/>
              <a:t>nd </a:t>
            </a:r>
            <a:r>
              <a:rPr lang="en-US" sz="1100" i="1" baseline="0"/>
              <a:t>s</a:t>
            </a:r>
            <a:r>
              <a:rPr lang="en-US" sz="1100" i="0" baseline="0"/>
              <a:t> = 10</a:t>
            </a:r>
            <a:r>
              <a:rPr lang="en-US" sz="1100" i="0" baseline="30000"/>
              <a:t>‒3</a:t>
            </a:r>
            <a:r>
              <a:rPr lang="en-US" sz="1100" i="0" baseline="0"/>
              <a:t> and </a:t>
            </a:r>
            <a:r>
              <a:rPr lang="en-US" sz="1100" b="0" i="1" u="none" strike="noStrike" kern="1200" spc="0" baseline="0">
                <a:solidFill>
                  <a:sysClr val="windowText" lastClr="000000">
                    <a:lumMod val="65000"/>
                    <a:lumOff val="35000"/>
                  </a:sysClr>
                </a:solidFill>
              </a:rPr>
              <a:t>s</a:t>
            </a:r>
            <a:r>
              <a:rPr lang="en-US" sz="1100" b="0" i="0" u="none" strike="noStrike" kern="1200" spc="0" baseline="0">
                <a:solidFill>
                  <a:sysClr val="windowText" lastClr="000000">
                    <a:lumMod val="65000"/>
                    <a:lumOff val="35000"/>
                  </a:sysClr>
                </a:solidFill>
              </a:rPr>
              <a:t> = 10</a:t>
            </a:r>
            <a:r>
              <a:rPr lang="en-US" sz="1100" b="0" i="0" u="none" strike="noStrike" kern="1200" spc="0" baseline="30000">
                <a:solidFill>
                  <a:sysClr val="windowText" lastClr="000000">
                    <a:lumMod val="65000"/>
                    <a:lumOff val="35000"/>
                  </a:sysClr>
                </a:solidFill>
              </a:rPr>
              <a:t>‒4</a:t>
            </a:r>
            <a:endParaRPr lang="en-US" sz="1100"/>
          </a:p>
        </c:rich>
      </c:tx>
      <c:layout>
        <c:manualLayout>
          <c:xMode val="edge"/>
          <c:yMode val="edge"/>
          <c:x val="0.33230555555555558"/>
          <c:y val="3.2185000000000005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37638888888888"/>
          <c:y val="5.1342592592592592E-2"/>
          <c:w val="0.68193749999999986"/>
          <c:h val="0.66677111111111109"/>
        </c:manualLayout>
      </c:layout>
      <c:scatterChart>
        <c:scatterStyle val="lineMarker"/>
        <c:varyColors val="0"/>
        <c:ser>
          <c:idx val="0"/>
          <c:order val="0"/>
          <c:tx>
            <c:strRef>
              <c:f>'Summary results (4)'!$I$3</c:f>
              <c:strCache>
                <c:ptCount val="1"/>
                <c:pt idx="0">
                  <c:v>s=10‒3</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log"/>
            <c:dispRSqr val="0"/>
            <c:dispEq val="0"/>
          </c:trendline>
          <c:trendline>
            <c:spPr>
              <a:ln w="19050" cap="rnd">
                <a:solidFill>
                  <a:schemeClr val="accent1"/>
                </a:solidFill>
                <a:prstDash val="sysDot"/>
              </a:ln>
              <a:effectLst/>
            </c:spPr>
            <c:trendlineType val="log"/>
            <c:dispRSqr val="0"/>
            <c:dispEq val="0"/>
          </c:trendline>
          <c:xVal>
            <c:numRef>
              <c:f>'Summary results (4)'!$E$4:$E$9</c:f>
              <c:numCache>
                <c:formatCode>General</c:formatCode>
                <c:ptCount val="6"/>
                <c:pt idx="0">
                  <c:v>10</c:v>
                </c:pt>
                <c:pt idx="1">
                  <c:v>100</c:v>
                </c:pt>
                <c:pt idx="2">
                  <c:v>1000</c:v>
                </c:pt>
                <c:pt idx="3" formatCode="#,##0">
                  <c:v>10000</c:v>
                </c:pt>
                <c:pt idx="4" formatCode="#,##0">
                  <c:v>100000</c:v>
                </c:pt>
                <c:pt idx="5" formatCode="#,##0">
                  <c:v>1000000</c:v>
                </c:pt>
              </c:numCache>
            </c:numRef>
          </c:xVal>
          <c:yVal>
            <c:numRef>
              <c:f>'Summary results (4)'!$I$4:$I$9</c:f>
              <c:numCache>
                <c:formatCode>#,##0</c:formatCode>
                <c:ptCount val="6"/>
                <c:pt idx="0">
                  <c:v>37.58</c:v>
                </c:pt>
                <c:pt idx="1">
                  <c:v>402.31</c:v>
                </c:pt>
                <c:pt idx="2">
                  <c:v>3303.59</c:v>
                </c:pt>
                <c:pt idx="3">
                  <c:v>8490.66</c:v>
                </c:pt>
                <c:pt idx="4">
                  <c:v>13133.66</c:v>
                </c:pt>
                <c:pt idx="5">
                  <c:v>17745.41</c:v>
                </c:pt>
              </c:numCache>
            </c:numRef>
          </c:yVal>
          <c:smooth val="0"/>
          <c:extLst>
            <c:ext xmlns:c16="http://schemas.microsoft.com/office/drawing/2014/chart" uri="{C3380CC4-5D6E-409C-BE32-E72D297353CC}">
              <c16:uniqueId val="{00000000-8220-4970-94A2-64FE6557D44B}"/>
            </c:ext>
          </c:extLst>
        </c:ser>
        <c:ser>
          <c:idx val="1"/>
          <c:order val="1"/>
          <c:tx>
            <c:strRef>
              <c:f>'Summary results (4)'!$J$3</c:f>
              <c:strCache>
                <c:ptCount val="1"/>
                <c:pt idx="0">
                  <c:v>s=10‒4</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rgbClr val="FF0000"/>
                </a:solidFill>
                <a:prstDash val="solid"/>
              </a:ln>
              <a:effectLst/>
            </c:spPr>
            <c:trendlineType val="log"/>
            <c:dispRSqr val="0"/>
            <c:dispEq val="0"/>
          </c:trendline>
          <c:xVal>
            <c:numRef>
              <c:f>'Summary results (4)'!$E$4:$E$9</c:f>
              <c:numCache>
                <c:formatCode>General</c:formatCode>
                <c:ptCount val="6"/>
                <c:pt idx="0">
                  <c:v>10</c:v>
                </c:pt>
                <c:pt idx="1">
                  <c:v>100</c:v>
                </c:pt>
                <c:pt idx="2">
                  <c:v>1000</c:v>
                </c:pt>
                <c:pt idx="3" formatCode="#,##0">
                  <c:v>10000</c:v>
                </c:pt>
                <c:pt idx="4" formatCode="#,##0">
                  <c:v>100000</c:v>
                </c:pt>
                <c:pt idx="5" formatCode="#,##0">
                  <c:v>1000000</c:v>
                </c:pt>
              </c:numCache>
            </c:numRef>
          </c:xVal>
          <c:yVal>
            <c:numRef>
              <c:f>'Summary results (4)'!$J$4:$J$9</c:f>
              <c:numCache>
                <c:formatCode>#,##0</c:formatCode>
                <c:ptCount val="6"/>
                <c:pt idx="0">
                  <c:v>38.020000000000003</c:v>
                </c:pt>
                <c:pt idx="1">
                  <c:v>397.95</c:v>
                </c:pt>
                <c:pt idx="2">
                  <c:v>3990.92</c:v>
                </c:pt>
                <c:pt idx="3">
                  <c:v>33464.42</c:v>
                </c:pt>
                <c:pt idx="4">
                  <c:v>84842.01</c:v>
                </c:pt>
                <c:pt idx="5">
                  <c:v>131278.21</c:v>
                </c:pt>
              </c:numCache>
            </c:numRef>
          </c:yVal>
          <c:smooth val="0"/>
          <c:extLst>
            <c:ext xmlns:c16="http://schemas.microsoft.com/office/drawing/2014/chart" uri="{C3380CC4-5D6E-409C-BE32-E72D297353CC}">
              <c16:uniqueId val="{00000001-8220-4970-94A2-64FE6557D44B}"/>
            </c:ext>
          </c:extLst>
        </c:ser>
        <c:dLbls>
          <c:showLegendKey val="0"/>
          <c:showVal val="0"/>
          <c:showCatName val="0"/>
          <c:showSerName val="0"/>
          <c:showPercent val="0"/>
          <c:showBubbleSize val="0"/>
        </c:dLbls>
        <c:axId val="637078432"/>
        <c:axId val="637075552"/>
      </c:scatterChart>
      <c:valAx>
        <c:axId val="637078432"/>
        <c:scaling>
          <c:orientation val="minMax"/>
          <c:max val="100000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Population</a:t>
                </a:r>
                <a:r>
                  <a:rPr lang="en-US" sz="1200" baseline="0"/>
                  <a:t> size, N</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637075552"/>
        <c:crosses val="autoZero"/>
        <c:crossBetween val="midCat"/>
        <c:minorUnit val="100000"/>
      </c:valAx>
      <c:valAx>
        <c:axId val="637075552"/>
        <c:scaling>
          <c:orientation val="minMax"/>
          <c:max val="140000"/>
          <c:min val="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637078432"/>
        <c:crosses val="autoZero"/>
        <c:crossBetween val="midCat"/>
        <c:majorUnit val="20000"/>
        <c:minorUnit val="10000"/>
      </c:valAx>
      <c:spPr>
        <a:noFill/>
        <a:ln>
          <a:noFill/>
        </a:ln>
        <a:effectLst/>
      </c:spPr>
    </c:plotArea>
    <c:legend>
      <c:legendPos val="b"/>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legendEntry>
      <c:legendEntry>
        <c:idx val="2"/>
        <c:delete val="1"/>
      </c:legendEntry>
      <c:legendEntry>
        <c:idx val="3"/>
        <c:delete val="1"/>
      </c:legendEntry>
      <c:legendEntry>
        <c:idx val="4"/>
        <c:delete val="1"/>
      </c:legendEntry>
      <c:layout>
        <c:manualLayout>
          <c:xMode val="edge"/>
          <c:yMode val="edge"/>
          <c:x val="0.38848916666666666"/>
          <c:y val="0.43068944444444446"/>
          <c:w val="0.16706627296587928"/>
          <c:h val="0.1986989647127442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s=0 - 0.5</a:t>
            </a:r>
          </a:p>
        </c:rich>
      </c:tx>
      <c:layout>
        <c:manualLayout>
          <c:xMode val="edge"/>
          <c:yMode val="edge"/>
          <c:x val="0.19962097545231436"/>
          <c:y val="4.3795620437956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705336832895889"/>
          <c:y val="4.6712962962962977E-2"/>
          <c:w val="0.7902729658792651"/>
          <c:h val="0.74771617089530473"/>
        </c:manualLayout>
      </c:layout>
      <c:scatterChart>
        <c:scatterStyle val="lineMarker"/>
        <c:varyColors val="0"/>
        <c:ser>
          <c:idx val="0"/>
          <c:order val="0"/>
          <c:tx>
            <c:strRef>
              <c:f>Pop_1k!$G$62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5.0000000000000012E-4"/>
            <c:dispRSqr val="1"/>
            <c:dispEq val="1"/>
            <c:trendlineLbl>
              <c:layout>
                <c:manualLayout>
                  <c:x val="1.8938073576069813E-2"/>
                  <c:y val="0.44963733547905049"/>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-1.3346s</a:t>
                    </a:r>
                    <a:r>
                      <a:rPr lang="en-US" sz="1200" baseline="30000"/>
                      <a:t>2</a:t>
                    </a:r>
                    <a:r>
                      <a:rPr lang="en-US" sz="1200" baseline="0"/>
                      <a:t> + 1.8265s + 0.0005</a:t>
                    </a:r>
                    <a:br>
                      <a:rPr lang="en-US" sz="1200" baseline="0"/>
                    </a:br>
                    <a:r>
                      <a:rPr lang="en-US" sz="1200" baseline="0"/>
                      <a:t>R² = 0.9996</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Pop_1k!$D$63:$D$85</c:f>
              <c:numCache>
                <c:formatCode>General</c:formatCode>
                <c:ptCount val="23"/>
                <c:pt idx="0">
                  <c:v>0.5</c:v>
                </c:pt>
                <c:pt idx="1">
                  <c:v>0.45</c:v>
                </c:pt>
                <c:pt idx="2">
                  <c:v>0.4</c:v>
                </c:pt>
                <c:pt idx="3">
                  <c:v>0.35</c:v>
                </c:pt>
                <c:pt idx="4">
                  <c:v>0.3</c:v>
                </c:pt>
                <c:pt idx="5">
                  <c:v>0.25</c:v>
                </c:pt>
                <c:pt idx="6">
                  <c:v>0.2</c:v>
                </c:pt>
                <c:pt idx="7">
                  <c:v>0.15</c:v>
                </c:pt>
                <c:pt idx="8">
                  <c:v>0.1</c:v>
                </c:pt>
                <c:pt idx="9">
                  <c:v>0.05</c:v>
                </c:pt>
                <c:pt idx="10">
                  <c:v>0.01</c:v>
                </c:pt>
                <c:pt idx="11">
                  <c:v>8.9999999999999993E-3</c:v>
                </c:pt>
                <c:pt idx="12">
                  <c:v>8.0000000000000002E-3</c:v>
                </c:pt>
                <c:pt idx="13">
                  <c:v>7.0000000000000001E-3</c:v>
                </c:pt>
                <c:pt idx="14">
                  <c:v>6.0000000000000001E-3</c:v>
                </c:pt>
                <c:pt idx="15">
                  <c:v>5.0000000000000001E-3</c:v>
                </c:pt>
                <c:pt idx="16">
                  <c:v>4.0000000000000001E-3</c:v>
                </c:pt>
                <c:pt idx="17">
                  <c:v>3.0000000000000001E-3</c:v>
                </c:pt>
                <c:pt idx="18">
                  <c:v>2E-3</c:v>
                </c:pt>
                <c:pt idx="19">
                  <c:v>1E-3</c:v>
                </c:pt>
                <c:pt idx="20">
                  <c:v>1E-4</c:v>
                </c:pt>
                <c:pt idx="21" formatCode="0.E+00">
                  <c:v>1.0000000000000001E-5</c:v>
                </c:pt>
                <c:pt idx="22">
                  <c:v>0</c:v>
                </c:pt>
              </c:numCache>
            </c:numRef>
          </c:xVal>
          <c:yVal>
            <c:numRef>
              <c:f>Pop_1k!$G$63:$G$85</c:f>
              <c:numCache>
                <c:formatCode>0.00000</c:formatCode>
                <c:ptCount val="23"/>
                <c:pt idx="0">
                  <c:v>0.58384999999999998</c:v>
                </c:pt>
                <c:pt idx="1">
                  <c:v>0.55884999999999996</c:v>
                </c:pt>
                <c:pt idx="2">
                  <c:v>0.50600000000000001</c:v>
                </c:pt>
                <c:pt idx="3">
                  <c:v>0.47554999999999997</c:v>
                </c:pt>
                <c:pt idx="4">
                  <c:v>0.42170000000000002</c:v>
                </c:pt>
                <c:pt idx="5">
                  <c:v>0.375</c:v>
                </c:pt>
                <c:pt idx="6">
                  <c:v>0.31014999999999998</c:v>
                </c:pt>
                <c:pt idx="7">
                  <c:v>0.251</c:v>
                </c:pt>
                <c:pt idx="8">
                  <c:v>0.17885000000000001</c:v>
                </c:pt>
                <c:pt idx="9">
                  <c:v>9.2299999999999993E-2</c:v>
                </c:pt>
                <c:pt idx="10">
                  <c:v>1.9349999999999999E-2</c:v>
                </c:pt>
                <c:pt idx="11">
                  <c:v>1.755E-2</c:v>
                </c:pt>
                <c:pt idx="12">
                  <c:v>1.515E-2</c:v>
                </c:pt>
                <c:pt idx="13">
                  <c:v>1.32E-2</c:v>
                </c:pt>
                <c:pt idx="14">
                  <c:v>1.23E-2</c:v>
                </c:pt>
                <c:pt idx="15">
                  <c:v>9.5499999999999995E-3</c:v>
                </c:pt>
                <c:pt idx="16">
                  <c:v>8.3499999999999998E-3</c:v>
                </c:pt>
                <c:pt idx="17">
                  <c:v>5.5500000000000002E-3</c:v>
                </c:pt>
                <c:pt idx="18">
                  <c:v>4.4999999999999997E-3</c:v>
                </c:pt>
                <c:pt idx="19">
                  <c:v>1.2999999999999999E-3</c:v>
                </c:pt>
                <c:pt idx="20">
                  <c:v>4.0000000000000002E-4</c:v>
                </c:pt>
                <c:pt idx="21">
                  <c:v>4.0000000000000002E-4</c:v>
                </c:pt>
                <c:pt idx="22">
                  <c:v>5.5000000000000003E-4</c:v>
                </c:pt>
              </c:numCache>
            </c:numRef>
          </c:yVal>
          <c:smooth val="0"/>
          <c:extLst>
            <c:ext xmlns:c16="http://schemas.microsoft.com/office/drawing/2014/chart" uri="{C3380CC4-5D6E-409C-BE32-E72D297353CC}">
              <c16:uniqueId val="{00000002-840C-4A70-9911-73EF744800A0}"/>
            </c:ext>
          </c:extLst>
        </c:ser>
        <c:dLbls>
          <c:showLegendKey val="0"/>
          <c:showVal val="0"/>
          <c:showCatName val="0"/>
          <c:showSerName val="0"/>
          <c:showPercent val="0"/>
          <c:showBubbleSize val="0"/>
        </c:dLbls>
        <c:axId val="1301536783"/>
        <c:axId val="1301540623"/>
      </c:scatterChart>
      <c:valAx>
        <c:axId val="1301536783"/>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40623"/>
        <c:crosses val="autoZero"/>
        <c:crossBetween val="midCat"/>
      </c:valAx>
      <c:valAx>
        <c:axId val="1301540623"/>
        <c:scaling>
          <c:orientation val="minMax"/>
          <c:max val="0.60000000000000009"/>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36783"/>
        <c:crosses val="autoZero"/>
        <c:crossBetween val="midCat"/>
        <c:min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672070402964336"/>
          <c:y val="2.5428331875182269E-2"/>
          <c:w val="0.75323066234367775"/>
          <c:h val="0.73839457567804034"/>
        </c:manualLayout>
      </c:layout>
      <c:scatterChart>
        <c:scatterStyle val="lineMarker"/>
        <c:varyColors val="0"/>
        <c:ser>
          <c:idx val="0"/>
          <c:order val="0"/>
          <c:tx>
            <c:strRef>
              <c:f>Pop_1k!$G$36</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5.0000000000000012E-4"/>
            <c:dispRSqr val="1"/>
            <c:dispEq val="1"/>
            <c:trendlineLbl>
              <c:layout>
                <c:manualLayout>
                  <c:x val="5.3578045391384901E-2"/>
                  <c:y val="0.45924638730503514"/>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-1.3417s</a:t>
                    </a:r>
                    <a:r>
                      <a:rPr lang="en-US" sz="1200" baseline="30000"/>
                      <a:t>2</a:t>
                    </a:r>
                    <a:r>
                      <a:rPr lang="en-US" sz="1200" baseline="0"/>
                      <a:t> + 1.8205s + 0.0005</a:t>
                    </a:r>
                    <a:br>
                      <a:rPr lang="en-US" sz="1200" baseline="0"/>
                    </a:br>
                    <a:r>
                      <a:rPr lang="en-US" sz="1200" baseline="0"/>
                      <a:t>R² = 0.9998</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Pop_1k!$D$37:$D$59</c:f>
              <c:numCache>
                <c:formatCode>General</c:formatCode>
                <c:ptCount val="23"/>
                <c:pt idx="0">
                  <c:v>0.5</c:v>
                </c:pt>
                <c:pt idx="1">
                  <c:v>0.45</c:v>
                </c:pt>
                <c:pt idx="2">
                  <c:v>0.4</c:v>
                </c:pt>
                <c:pt idx="3">
                  <c:v>0.35</c:v>
                </c:pt>
                <c:pt idx="4">
                  <c:v>0.3</c:v>
                </c:pt>
                <c:pt idx="5">
                  <c:v>0.25</c:v>
                </c:pt>
                <c:pt idx="6">
                  <c:v>0.2</c:v>
                </c:pt>
                <c:pt idx="7">
                  <c:v>0.15</c:v>
                </c:pt>
                <c:pt idx="8">
                  <c:v>0.1</c:v>
                </c:pt>
                <c:pt idx="9">
                  <c:v>0.05</c:v>
                </c:pt>
                <c:pt idx="10">
                  <c:v>0.01</c:v>
                </c:pt>
                <c:pt idx="11">
                  <c:v>8.9999999999999993E-3</c:v>
                </c:pt>
                <c:pt idx="12">
                  <c:v>8.0000000000000002E-3</c:v>
                </c:pt>
                <c:pt idx="13">
                  <c:v>7.0000000000000001E-3</c:v>
                </c:pt>
                <c:pt idx="14">
                  <c:v>6.0000000000000001E-3</c:v>
                </c:pt>
                <c:pt idx="15">
                  <c:v>5.0000000000000001E-3</c:v>
                </c:pt>
                <c:pt idx="16">
                  <c:v>4.0000000000000001E-3</c:v>
                </c:pt>
                <c:pt idx="17">
                  <c:v>3.0000000000000001E-3</c:v>
                </c:pt>
                <c:pt idx="18">
                  <c:v>2E-3</c:v>
                </c:pt>
                <c:pt idx="19">
                  <c:v>1E-3</c:v>
                </c:pt>
                <c:pt idx="20">
                  <c:v>1E-4</c:v>
                </c:pt>
                <c:pt idx="21" formatCode="0.E+00">
                  <c:v>1.0000000000000001E-5</c:v>
                </c:pt>
                <c:pt idx="22">
                  <c:v>0</c:v>
                </c:pt>
              </c:numCache>
            </c:numRef>
          </c:xVal>
          <c:yVal>
            <c:numRef>
              <c:f>Pop_1k!$G$37:$G$59</c:f>
              <c:numCache>
                <c:formatCode>0.00000</c:formatCode>
                <c:ptCount val="23"/>
                <c:pt idx="0">
                  <c:v>0.58087</c:v>
                </c:pt>
                <c:pt idx="1">
                  <c:v>0.54888499999999996</c:v>
                </c:pt>
                <c:pt idx="2">
                  <c:v>0.509355</c:v>
                </c:pt>
                <c:pt idx="3">
                  <c:v>0.46858</c:v>
                </c:pt>
                <c:pt idx="4">
                  <c:v>0.42158499999999999</c:v>
                </c:pt>
                <c:pt idx="5">
                  <c:v>0.36958000000000002</c:v>
                </c:pt>
                <c:pt idx="6">
                  <c:v>0.31355</c:v>
                </c:pt>
                <c:pt idx="7">
                  <c:v>0.24838499999999999</c:v>
                </c:pt>
                <c:pt idx="8">
                  <c:v>0.17538999999999999</c:v>
                </c:pt>
                <c:pt idx="9">
                  <c:v>9.3655000000000002E-2</c:v>
                </c:pt>
                <c:pt idx="10">
                  <c:v>1.9775000000000001E-2</c:v>
                </c:pt>
                <c:pt idx="11">
                  <c:v>1.7975000000000001E-2</c:v>
                </c:pt>
                <c:pt idx="12">
                  <c:v>1.5984999999999999E-2</c:v>
                </c:pt>
                <c:pt idx="13">
                  <c:v>1.389E-2</c:v>
                </c:pt>
                <c:pt idx="14">
                  <c:v>1.174E-2</c:v>
                </c:pt>
                <c:pt idx="15">
                  <c:v>9.7999999999999997E-3</c:v>
                </c:pt>
                <c:pt idx="16">
                  <c:v>7.8799999999999999E-3</c:v>
                </c:pt>
                <c:pt idx="17">
                  <c:v>5.8650000000000004E-3</c:v>
                </c:pt>
                <c:pt idx="18">
                  <c:v>4.1000000000000003E-3</c:v>
                </c:pt>
                <c:pt idx="19">
                  <c:v>2.0500000000000002E-3</c:v>
                </c:pt>
                <c:pt idx="20">
                  <c:v>5.9999999999999995E-4</c:v>
                </c:pt>
                <c:pt idx="21">
                  <c:v>5.2999999999999998E-4</c:v>
                </c:pt>
                <c:pt idx="22">
                  <c:v>4.55E-4</c:v>
                </c:pt>
              </c:numCache>
            </c:numRef>
          </c:yVal>
          <c:smooth val="0"/>
          <c:extLst>
            <c:ext xmlns:c16="http://schemas.microsoft.com/office/drawing/2014/chart" uri="{C3380CC4-5D6E-409C-BE32-E72D297353CC}">
              <c16:uniqueId val="{00000001-1143-491C-A3CE-041B4444D7F7}"/>
            </c:ext>
          </c:extLst>
        </c:ser>
        <c:dLbls>
          <c:showLegendKey val="0"/>
          <c:showVal val="0"/>
          <c:showCatName val="0"/>
          <c:showSerName val="0"/>
          <c:showPercent val="0"/>
          <c:showBubbleSize val="0"/>
        </c:dLbls>
        <c:axId val="1437705135"/>
        <c:axId val="1437705615"/>
      </c:scatterChart>
      <c:valAx>
        <c:axId val="1437705135"/>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437705615"/>
        <c:crosses val="autoZero"/>
        <c:crossBetween val="midCat"/>
      </c:valAx>
      <c:valAx>
        <c:axId val="1437705615"/>
        <c:scaling>
          <c:orientation val="minMax"/>
          <c:max val="0.60000000000000009"/>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437705135"/>
        <c:crosses val="autoZero"/>
        <c:crossBetween val="midCat"/>
        <c:minorUnit val="5.000000000000001E-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layout>
        <c:manualLayout>
          <c:xMode val="edge"/>
          <c:yMode val="edge"/>
          <c:x val="0.36361789151356083"/>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760870516185477"/>
          <c:y val="2.5428331875182269E-2"/>
          <c:w val="0.78971762904636922"/>
          <c:h val="0.76375801983085445"/>
        </c:manualLayout>
      </c:layout>
      <c:scatterChart>
        <c:scatterStyle val="lineMarker"/>
        <c:varyColors val="0"/>
        <c:ser>
          <c:idx val="0"/>
          <c:order val="0"/>
          <c:tx>
            <c:strRef>
              <c:f>Pop_1k!$I$36</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Pop_1k!$D$47:$D$59</c:f>
              <c:numCache>
                <c:formatCode>General</c:formatCode>
                <c:ptCount val="13"/>
                <c:pt idx="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c:v>1E-3</c:v>
                </c:pt>
                <c:pt idx="10">
                  <c:v>1E-4</c:v>
                </c:pt>
                <c:pt idx="11" formatCode="0.E+00">
                  <c:v>1.0000000000000001E-5</c:v>
                </c:pt>
                <c:pt idx="12">
                  <c:v>0</c:v>
                </c:pt>
              </c:numCache>
            </c:numRef>
          </c:xVal>
          <c:yVal>
            <c:numRef>
              <c:f>Pop_1k!$I$47:$I$59</c:f>
              <c:numCache>
                <c:formatCode>0</c:formatCode>
                <c:ptCount val="13"/>
                <c:pt idx="0">
                  <c:v>847.34</c:v>
                </c:pt>
                <c:pt idx="1">
                  <c:v>911.68</c:v>
                </c:pt>
                <c:pt idx="2">
                  <c:v>1006.33</c:v>
                </c:pt>
                <c:pt idx="3">
                  <c:v>1101.23</c:v>
                </c:pt>
                <c:pt idx="4">
                  <c:v>1241.77</c:v>
                </c:pt>
                <c:pt idx="5">
                  <c:v>1413.23</c:v>
                </c:pt>
                <c:pt idx="6">
                  <c:v>1641.06</c:v>
                </c:pt>
                <c:pt idx="7">
                  <c:v>1992.26</c:v>
                </c:pt>
                <c:pt idx="8">
                  <c:v>2477.21</c:v>
                </c:pt>
                <c:pt idx="9">
                  <c:v>3275.15</c:v>
                </c:pt>
                <c:pt idx="10">
                  <c:v>3924.87</c:v>
                </c:pt>
                <c:pt idx="11">
                  <c:v>3669.22</c:v>
                </c:pt>
                <c:pt idx="12">
                  <c:v>3979.11</c:v>
                </c:pt>
              </c:numCache>
            </c:numRef>
          </c:yVal>
          <c:smooth val="0"/>
          <c:extLst>
            <c:ext xmlns:c16="http://schemas.microsoft.com/office/drawing/2014/chart" uri="{C3380CC4-5D6E-409C-BE32-E72D297353CC}">
              <c16:uniqueId val="{00000000-F6B5-4E30-ABAF-CF522440E6A0}"/>
            </c:ext>
          </c:extLst>
        </c:ser>
        <c:dLbls>
          <c:showLegendKey val="0"/>
          <c:showVal val="0"/>
          <c:showCatName val="0"/>
          <c:showSerName val="0"/>
          <c:showPercent val="0"/>
          <c:showBubbleSize val="0"/>
        </c:dLbls>
        <c:axId val="825028464"/>
        <c:axId val="825028944"/>
      </c:scatterChart>
      <c:valAx>
        <c:axId val="825028464"/>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825028944"/>
        <c:crosses val="autoZero"/>
        <c:crossBetween val="midCat"/>
      </c:valAx>
      <c:valAx>
        <c:axId val="825028944"/>
        <c:scaling>
          <c:orientation val="minMax"/>
          <c:max val="4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825028464"/>
        <c:crosses val="autoZero"/>
        <c:crossBetween val="midCat"/>
        <c:majorUnit val="1000"/>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layout>
        <c:manualLayout>
          <c:xMode val="edge"/>
          <c:yMode val="edge"/>
          <c:x val="0.36361789151356083"/>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760870516185477"/>
          <c:y val="2.5428331875182269E-2"/>
          <c:w val="0.78971762904636922"/>
          <c:h val="0.76375801983085445"/>
        </c:manualLayout>
      </c:layout>
      <c:scatterChart>
        <c:scatterStyle val="lineMarker"/>
        <c:varyColors val="0"/>
        <c:ser>
          <c:idx val="0"/>
          <c:order val="0"/>
          <c:tx>
            <c:strRef>
              <c:f>Pop_1k!$I$36</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Pop_1k!$D$45:$D$59</c:f>
              <c:numCache>
                <c:formatCode>General</c:formatCode>
                <c:ptCount val="15"/>
                <c:pt idx="0">
                  <c:v>0.1</c:v>
                </c:pt>
                <c:pt idx="1">
                  <c:v>0.05</c:v>
                </c:pt>
                <c:pt idx="2">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c:v>1E-3</c:v>
                </c:pt>
                <c:pt idx="12">
                  <c:v>1E-4</c:v>
                </c:pt>
                <c:pt idx="13" formatCode="0.E+00">
                  <c:v>1.0000000000000001E-5</c:v>
                </c:pt>
                <c:pt idx="14">
                  <c:v>0</c:v>
                </c:pt>
              </c:numCache>
            </c:numRef>
          </c:xVal>
          <c:yVal>
            <c:numRef>
              <c:f>Pop_1k!$I$45:$I$59</c:f>
              <c:numCache>
                <c:formatCode>0</c:formatCode>
                <c:ptCount val="15"/>
                <c:pt idx="0">
                  <c:v>134.32</c:v>
                </c:pt>
                <c:pt idx="1">
                  <c:v>237.43</c:v>
                </c:pt>
                <c:pt idx="2">
                  <c:v>847.34</c:v>
                </c:pt>
                <c:pt idx="3">
                  <c:v>911.68</c:v>
                </c:pt>
                <c:pt idx="4">
                  <c:v>1006.33</c:v>
                </c:pt>
                <c:pt idx="5">
                  <c:v>1101.23</c:v>
                </c:pt>
                <c:pt idx="6">
                  <c:v>1241.77</c:v>
                </c:pt>
                <c:pt idx="7">
                  <c:v>1413.23</c:v>
                </c:pt>
                <c:pt idx="8">
                  <c:v>1641.06</c:v>
                </c:pt>
                <c:pt idx="9">
                  <c:v>1992.26</c:v>
                </c:pt>
                <c:pt idx="10">
                  <c:v>2477.21</c:v>
                </c:pt>
                <c:pt idx="11">
                  <c:v>3275.15</c:v>
                </c:pt>
                <c:pt idx="12">
                  <c:v>3924.87</c:v>
                </c:pt>
                <c:pt idx="13">
                  <c:v>3669.22</c:v>
                </c:pt>
                <c:pt idx="14">
                  <c:v>3979.11</c:v>
                </c:pt>
              </c:numCache>
            </c:numRef>
          </c:yVal>
          <c:smooth val="0"/>
          <c:extLst>
            <c:ext xmlns:c16="http://schemas.microsoft.com/office/drawing/2014/chart" uri="{C3380CC4-5D6E-409C-BE32-E72D297353CC}">
              <c16:uniqueId val="{00000000-6989-484E-B30D-922D912EC414}"/>
            </c:ext>
          </c:extLst>
        </c:ser>
        <c:dLbls>
          <c:showLegendKey val="0"/>
          <c:showVal val="0"/>
          <c:showCatName val="0"/>
          <c:showSerName val="0"/>
          <c:showPercent val="0"/>
          <c:showBubbleSize val="0"/>
        </c:dLbls>
        <c:axId val="825028464"/>
        <c:axId val="825028944"/>
      </c:scatterChart>
      <c:valAx>
        <c:axId val="825028464"/>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825028944"/>
        <c:crosses val="autoZero"/>
        <c:crossBetween val="midCat"/>
      </c:valAx>
      <c:valAx>
        <c:axId val="825028944"/>
        <c:scaling>
          <c:orientation val="minMax"/>
          <c:max val="4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825028464"/>
        <c:crosses val="autoZero"/>
        <c:crossBetween val="midCat"/>
        <c:majorUnit val="1000"/>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s=0 - 0.5</a:t>
            </a:r>
          </a:p>
        </c:rich>
      </c:tx>
      <c:layout>
        <c:manualLayout>
          <c:xMode val="edge"/>
          <c:yMode val="edge"/>
          <c:x val="0.31933083333333334"/>
          <c:y val="2.2186111111111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994194444444444"/>
          <c:y val="2.5428331875182269E-2"/>
          <c:w val="0.74738416666666663"/>
          <c:h val="0.70731333333333335"/>
        </c:manualLayout>
      </c:layout>
      <c:scatterChart>
        <c:scatterStyle val="lineMarker"/>
        <c:varyColors val="0"/>
        <c:ser>
          <c:idx val="0"/>
          <c:order val="0"/>
          <c:tx>
            <c:strRef>
              <c:f>Pop_1k!$I$36</c:f>
              <c:strCache>
                <c:ptCount val="1"/>
                <c:pt idx="0">
                  <c:v>Gen</c:v>
                </c:pt>
              </c:strCache>
            </c:strRef>
          </c:tx>
          <c:spPr>
            <a:ln w="19050" cap="rnd">
              <a:noFill/>
              <a:round/>
            </a:ln>
            <a:effectLst/>
          </c:spPr>
          <c:marker>
            <c:symbol val="circle"/>
            <c:size val="5"/>
            <c:spPr>
              <a:solidFill>
                <a:srgbClr val="FF0000"/>
              </a:solidFill>
              <a:ln w="9525">
                <a:noFill/>
              </a:ln>
              <a:effectLst/>
            </c:spPr>
          </c:marker>
          <c:xVal>
            <c:numRef>
              <c:f>Pop_1k!$D$37:$D$59</c:f>
              <c:numCache>
                <c:formatCode>General</c:formatCode>
                <c:ptCount val="23"/>
                <c:pt idx="0">
                  <c:v>0.5</c:v>
                </c:pt>
                <c:pt idx="1">
                  <c:v>0.45</c:v>
                </c:pt>
                <c:pt idx="2">
                  <c:v>0.4</c:v>
                </c:pt>
                <c:pt idx="3">
                  <c:v>0.35</c:v>
                </c:pt>
                <c:pt idx="4">
                  <c:v>0.3</c:v>
                </c:pt>
                <c:pt idx="5">
                  <c:v>0.25</c:v>
                </c:pt>
                <c:pt idx="6">
                  <c:v>0.2</c:v>
                </c:pt>
                <c:pt idx="7">
                  <c:v>0.15</c:v>
                </c:pt>
                <c:pt idx="8">
                  <c:v>0.1</c:v>
                </c:pt>
                <c:pt idx="9">
                  <c:v>0.05</c:v>
                </c:pt>
                <c:pt idx="10">
                  <c:v>0.01</c:v>
                </c:pt>
                <c:pt idx="11">
                  <c:v>8.9999999999999993E-3</c:v>
                </c:pt>
                <c:pt idx="12">
                  <c:v>8.0000000000000002E-3</c:v>
                </c:pt>
                <c:pt idx="13">
                  <c:v>7.0000000000000001E-3</c:v>
                </c:pt>
                <c:pt idx="14">
                  <c:v>6.0000000000000001E-3</c:v>
                </c:pt>
                <c:pt idx="15">
                  <c:v>5.0000000000000001E-3</c:v>
                </c:pt>
                <c:pt idx="16">
                  <c:v>4.0000000000000001E-3</c:v>
                </c:pt>
                <c:pt idx="17">
                  <c:v>3.0000000000000001E-3</c:v>
                </c:pt>
                <c:pt idx="18">
                  <c:v>2E-3</c:v>
                </c:pt>
                <c:pt idx="19">
                  <c:v>1E-3</c:v>
                </c:pt>
                <c:pt idx="20">
                  <c:v>1E-4</c:v>
                </c:pt>
                <c:pt idx="21" formatCode="0.E+00">
                  <c:v>1.0000000000000001E-5</c:v>
                </c:pt>
                <c:pt idx="22">
                  <c:v>0</c:v>
                </c:pt>
              </c:numCache>
            </c:numRef>
          </c:xVal>
          <c:yVal>
            <c:numRef>
              <c:f>Pop_1k!$I$37:$I$59</c:f>
              <c:numCache>
                <c:formatCode>0</c:formatCode>
                <c:ptCount val="23"/>
                <c:pt idx="0">
                  <c:v>37.4</c:v>
                </c:pt>
                <c:pt idx="1">
                  <c:v>40.49</c:v>
                </c:pt>
                <c:pt idx="2">
                  <c:v>44.28</c:v>
                </c:pt>
                <c:pt idx="3">
                  <c:v>49.06</c:v>
                </c:pt>
                <c:pt idx="4">
                  <c:v>55.37</c:v>
                </c:pt>
                <c:pt idx="5">
                  <c:v>63.96</c:v>
                </c:pt>
                <c:pt idx="6">
                  <c:v>76.42</c:v>
                </c:pt>
                <c:pt idx="7">
                  <c:v>96.49</c:v>
                </c:pt>
                <c:pt idx="8">
                  <c:v>134.32</c:v>
                </c:pt>
                <c:pt idx="9">
                  <c:v>237.43</c:v>
                </c:pt>
                <c:pt idx="10">
                  <c:v>847.34</c:v>
                </c:pt>
                <c:pt idx="11">
                  <c:v>911.68</c:v>
                </c:pt>
                <c:pt idx="12">
                  <c:v>1006.33</c:v>
                </c:pt>
                <c:pt idx="13">
                  <c:v>1101.23</c:v>
                </c:pt>
                <c:pt idx="14">
                  <c:v>1241.77</c:v>
                </c:pt>
                <c:pt idx="15">
                  <c:v>1413.23</c:v>
                </c:pt>
                <c:pt idx="16">
                  <c:v>1641.06</c:v>
                </c:pt>
                <c:pt idx="17">
                  <c:v>1992.26</c:v>
                </c:pt>
                <c:pt idx="18">
                  <c:v>2477.21</c:v>
                </c:pt>
                <c:pt idx="19">
                  <c:v>3275.15</c:v>
                </c:pt>
                <c:pt idx="20">
                  <c:v>3924.87</c:v>
                </c:pt>
                <c:pt idx="21">
                  <c:v>3669.22</c:v>
                </c:pt>
                <c:pt idx="22">
                  <c:v>3979.11</c:v>
                </c:pt>
              </c:numCache>
            </c:numRef>
          </c:yVal>
          <c:smooth val="0"/>
          <c:extLst>
            <c:ext xmlns:c16="http://schemas.microsoft.com/office/drawing/2014/chart" uri="{C3380CC4-5D6E-409C-BE32-E72D297353CC}">
              <c16:uniqueId val="{00000000-5067-400B-9241-4436355A205D}"/>
            </c:ext>
          </c:extLst>
        </c:ser>
        <c:dLbls>
          <c:showLegendKey val="0"/>
          <c:showVal val="0"/>
          <c:showCatName val="0"/>
          <c:showSerName val="0"/>
          <c:showPercent val="0"/>
          <c:showBubbleSize val="0"/>
        </c:dLbls>
        <c:axId val="825028464"/>
        <c:axId val="825028944"/>
      </c:scatterChart>
      <c:valAx>
        <c:axId val="825028464"/>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825028944"/>
        <c:crosses val="autoZero"/>
        <c:crossBetween val="midCat"/>
        <c:minorUnit val="5.000000000000001E-2"/>
      </c:valAx>
      <c:valAx>
        <c:axId val="825028944"/>
        <c:scaling>
          <c:orientation val="minMax"/>
          <c:max val="5000"/>
          <c:min val="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Generations</a:t>
                </a:r>
              </a:p>
            </c:rich>
          </c:tx>
          <c:layout>
            <c:manualLayout>
              <c:xMode val="edge"/>
              <c:yMode val="edge"/>
              <c:x val="1.0652500000000001E-2"/>
              <c:y val="0.177021111111111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825028464"/>
        <c:crosses val="autoZero"/>
        <c:crossBetween val="midCat"/>
        <c:majorUnit val="1000"/>
        <c:min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s=0 - 0.5</a:t>
            </a:r>
            <a:endParaRPr lang="en-US" sz="1400"/>
          </a:p>
        </c:rich>
      </c:tx>
      <c:layout>
        <c:manualLayout>
          <c:xMode val="edge"/>
          <c:yMode val="edge"/>
          <c:x val="0.22491758965198877"/>
          <c:y val="5.5517157132983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0184492563429571"/>
          <c:y val="2.5428331875182269E-2"/>
          <c:w val="0.75181474190726161"/>
          <c:h val="0.78010061242344708"/>
        </c:manualLayout>
      </c:layout>
      <c:scatterChart>
        <c:scatterStyle val="lineMarker"/>
        <c:varyColors val="0"/>
        <c:ser>
          <c:idx val="0"/>
          <c:order val="0"/>
          <c:tx>
            <c:strRef>
              <c:f>Pop_10k!$G$36</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5.0000000000000023E-5"/>
            <c:dispRSqr val="1"/>
            <c:dispEq val="1"/>
            <c:trendlineLbl>
              <c:layout>
                <c:manualLayout>
                  <c:x val="6.7310701361166E-2"/>
                  <c:y val="0.49044769754369366"/>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-1.3618s</a:t>
                    </a:r>
                    <a:r>
                      <a:rPr lang="en-US" sz="1200" baseline="30000"/>
                      <a:t>2</a:t>
                    </a:r>
                    <a:r>
                      <a:rPr lang="en-US" sz="1200" baseline="0"/>
                      <a:t> + 1.8329s + 5E-05</a:t>
                    </a:r>
                    <a:br>
                      <a:rPr lang="en-US" sz="1200" baseline="0"/>
                    </a:br>
                    <a:r>
                      <a:rPr lang="en-US" sz="1200" baseline="0"/>
                      <a:t>R² = 0.9998</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Pop_10k!$D$37:$D$59</c:f>
              <c:numCache>
                <c:formatCode>General</c:formatCode>
                <c:ptCount val="23"/>
                <c:pt idx="0">
                  <c:v>0.5</c:v>
                </c:pt>
                <c:pt idx="1">
                  <c:v>0.45</c:v>
                </c:pt>
                <c:pt idx="2">
                  <c:v>0.4</c:v>
                </c:pt>
                <c:pt idx="3">
                  <c:v>0.35</c:v>
                </c:pt>
                <c:pt idx="4">
                  <c:v>0.3</c:v>
                </c:pt>
                <c:pt idx="5">
                  <c:v>0.25</c:v>
                </c:pt>
                <c:pt idx="6">
                  <c:v>0.2</c:v>
                </c:pt>
                <c:pt idx="7">
                  <c:v>0.15</c:v>
                </c:pt>
                <c:pt idx="8">
                  <c:v>0.1</c:v>
                </c:pt>
                <c:pt idx="9">
                  <c:v>0.05</c:v>
                </c:pt>
                <c:pt idx="10">
                  <c:v>0.01</c:v>
                </c:pt>
                <c:pt idx="11">
                  <c:v>8.9999999999999993E-3</c:v>
                </c:pt>
                <c:pt idx="12">
                  <c:v>8.0000000000000002E-3</c:v>
                </c:pt>
                <c:pt idx="13">
                  <c:v>7.0000000000000001E-3</c:v>
                </c:pt>
                <c:pt idx="14">
                  <c:v>6.0000000000000001E-3</c:v>
                </c:pt>
                <c:pt idx="15">
                  <c:v>5.0000000000000001E-3</c:v>
                </c:pt>
                <c:pt idx="16">
                  <c:v>4.0000000000000001E-3</c:v>
                </c:pt>
                <c:pt idx="17">
                  <c:v>3.0000000000000001E-3</c:v>
                </c:pt>
                <c:pt idx="18">
                  <c:v>2E-3</c:v>
                </c:pt>
                <c:pt idx="19">
                  <c:v>1E-3</c:v>
                </c:pt>
                <c:pt idx="20">
                  <c:v>1E-4</c:v>
                </c:pt>
                <c:pt idx="21" formatCode="0.00E+00">
                  <c:v>1.0000000000000001E-5</c:v>
                </c:pt>
                <c:pt idx="22">
                  <c:v>0</c:v>
                </c:pt>
              </c:numCache>
            </c:numRef>
          </c:xVal>
          <c:yVal>
            <c:numRef>
              <c:f>Pop_10k!$G$37:$G$59</c:f>
              <c:numCache>
                <c:formatCode>0.00000</c:formatCode>
                <c:ptCount val="23"/>
                <c:pt idx="0">
                  <c:v>0.58226100000000003</c:v>
                </c:pt>
                <c:pt idx="1">
                  <c:v>0.54860900000000001</c:v>
                </c:pt>
                <c:pt idx="2">
                  <c:v>0.51125600000000004</c:v>
                </c:pt>
                <c:pt idx="3">
                  <c:v>0.46994799999999998</c:v>
                </c:pt>
                <c:pt idx="4">
                  <c:v>0.42304700000000001</c:v>
                </c:pt>
                <c:pt idx="5">
                  <c:v>0.37154549999999997</c:v>
                </c:pt>
                <c:pt idx="6">
                  <c:v>0.31404850000000001</c:v>
                </c:pt>
                <c:pt idx="7">
                  <c:v>0.249363</c:v>
                </c:pt>
                <c:pt idx="8">
                  <c:v>0.1763325</c:v>
                </c:pt>
                <c:pt idx="9">
                  <c:v>9.3353500000000006E-2</c:v>
                </c:pt>
                <c:pt idx="10">
                  <c:v>1.9654499999999998E-2</c:v>
                </c:pt>
                <c:pt idx="11">
                  <c:v>1.78905E-2</c:v>
                </c:pt>
                <c:pt idx="12">
                  <c:v>1.5810500000000002E-2</c:v>
                </c:pt>
                <c:pt idx="13">
                  <c:v>1.37775E-2</c:v>
                </c:pt>
                <c:pt idx="14">
                  <c:v>1.1873999999999999E-2</c:v>
                </c:pt>
                <c:pt idx="15">
                  <c:v>9.9810000000000003E-3</c:v>
                </c:pt>
                <c:pt idx="16">
                  <c:v>8.0075000000000007E-3</c:v>
                </c:pt>
                <c:pt idx="17">
                  <c:v>5.9455000000000003E-3</c:v>
                </c:pt>
                <c:pt idx="18">
                  <c:v>3.9569999999999996E-3</c:v>
                </c:pt>
                <c:pt idx="19">
                  <c:v>2.0485E-3</c:v>
                </c:pt>
                <c:pt idx="20">
                  <c:v>1.9650000000000001E-4</c:v>
                </c:pt>
                <c:pt idx="21">
                  <c:v>6.9999999999999994E-5</c:v>
                </c:pt>
                <c:pt idx="22">
                  <c:v>4.6999999999999997E-5</c:v>
                </c:pt>
              </c:numCache>
            </c:numRef>
          </c:yVal>
          <c:smooth val="0"/>
          <c:extLst>
            <c:ext xmlns:c16="http://schemas.microsoft.com/office/drawing/2014/chart" uri="{C3380CC4-5D6E-409C-BE32-E72D297353CC}">
              <c16:uniqueId val="{00000000-6F20-485F-8E1D-C60259F7ABA6}"/>
            </c:ext>
          </c:extLst>
        </c:ser>
        <c:dLbls>
          <c:showLegendKey val="0"/>
          <c:showVal val="0"/>
          <c:showCatName val="0"/>
          <c:showSerName val="0"/>
          <c:showPercent val="0"/>
          <c:showBubbleSize val="0"/>
        </c:dLbls>
        <c:axId val="1378550479"/>
        <c:axId val="1378550959"/>
      </c:scatterChart>
      <c:valAx>
        <c:axId val="1378550479"/>
        <c:scaling>
          <c:orientation val="minMax"/>
          <c:max val="0.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t>Selection coefficient, 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78550959"/>
        <c:crosses val="autoZero"/>
        <c:crossBetween val="midCat"/>
      </c:valAx>
      <c:valAx>
        <c:axId val="1378550959"/>
        <c:scaling>
          <c:orientation val="minMax"/>
          <c:max val="0.60000000000000009"/>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layout>
            <c:manualLayout>
              <c:xMode val="edge"/>
              <c:yMode val="edge"/>
              <c:x val="4.0066647206141677E-2"/>
              <c:y val="0.250829159278562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78550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4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18954469582087122"/>
          <c:y val="2.5428331875182269E-2"/>
          <c:w val="0.75778142321974939"/>
          <c:h val="0.77290135608048993"/>
        </c:manualLayout>
      </c:layout>
      <c:scatterChart>
        <c:scatterStyle val="lineMarker"/>
        <c:varyColors val="0"/>
        <c:ser>
          <c:idx val="0"/>
          <c:order val="0"/>
          <c:tx>
            <c:strRef>
              <c:f>Pop_10k!$G$36</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23E-5"/>
            <c:dispRSqr val="1"/>
            <c:dispEq val="1"/>
            <c:trendlineLbl>
              <c:layout>
                <c:manualLayout>
                  <c:x val="5.30207960221157E-2"/>
                  <c:y val="0.43251429862412877"/>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1.9707s + 5E-05</a:t>
                    </a:r>
                    <a:br>
                      <a:rPr lang="en-US" sz="1200" baseline="0"/>
                    </a:br>
                    <a:r>
                      <a:rPr lang="en-US" sz="1200" baseline="0"/>
                      <a:t>R² = 0.9999</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Pop_10k!$D$47:$D$59</c:f>
              <c:numCache>
                <c:formatCode>General</c:formatCode>
                <c:ptCount val="13"/>
                <c:pt idx="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c:v>1E-3</c:v>
                </c:pt>
                <c:pt idx="10">
                  <c:v>1E-4</c:v>
                </c:pt>
                <c:pt idx="11" formatCode="0.00E+00">
                  <c:v>1.0000000000000001E-5</c:v>
                </c:pt>
                <c:pt idx="12">
                  <c:v>0</c:v>
                </c:pt>
              </c:numCache>
            </c:numRef>
          </c:xVal>
          <c:yVal>
            <c:numRef>
              <c:f>Pop_10k!$G$47:$G$59</c:f>
              <c:numCache>
                <c:formatCode>0.00000</c:formatCode>
                <c:ptCount val="13"/>
                <c:pt idx="0">
                  <c:v>1.9654499999999998E-2</c:v>
                </c:pt>
                <c:pt idx="1">
                  <c:v>1.78905E-2</c:v>
                </c:pt>
                <c:pt idx="2">
                  <c:v>1.5810500000000002E-2</c:v>
                </c:pt>
                <c:pt idx="3">
                  <c:v>1.37775E-2</c:v>
                </c:pt>
                <c:pt idx="4">
                  <c:v>1.1873999999999999E-2</c:v>
                </c:pt>
                <c:pt idx="5">
                  <c:v>9.9810000000000003E-3</c:v>
                </c:pt>
                <c:pt idx="6">
                  <c:v>8.0075000000000007E-3</c:v>
                </c:pt>
                <c:pt idx="7">
                  <c:v>5.9455000000000003E-3</c:v>
                </c:pt>
                <c:pt idx="8">
                  <c:v>3.9569999999999996E-3</c:v>
                </c:pt>
                <c:pt idx="9">
                  <c:v>2.0485E-3</c:v>
                </c:pt>
                <c:pt idx="10">
                  <c:v>1.9650000000000001E-4</c:v>
                </c:pt>
                <c:pt idx="11">
                  <c:v>6.9999999999999994E-5</c:v>
                </c:pt>
                <c:pt idx="12">
                  <c:v>4.6999999999999997E-5</c:v>
                </c:pt>
              </c:numCache>
            </c:numRef>
          </c:yVal>
          <c:smooth val="0"/>
          <c:extLst>
            <c:ext xmlns:c16="http://schemas.microsoft.com/office/drawing/2014/chart" uri="{C3380CC4-5D6E-409C-BE32-E72D297353CC}">
              <c16:uniqueId val="{00000000-A4C2-47DA-9809-3366281C0ACD}"/>
            </c:ext>
          </c:extLst>
        </c:ser>
        <c:dLbls>
          <c:showLegendKey val="0"/>
          <c:showVal val="0"/>
          <c:showCatName val="0"/>
          <c:showSerName val="0"/>
          <c:showPercent val="0"/>
          <c:showBubbleSize val="0"/>
        </c:dLbls>
        <c:axId val="1301527663"/>
        <c:axId val="1301541103"/>
      </c:scatterChart>
      <c:valAx>
        <c:axId val="1301527663"/>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out"/>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41103"/>
        <c:crosses val="autoZero"/>
        <c:crossBetween val="midCat"/>
        <c:minorUnit val="5.0000000000000012E-4"/>
      </c:valAx>
      <c:valAx>
        <c:axId val="1301541103"/>
        <c:scaling>
          <c:orientation val="minMax"/>
          <c:max val="2.0000000000000004E-2"/>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27663"/>
        <c:crosses val="autoZero"/>
        <c:crossBetween val="midCat"/>
        <c:minorUnit val="2.0000000000000005E-3"/>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400" b="0" i="0" u="none" strike="noStrike" kern="1200" spc="0" baseline="0">
                <a:solidFill>
                  <a:sysClr val="windowText" lastClr="000000">
                    <a:lumMod val="65000"/>
                    <a:lumOff val="35000"/>
                  </a:sysClr>
                </a:solidFill>
              </a:rPr>
              <a:t>reps=20, s=0 - 0.1</a:t>
            </a:r>
          </a:p>
        </c:rich>
      </c:tx>
      <c:layout>
        <c:manualLayout>
          <c:xMode val="edge"/>
          <c:yMode val="edge"/>
          <c:x val="0.24527269259891601"/>
          <c:y val="4.279585462695879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18070757177810978"/>
          <c:y val="2.3623740580814494E-2"/>
          <c:w val="0.77502704064694472"/>
          <c:h val="0.78280314960629926"/>
        </c:manualLayout>
      </c:layout>
      <c:scatterChart>
        <c:scatterStyle val="lineMarker"/>
        <c:varyColors val="0"/>
        <c:ser>
          <c:idx val="0"/>
          <c:order val="0"/>
          <c:tx>
            <c:strRef>
              <c:f>Pop_10k!$G$36</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23E-5"/>
            <c:dispRSqr val="1"/>
            <c:dispEq val="1"/>
            <c:trendlineLbl>
              <c:layout>
                <c:manualLayout>
                  <c:x val="1.6992860375024902E-2"/>
                  <c:y val="0.44940220593615571"/>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baseline="0"/>
                      <a:t>Prob = 1.7891s + 5E-05</a:t>
                    </a:r>
                    <a:br>
                      <a:rPr lang="en-US" baseline="0"/>
                    </a:br>
                    <a:r>
                      <a:rPr lang="en-US" baseline="0"/>
                      <a:t>R² = 0.9993</a:t>
                    </a:r>
                    <a:endParaRPr lang="en-US"/>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Pop_10k!$D$45:$D$59</c:f>
              <c:numCache>
                <c:formatCode>General</c:formatCode>
                <c:ptCount val="15"/>
                <c:pt idx="0">
                  <c:v>0.1</c:v>
                </c:pt>
                <c:pt idx="1">
                  <c:v>0.05</c:v>
                </c:pt>
                <c:pt idx="2">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c:v>1E-3</c:v>
                </c:pt>
                <c:pt idx="12">
                  <c:v>1E-4</c:v>
                </c:pt>
                <c:pt idx="13" formatCode="0.00E+00">
                  <c:v>1.0000000000000001E-5</c:v>
                </c:pt>
                <c:pt idx="14">
                  <c:v>0</c:v>
                </c:pt>
              </c:numCache>
            </c:numRef>
          </c:xVal>
          <c:yVal>
            <c:numRef>
              <c:f>Pop_10k!$G$45:$G$59</c:f>
              <c:numCache>
                <c:formatCode>0.00000</c:formatCode>
                <c:ptCount val="15"/>
                <c:pt idx="0">
                  <c:v>0.1763325</c:v>
                </c:pt>
                <c:pt idx="1">
                  <c:v>9.3353500000000006E-2</c:v>
                </c:pt>
                <c:pt idx="2">
                  <c:v>1.9654499999999998E-2</c:v>
                </c:pt>
                <c:pt idx="3">
                  <c:v>1.78905E-2</c:v>
                </c:pt>
                <c:pt idx="4">
                  <c:v>1.5810500000000002E-2</c:v>
                </c:pt>
                <c:pt idx="5">
                  <c:v>1.37775E-2</c:v>
                </c:pt>
                <c:pt idx="6">
                  <c:v>1.1873999999999999E-2</c:v>
                </c:pt>
                <c:pt idx="7">
                  <c:v>9.9810000000000003E-3</c:v>
                </c:pt>
                <c:pt idx="8">
                  <c:v>8.0075000000000007E-3</c:v>
                </c:pt>
                <c:pt idx="9">
                  <c:v>5.9455000000000003E-3</c:v>
                </c:pt>
                <c:pt idx="10">
                  <c:v>3.9569999999999996E-3</c:v>
                </c:pt>
                <c:pt idx="11">
                  <c:v>2.0485E-3</c:v>
                </c:pt>
                <c:pt idx="12">
                  <c:v>1.9650000000000001E-4</c:v>
                </c:pt>
                <c:pt idx="13">
                  <c:v>6.9999999999999994E-5</c:v>
                </c:pt>
                <c:pt idx="14">
                  <c:v>4.6999999999999997E-5</c:v>
                </c:pt>
              </c:numCache>
            </c:numRef>
          </c:yVal>
          <c:smooth val="0"/>
          <c:extLst>
            <c:ext xmlns:c16="http://schemas.microsoft.com/office/drawing/2014/chart" uri="{C3380CC4-5D6E-409C-BE32-E72D297353CC}">
              <c16:uniqueId val="{00000000-80E7-48BA-8E29-A7D090371380}"/>
            </c:ext>
          </c:extLst>
        </c:ser>
        <c:dLbls>
          <c:showLegendKey val="0"/>
          <c:showVal val="0"/>
          <c:showCatName val="0"/>
          <c:showSerName val="0"/>
          <c:showPercent val="0"/>
          <c:showBubbleSize val="0"/>
        </c:dLbls>
        <c:axId val="1301534383"/>
        <c:axId val="1301532463"/>
      </c:scatterChart>
      <c:valAx>
        <c:axId val="1301534383"/>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32463"/>
        <c:crosses val="autoZero"/>
        <c:crossBetween val="midCat"/>
        <c:minorUnit val="5.000000000000001E-3"/>
      </c:valAx>
      <c:valAx>
        <c:axId val="1301532463"/>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1534383"/>
        <c:crosses val="autoZero"/>
        <c:crossBetween val="midCat"/>
        <c:majorUnit val="5.000000000000001E-2"/>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400" b="0" i="0" u="none" strike="noStrike" kern="1200" spc="0" baseline="0">
                <a:solidFill>
                  <a:sysClr val="windowText" lastClr="000000">
                    <a:lumMod val="65000"/>
                    <a:lumOff val="35000"/>
                  </a:sysClr>
                </a:solidFill>
              </a:rPr>
              <a:t>reps=20, s=0 - 0.5</a:t>
            </a:r>
          </a:p>
        </c:rich>
      </c:tx>
      <c:layout>
        <c:manualLayout>
          <c:xMode val="edge"/>
          <c:yMode val="edge"/>
          <c:x val="0.25891043397968605"/>
          <c:y val="0.12297734627831715"/>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19612944503820678"/>
          <c:y val="2.5428331875182269E-2"/>
          <c:w val="0.75753004558640691"/>
          <c:h val="0.75421043243380981"/>
        </c:manualLayout>
      </c:layout>
      <c:scatterChart>
        <c:scatterStyle val="lineMarker"/>
        <c:varyColors val="0"/>
        <c:ser>
          <c:idx val="0"/>
          <c:order val="0"/>
          <c:tx>
            <c:strRef>
              <c:f>Pop_10k!$I$36</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Pop_10k!$D$37:$D$60</c:f>
              <c:numCache>
                <c:formatCode>General</c:formatCode>
                <c:ptCount val="24"/>
                <c:pt idx="0">
                  <c:v>0.5</c:v>
                </c:pt>
                <c:pt idx="1">
                  <c:v>0.45</c:v>
                </c:pt>
                <c:pt idx="2">
                  <c:v>0.4</c:v>
                </c:pt>
                <c:pt idx="3">
                  <c:v>0.35</c:v>
                </c:pt>
                <c:pt idx="4">
                  <c:v>0.3</c:v>
                </c:pt>
                <c:pt idx="5">
                  <c:v>0.25</c:v>
                </c:pt>
                <c:pt idx="6">
                  <c:v>0.2</c:v>
                </c:pt>
                <c:pt idx="7">
                  <c:v>0.15</c:v>
                </c:pt>
                <c:pt idx="8">
                  <c:v>0.1</c:v>
                </c:pt>
                <c:pt idx="9">
                  <c:v>0.05</c:v>
                </c:pt>
                <c:pt idx="10">
                  <c:v>0.01</c:v>
                </c:pt>
                <c:pt idx="11">
                  <c:v>8.9999999999999993E-3</c:v>
                </c:pt>
                <c:pt idx="12">
                  <c:v>8.0000000000000002E-3</c:v>
                </c:pt>
                <c:pt idx="13">
                  <c:v>7.0000000000000001E-3</c:v>
                </c:pt>
                <c:pt idx="14">
                  <c:v>6.0000000000000001E-3</c:v>
                </c:pt>
                <c:pt idx="15">
                  <c:v>5.0000000000000001E-3</c:v>
                </c:pt>
                <c:pt idx="16">
                  <c:v>4.0000000000000001E-3</c:v>
                </c:pt>
                <c:pt idx="17">
                  <c:v>3.0000000000000001E-3</c:v>
                </c:pt>
                <c:pt idx="18">
                  <c:v>2E-3</c:v>
                </c:pt>
                <c:pt idx="19">
                  <c:v>1E-3</c:v>
                </c:pt>
                <c:pt idx="20">
                  <c:v>1E-4</c:v>
                </c:pt>
                <c:pt idx="21" formatCode="0.00E+00">
                  <c:v>1.0000000000000001E-5</c:v>
                </c:pt>
                <c:pt idx="22">
                  <c:v>0</c:v>
                </c:pt>
                <c:pt idx="23">
                  <c:v>0</c:v>
                </c:pt>
              </c:numCache>
            </c:numRef>
          </c:xVal>
          <c:yVal>
            <c:numRef>
              <c:f>Pop_10k!$I$37:$I$60</c:f>
              <c:numCache>
                <c:formatCode>#,##0</c:formatCode>
                <c:ptCount val="24"/>
                <c:pt idx="0">
                  <c:v>48.77</c:v>
                </c:pt>
                <c:pt idx="1">
                  <c:v>52.88</c:v>
                </c:pt>
                <c:pt idx="2">
                  <c:v>57.98</c:v>
                </c:pt>
                <c:pt idx="3">
                  <c:v>64.44</c:v>
                </c:pt>
                <c:pt idx="4">
                  <c:v>72.930000000000007</c:v>
                </c:pt>
                <c:pt idx="5">
                  <c:v>84.58</c:v>
                </c:pt>
                <c:pt idx="6">
                  <c:v>101.72</c:v>
                </c:pt>
                <c:pt idx="7">
                  <c:v>129.46</c:v>
                </c:pt>
                <c:pt idx="8">
                  <c:v>182.7</c:v>
                </c:pt>
                <c:pt idx="9">
                  <c:v>331.57</c:v>
                </c:pt>
                <c:pt idx="10">
                  <c:v>1316.08</c:v>
                </c:pt>
                <c:pt idx="11">
                  <c:v>1438.19</c:v>
                </c:pt>
                <c:pt idx="12">
                  <c:v>1586.88</c:v>
                </c:pt>
                <c:pt idx="13">
                  <c:v>1775.55</c:v>
                </c:pt>
                <c:pt idx="14">
                  <c:v>2020.59</c:v>
                </c:pt>
                <c:pt idx="15">
                  <c:v>2348.8000000000002</c:v>
                </c:pt>
                <c:pt idx="16">
                  <c:v>2822.54</c:v>
                </c:pt>
                <c:pt idx="17">
                  <c:v>3569.29</c:v>
                </c:pt>
                <c:pt idx="18">
                  <c:v>4956.6000000000004</c:v>
                </c:pt>
                <c:pt idx="19">
                  <c:v>8419.98</c:v>
                </c:pt>
                <c:pt idx="20">
                  <c:v>33567.760000000002</c:v>
                </c:pt>
                <c:pt idx="21">
                  <c:v>39516.46</c:v>
                </c:pt>
                <c:pt idx="22">
                  <c:v>35533.89</c:v>
                </c:pt>
                <c:pt idx="23">
                  <c:v>40000</c:v>
                </c:pt>
              </c:numCache>
            </c:numRef>
          </c:yVal>
          <c:smooth val="0"/>
          <c:extLst>
            <c:ext xmlns:c16="http://schemas.microsoft.com/office/drawing/2014/chart" uri="{C3380CC4-5D6E-409C-BE32-E72D297353CC}">
              <c16:uniqueId val="{00000000-1ECE-49E3-B02B-7CEEE7DDB316}"/>
            </c:ext>
          </c:extLst>
        </c:ser>
        <c:dLbls>
          <c:showLegendKey val="0"/>
          <c:showVal val="0"/>
          <c:showCatName val="0"/>
          <c:showSerName val="0"/>
          <c:showPercent val="0"/>
          <c:showBubbleSize val="0"/>
        </c:dLbls>
        <c:axId val="1378560559"/>
        <c:axId val="1437693135"/>
      </c:scatterChart>
      <c:valAx>
        <c:axId val="1378560559"/>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93135"/>
        <c:crosses val="autoZero"/>
        <c:crossBetween val="midCat"/>
        <c:majorUnit val="0.1"/>
      </c:valAx>
      <c:valAx>
        <c:axId val="1437693135"/>
        <c:scaling>
          <c:orientation val="minMax"/>
          <c:max val="4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78560559"/>
        <c:crosses val="autoZero"/>
        <c:crossBetween val="midCat"/>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7339499229263"/>
          <c:y val="2.5428331875182269E-2"/>
          <c:w val="0.74404504992431497"/>
          <c:h val="0.72996916647554977"/>
        </c:manualLayout>
      </c:layout>
      <c:scatterChart>
        <c:scatterStyle val="lineMarker"/>
        <c:varyColors val="0"/>
        <c:ser>
          <c:idx val="0"/>
          <c:order val="0"/>
          <c:tx>
            <c:strRef>
              <c:f>Pop_10k!$I$36</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Pop_10k!$D$47:$D$60</c:f>
              <c:numCache>
                <c:formatCode>General</c:formatCode>
                <c:ptCount val="14"/>
                <c:pt idx="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c:v>1E-3</c:v>
                </c:pt>
                <c:pt idx="10">
                  <c:v>1E-4</c:v>
                </c:pt>
                <c:pt idx="11" formatCode="0.00E+00">
                  <c:v>1.0000000000000001E-5</c:v>
                </c:pt>
                <c:pt idx="12">
                  <c:v>0</c:v>
                </c:pt>
                <c:pt idx="13">
                  <c:v>0</c:v>
                </c:pt>
              </c:numCache>
            </c:numRef>
          </c:xVal>
          <c:yVal>
            <c:numRef>
              <c:f>Pop_10k!$I$47:$I$60</c:f>
              <c:numCache>
                <c:formatCode>#,##0</c:formatCode>
                <c:ptCount val="14"/>
                <c:pt idx="0">
                  <c:v>1316.08</c:v>
                </c:pt>
                <c:pt idx="1">
                  <c:v>1438.19</c:v>
                </c:pt>
                <c:pt idx="2">
                  <c:v>1586.88</c:v>
                </c:pt>
                <c:pt idx="3">
                  <c:v>1775.55</c:v>
                </c:pt>
                <c:pt idx="4">
                  <c:v>2020.59</c:v>
                </c:pt>
                <c:pt idx="5">
                  <c:v>2348.8000000000002</c:v>
                </c:pt>
                <c:pt idx="6">
                  <c:v>2822.54</c:v>
                </c:pt>
                <c:pt idx="7">
                  <c:v>3569.29</c:v>
                </c:pt>
                <c:pt idx="8">
                  <c:v>4956.6000000000004</c:v>
                </c:pt>
                <c:pt idx="9">
                  <c:v>8419.98</c:v>
                </c:pt>
                <c:pt idx="10">
                  <c:v>33567.760000000002</c:v>
                </c:pt>
                <c:pt idx="11">
                  <c:v>39516.46</c:v>
                </c:pt>
                <c:pt idx="12">
                  <c:v>35533.89</c:v>
                </c:pt>
                <c:pt idx="13">
                  <c:v>40000</c:v>
                </c:pt>
              </c:numCache>
            </c:numRef>
          </c:yVal>
          <c:smooth val="0"/>
          <c:extLst>
            <c:ext xmlns:c16="http://schemas.microsoft.com/office/drawing/2014/chart" uri="{C3380CC4-5D6E-409C-BE32-E72D297353CC}">
              <c16:uniqueId val="{00000000-1DC7-4FB3-9B3B-C9214888F1DA}"/>
            </c:ext>
          </c:extLst>
        </c:ser>
        <c:dLbls>
          <c:showLegendKey val="0"/>
          <c:showVal val="0"/>
          <c:showCatName val="0"/>
          <c:showSerName val="0"/>
          <c:showPercent val="0"/>
          <c:showBubbleSize val="0"/>
        </c:dLbls>
        <c:axId val="1437689775"/>
        <c:axId val="1437678735"/>
      </c:scatterChart>
      <c:valAx>
        <c:axId val="1437689775"/>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1437678735"/>
        <c:crosses val="autoZero"/>
        <c:crossBetween val="midCat"/>
      </c:valAx>
      <c:valAx>
        <c:axId val="1437678735"/>
        <c:scaling>
          <c:orientation val="minMax"/>
          <c:max val="4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89775"/>
        <c:crosses val="autoZero"/>
        <c:crossBetween val="midCat"/>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0" i="0" u="none" strike="noStrike" kern="1200" spc="0" baseline="0">
                <a:solidFill>
                  <a:sysClr val="windowText" lastClr="000000">
                    <a:lumMod val="65000"/>
                    <a:lumOff val="35000"/>
                  </a:sysClr>
                </a:solidFill>
              </a:rPr>
              <a:t>Generations to fix for </a:t>
            </a:r>
            <a:r>
              <a:rPr lang="en-US" sz="1100" b="0" i="1" u="none" strike="noStrike" kern="1200" spc="0" baseline="0">
                <a:solidFill>
                  <a:sysClr val="windowText" lastClr="000000">
                    <a:lumMod val="65000"/>
                    <a:lumOff val="35000"/>
                  </a:sysClr>
                </a:solidFill>
              </a:rPr>
              <a:t>N</a:t>
            </a:r>
            <a:r>
              <a:rPr lang="en-US" sz="1100" b="0" i="0" u="none" strike="noStrike" kern="1200" spc="0" baseline="0">
                <a:solidFill>
                  <a:sysClr val="windowText" lastClr="000000">
                    <a:lumMod val="65000"/>
                    <a:lumOff val="35000"/>
                  </a:sysClr>
                </a:solidFill>
              </a:rPr>
              <a:t> = 0 ‒ 10</a:t>
            </a:r>
            <a:r>
              <a:rPr lang="en-US" sz="1100" b="0" i="0" u="none" strike="noStrike" kern="1200" spc="0" baseline="30000">
                <a:solidFill>
                  <a:sysClr val="windowText" lastClr="000000">
                    <a:lumMod val="65000"/>
                    <a:lumOff val="35000"/>
                  </a:sysClr>
                </a:solidFill>
              </a:rPr>
              <a:t>6</a:t>
            </a:r>
          </a:p>
          <a:p>
            <a:pPr marL="0" marR="0" lvl="0" indent="0" algn="l"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100" b="0" i="0" u="none" strike="noStrike" kern="1200" spc="0" baseline="0">
                <a:solidFill>
                  <a:sysClr val="windowText" lastClr="000000">
                    <a:lumMod val="65000"/>
                    <a:lumOff val="35000"/>
                  </a:sysClr>
                </a:solidFill>
              </a:rPr>
              <a:t> and </a:t>
            </a:r>
            <a:r>
              <a:rPr lang="en-US" sz="1100" b="0" i="1" u="none" strike="noStrike" kern="1200" spc="0" baseline="0">
                <a:solidFill>
                  <a:sysClr val="windowText" lastClr="000000">
                    <a:lumMod val="65000"/>
                    <a:lumOff val="35000"/>
                  </a:sysClr>
                </a:solidFill>
              </a:rPr>
              <a:t>s</a:t>
            </a:r>
            <a:r>
              <a:rPr lang="en-US" sz="1100" b="0" i="0" u="none" strike="noStrike" kern="1200" spc="0" baseline="0">
                <a:solidFill>
                  <a:sysClr val="windowText" lastClr="000000">
                    <a:lumMod val="65000"/>
                    <a:lumOff val="35000"/>
                  </a:sysClr>
                </a:solidFill>
              </a:rPr>
              <a:t> = 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 and </a:t>
            </a:r>
            <a:r>
              <a:rPr lang="en-US" sz="1100" b="0" i="1" u="none" strike="noStrike" kern="1200" spc="0" baseline="0">
                <a:solidFill>
                  <a:sysClr val="windowText" lastClr="000000">
                    <a:lumMod val="65000"/>
                    <a:lumOff val="35000"/>
                  </a:sysClr>
                </a:solidFill>
              </a:rPr>
              <a:t>s</a:t>
            </a:r>
            <a:r>
              <a:rPr lang="en-US" sz="1100" b="0" i="0" u="none" strike="noStrike" kern="1200" spc="0" baseline="0">
                <a:solidFill>
                  <a:sysClr val="windowText" lastClr="000000">
                    <a:lumMod val="65000"/>
                    <a:lumOff val="35000"/>
                  </a:sysClr>
                </a:solidFill>
              </a:rPr>
              <a:t> = 0</a:t>
            </a:r>
          </a:p>
        </c:rich>
      </c:tx>
      <c:layout>
        <c:manualLayout>
          <c:xMode val="edge"/>
          <c:yMode val="edge"/>
          <c:x val="0.31938888888888889"/>
          <c:y val="2.2926111111111112E-2"/>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21502694444444445"/>
          <c:y val="6.4166666666666664E-2"/>
          <c:w val="0.68528694444444449"/>
          <c:h val="0.65513222222222223"/>
        </c:manualLayout>
      </c:layout>
      <c:scatterChart>
        <c:scatterStyle val="lineMarker"/>
        <c:varyColors val="0"/>
        <c:ser>
          <c:idx val="0"/>
          <c:order val="0"/>
          <c:tx>
            <c:strRef>
              <c:f>'Summary results (4)'!$L$3</c:f>
              <c:strCache>
                <c:ptCount val="1"/>
                <c:pt idx="0">
                  <c:v>s=10‒6</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ln>
              <a:effectLst/>
            </c:spPr>
            <c:trendlineType val="linear"/>
            <c:intercept val="0"/>
            <c:dispRSqr val="1"/>
            <c:dispEq val="1"/>
            <c:trendlineLbl>
              <c:layout>
                <c:manualLayout>
                  <c:x val="6.5256388888888892E-2"/>
                  <c:y val="0.30977777777777776"/>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Generations = 3.3343N</a:t>
                    </a:r>
                    <a:br>
                      <a:rPr lang="en-US" sz="1000" baseline="0"/>
                    </a:br>
                    <a:r>
                      <a:rPr lang="en-US" sz="1000" baseline="0"/>
                      <a:t>R² = 0.9996</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results (4)'!$E$4:$E$9</c:f>
              <c:numCache>
                <c:formatCode>General</c:formatCode>
                <c:ptCount val="6"/>
                <c:pt idx="0">
                  <c:v>10</c:v>
                </c:pt>
                <c:pt idx="1">
                  <c:v>100</c:v>
                </c:pt>
                <c:pt idx="2">
                  <c:v>1000</c:v>
                </c:pt>
                <c:pt idx="3" formatCode="#,##0">
                  <c:v>10000</c:v>
                </c:pt>
                <c:pt idx="4" formatCode="#,##0">
                  <c:v>100000</c:v>
                </c:pt>
                <c:pt idx="5" formatCode="#,##0">
                  <c:v>1000000</c:v>
                </c:pt>
              </c:numCache>
            </c:numRef>
          </c:xVal>
          <c:yVal>
            <c:numRef>
              <c:f>'Summary results (4)'!$L$4:$L$9</c:f>
              <c:numCache>
                <c:formatCode>#,##0</c:formatCode>
                <c:ptCount val="6"/>
                <c:pt idx="0">
                  <c:v>37.229999999999997</c:v>
                </c:pt>
                <c:pt idx="1">
                  <c:v>385.9</c:v>
                </c:pt>
                <c:pt idx="2">
                  <c:v>3963</c:v>
                </c:pt>
                <c:pt idx="3">
                  <c:v>40056.019999999997</c:v>
                </c:pt>
                <c:pt idx="4">
                  <c:v>395547.62</c:v>
                </c:pt>
                <c:pt idx="5">
                  <c:v>3328070.07</c:v>
                </c:pt>
              </c:numCache>
            </c:numRef>
          </c:yVal>
          <c:smooth val="0"/>
          <c:extLst>
            <c:ext xmlns:c16="http://schemas.microsoft.com/office/drawing/2014/chart" uri="{C3380CC4-5D6E-409C-BE32-E72D297353CC}">
              <c16:uniqueId val="{00000000-6C82-4AF6-8EB3-AB133F49C4A4}"/>
            </c:ext>
          </c:extLst>
        </c:ser>
        <c:ser>
          <c:idx val="1"/>
          <c:order val="1"/>
          <c:tx>
            <c:strRef>
              <c:f>'Summary results (4)'!$N$3</c:f>
              <c:strCache>
                <c:ptCount val="1"/>
                <c:pt idx="0">
                  <c:v>s=0</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rgbClr val="FF0000"/>
                </a:solidFill>
                <a:prstDash val="solid"/>
              </a:ln>
              <a:effectLst/>
            </c:spPr>
            <c:trendlineType val="linear"/>
            <c:intercept val="0"/>
            <c:dispRSqr val="1"/>
            <c:dispEq val="1"/>
            <c:trendlineLbl>
              <c:layout>
                <c:manualLayout>
                  <c:x val="-0.2839936111111111"/>
                  <c:y val="0.16866666666666663"/>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Generations = 4.0302N</a:t>
                    </a:r>
                    <a:br>
                      <a:rPr lang="en-US" sz="1000" baseline="0"/>
                    </a:br>
                    <a:r>
                      <a:rPr lang="en-US" sz="1000" baseline="0"/>
                      <a:t>R² = 1</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'Summary results (4)'!$E$4:$E$9</c:f>
              <c:numCache>
                <c:formatCode>General</c:formatCode>
                <c:ptCount val="6"/>
                <c:pt idx="0">
                  <c:v>10</c:v>
                </c:pt>
                <c:pt idx="1">
                  <c:v>100</c:v>
                </c:pt>
                <c:pt idx="2">
                  <c:v>1000</c:v>
                </c:pt>
                <c:pt idx="3" formatCode="#,##0">
                  <c:v>10000</c:v>
                </c:pt>
                <c:pt idx="4" formatCode="#,##0">
                  <c:v>100000</c:v>
                </c:pt>
                <c:pt idx="5" formatCode="#,##0">
                  <c:v>1000000</c:v>
                </c:pt>
              </c:numCache>
            </c:numRef>
          </c:xVal>
          <c:yVal>
            <c:numRef>
              <c:f>'Summary results (4)'!$N$4:$N$9</c:f>
              <c:numCache>
                <c:formatCode>#,##0</c:formatCode>
                <c:ptCount val="6"/>
                <c:pt idx="0">
                  <c:v>36.74</c:v>
                </c:pt>
                <c:pt idx="1">
                  <c:v>396.37</c:v>
                </c:pt>
                <c:pt idx="2">
                  <c:v>4016.64</c:v>
                </c:pt>
                <c:pt idx="3">
                  <c:v>39104.379999999997</c:v>
                </c:pt>
                <c:pt idx="4">
                  <c:v>396826.5</c:v>
                </c:pt>
                <c:pt idx="5">
                  <c:v>4030861.68</c:v>
                </c:pt>
              </c:numCache>
            </c:numRef>
          </c:yVal>
          <c:smooth val="0"/>
          <c:extLst>
            <c:ext xmlns:c16="http://schemas.microsoft.com/office/drawing/2014/chart" uri="{C3380CC4-5D6E-409C-BE32-E72D297353CC}">
              <c16:uniqueId val="{00000001-6C82-4AF6-8EB3-AB133F49C4A4}"/>
            </c:ext>
          </c:extLst>
        </c:ser>
        <c:dLbls>
          <c:showLegendKey val="0"/>
          <c:showVal val="0"/>
          <c:showCatName val="0"/>
          <c:showSerName val="0"/>
          <c:showPercent val="0"/>
          <c:showBubbleSize val="0"/>
        </c:dLbls>
        <c:axId val="129165072"/>
        <c:axId val="318546848"/>
      </c:scatterChart>
      <c:valAx>
        <c:axId val="129165072"/>
        <c:scaling>
          <c:orientation val="minMax"/>
          <c:max val="100000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Population size, 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318546848"/>
        <c:crosses val="autoZero"/>
        <c:crossBetween val="midCat"/>
        <c:minorUnit val="100000"/>
      </c:valAx>
      <c:valAx>
        <c:axId val="318546848"/>
        <c:scaling>
          <c:orientation val="minMax"/>
          <c:max val="4200000"/>
          <c:min val="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0" i="0" u="none" strike="noStrike" kern="1200" baseline="0">
                    <a:solidFill>
                      <a:sysClr val="windowText" lastClr="000000">
                        <a:lumMod val="65000"/>
                        <a:lumOff val="35000"/>
                      </a:sysClr>
                    </a:solidFill>
                  </a:rPr>
                  <a:t>Generations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9165072"/>
        <c:crosses val="autoZero"/>
        <c:crossBetween val="midCat"/>
        <c:majorUnit val="1000000"/>
        <c:minorUnit val="500000"/>
      </c:valAx>
      <c:spPr>
        <a:noFill/>
        <a:ln>
          <a:noFill/>
        </a:ln>
        <a:effectLst/>
      </c:spPr>
    </c:plotArea>
    <c:legend>
      <c:legendPos val="r"/>
      <c:legendEntry>
        <c:idx val="2"/>
        <c:delete val="1"/>
      </c:legendEntry>
      <c:legendEntry>
        <c:idx val="3"/>
        <c:delete val="1"/>
      </c:legendEntry>
      <c:legendEntry>
        <c:idx val="4"/>
        <c:delete val="1"/>
      </c:legendEntry>
      <c:layout>
        <c:manualLayout>
          <c:xMode val="edge"/>
          <c:yMode val="edge"/>
          <c:x val="0.45153749999999998"/>
          <c:y val="0.53662444444444446"/>
          <c:w val="0.19932500000000003"/>
          <c:h val="0.1786636045494313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2"/>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layout>
        <c:manualLayout>
          <c:xMode val="edge"/>
          <c:yMode val="edge"/>
          <c:x val="0.2550212619738067"/>
          <c:y val="5.1063829787234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917828086388216"/>
          <c:y val="8.7900820908024799E-2"/>
          <c:w val="0.75814807524059491"/>
          <c:h val="0.68265371083933657"/>
        </c:manualLayout>
      </c:layout>
      <c:scatterChart>
        <c:scatterStyle val="lineMarker"/>
        <c:varyColors val="0"/>
        <c:ser>
          <c:idx val="0"/>
          <c:order val="0"/>
          <c:tx>
            <c:strRef>
              <c:f>Pop_10k!$G$63</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23E-5"/>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23E-5"/>
            <c:dispRSqr val="1"/>
            <c:dispEq val="1"/>
            <c:trendlineLbl>
              <c:layout>
                <c:manualLayout>
                  <c:x val="2.2197222640191604E-2"/>
                  <c:y val="0.38869492377282627"/>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1.9761x + 5E-05</a:t>
                    </a:r>
                    <a:br>
                      <a:rPr lang="en-US" sz="1200" baseline="0"/>
                    </a:br>
                    <a:r>
                      <a:rPr lang="en-US" sz="1200" baseline="0"/>
                      <a:t>R² = 0.9999</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Pop_10k!$D$74:$D$86</c:f>
              <c:numCache>
                <c:formatCode>General</c:formatCode>
                <c:ptCount val="13"/>
                <c:pt idx="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c:v>1E-3</c:v>
                </c:pt>
                <c:pt idx="10">
                  <c:v>1E-4</c:v>
                </c:pt>
                <c:pt idx="11" formatCode="0.00E+00">
                  <c:v>1.0000000000000001E-5</c:v>
                </c:pt>
                <c:pt idx="12">
                  <c:v>0</c:v>
                </c:pt>
              </c:numCache>
            </c:numRef>
          </c:xVal>
          <c:yVal>
            <c:numRef>
              <c:f>Pop_10k!$G$74:$G$86</c:f>
              <c:numCache>
                <c:formatCode>0.00000</c:formatCode>
                <c:ptCount val="13"/>
                <c:pt idx="0">
                  <c:v>2.001E-2</c:v>
                </c:pt>
                <c:pt idx="1">
                  <c:v>1.7749999999999998E-2</c:v>
                </c:pt>
                <c:pt idx="2">
                  <c:v>1.5800000000000002E-2</c:v>
                </c:pt>
                <c:pt idx="3">
                  <c:v>1.3899999999999999E-2</c:v>
                </c:pt>
                <c:pt idx="4">
                  <c:v>1.189E-2</c:v>
                </c:pt>
                <c:pt idx="5">
                  <c:v>9.8650000000000005E-3</c:v>
                </c:pt>
                <c:pt idx="6">
                  <c:v>8.0249999999999991E-3</c:v>
                </c:pt>
                <c:pt idx="7">
                  <c:v>5.8450000000000004E-3</c:v>
                </c:pt>
                <c:pt idx="8">
                  <c:v>3.9249999999999997E-3</c:v>
                </c:pt>
                <c:pt idx="9">
                  <c:v>1.8699999999999999E-3</c:v>
                </c:pt>
                <c:pt idx="10">
                  <c:v>1.65E-4</c:v>
                </c:pt>
                <c:pt idx="11">
                  <c:v>5.0000000000000002E-5</c:v>
                </c:pt>
                <c:pt idx="12">
                  <c:v>6.9999999999999994E-5</c:v>
                </c:pt>
              </c:numCache>
            </c:numRef>
          </c:yVal>
          <c:smooth val="0"/>
          <c:extLst>
            <c:ext xmlns:c16="http://schemas.microsoft.com/office/drawing/2014/chart" uri="{C3380CC4-5D6E-409C-BE32-E72D297353CC}">
              <c16:uniqueId val="{00000000-1F4C-42A1-9BE2-1F14AF16713A}"/>
            </c:ext>
          </c:extLst>
        </c:ser>
        <c:dLbls>
          <c:showLegendKey val="0"/>
          <c:showVal val="0"/>
          <c:showCatName val="0"/>
          <c:showSerName val="0"/>
          <c:showPercent val="0"/>
          <c:showBubbleSize val="0"/>
        </c:dLbls>
        <c:axId val="110678815"/>
        <c:axId val="110679295"/>
      </c:scatterChart>
      <c:valAx>
        <c:axId val="110678815"/>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110679295"/>
        <c:crosses val="autoZero"/>
        <c:crossBetween val="midCat"/>
        <c:minorUnit val="5.0000000000000012E-4"/>
      </c:valAx>
      <c:valAx>
        <c:axId val="110679295"/>
        <c:scaling>
          <c:orientation val="minMax"/>
          <c:max val="2.0000000000000004E-2"/>
          <c:min val="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06788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s=0 - 0.5</a:t>
            </a:r>
          </a:p>
        </c:rich>
      </c:tx>
      <c:layout>
        <c:manualLayout>
          <c:xMode val="edge"/>
          <c:yMode val="edge"/>
          <c:x val="0.20643356407813093"/>
          <c:y val="4.0057224606580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572846505634252"/>
          <c:y val="2.8832124330915327E-2"/>
          <c:w val="0.76448140857392821"/>
          <c:h val="0.77722911245536352"/>
        </c:manualLayout>
      </c:layout>
      <c:scatterChart>
        <c:scatterStyle val="lineMarker"/>
        <c:varyColors val="0"/>
        <c:ser>
          <c:idx val="0"/>
          <c:order val="0"/>
          <c:tx>
            <c:strRef>
              <c:f>Pop_10k!$G$63</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5.0000000000000023E-5"/>
            <c:dispRSqr val="1"/>
            <c:dispEq val="1"/>
            <c:trendlineLbl>
              <c:layout>
                <c:manualLayout>
                  <c:x val="4.2373415417779919E-2"/>
                  <c:y val="0.48931319207416668"/>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baseline="0"/>
                      <a:t>Prod = -1.3631s</a:t>
                    </a:r>
                    <a:r>
                      <a:rPr lang="en-US" baseline="30000"/>
                      <a:t>2</a:t>
                    </a:r>
                    <a:r>
                      <a:rPr lang="en-US" baseline="0"/>
                      <a:t> + 1.8309s + 5E-05</a:t>
                    </a:r>
                    <a:br>
                      <a:rPr lang="en-US" baseline="0"/>
                    </a:br>
                    <a:r>
                      <a:rPr lang="en-US" baseline="0"/>
                      <a:t>R² = 0.9998</a:t>
                    </a:r>
                    <a:endParaRPr lang="en-US"/>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Pop_10k!$D$64:$D$86</c:f>
              <c:numCache>
                <c:formatCode>General</c:formatCode>
                <c:ptCount val="23"/>
                <c:pt idx="0">
                  <c:v>0.5</c:v>
                </c:pt>
                <c:pt idx="1">
                  <c:v>0.45</c:v>
                </c:pt>
                <c:pt idx="2">
                  <c:v>0.4</c:v>
                </c:pt>
                <c:pt idx="3">
                  <c:v>0.35</c:v>
                </c:pt>
                <c:pt idx="4">
                  <c:v>0.3</c:v>
                </c:pt>
                <c:pt idx="5">
                  <c:v>0.25</c:v>
                </c:pt>
                <c:pt idx="6">
                  <c:v>0.2</c:v>
                </c:pt>
                <c:pt idx="7">
                  <c:v>0.15</c:v>
                </c:pt>
                <c:pt idx="8">
                  <c:v>0.1</c:v>
                </c:pt>
                <c:pt idx="9">
                  <c:v>0.05</c:v>
                </c:pt>
                <c:pt idx="10">
                  <c:v>0.01</c:v>
                </c:pt>
                <c:pt idx="11">
                  <c:v>8.9999999999999993E-3</c:v>
                </c:pt>
                <c:pt idx="12">
                  <c:v>8.0000000000000002E-3</c:v>
                </c:pt>
                <c:pt idx="13">
                  <c:v>7.0000000000000001E-3</c:v>
                </c:pt>
                <c:pt idx="14">
                  <c:v>6.0000000000000001E-3</c:v>
                </c:pt>
                <c:pt idx="15">
                  <c:v>5.0000000000000001E-3</c:v>
                </c:pt>
                <c:pt idx="16">
                  <c:v>4.0000000000000001E-3</c:v>
                </c:pt>
                <c:pt idx="17">
                  <c:v>3.0000000000000001E-3</c:v>
                </c:pt>
                <c:pt idx="18">
                  <c:v>2E-3</c:v>
                </c:pt>
                <c:pt idx="19">
                  <c:v>1E-3</c:v>
                </c:pt>
                <c:pt idx="20">
                  <c:v>1E-4</c:v>
                </c:pt>
                <c:pt idx="21" formatCode="0.00E+00">
                  <c:v>1.0000000000000001E-5</c:v>
                </c:pt>
                <c:pt idx="22">
                  <c:v>0</c:v>
                </c:pt>
              </c:numCache>
            </c:numRef>
          </c:xVal>
          <c:yVal>
            <c:numRef>
              <c:f>Pop_10k!$G$64:$G$86</c:f>
              <c:numCache>
                <c:formatCode>0.00000</c:formatCode>
                <c:ptCount val="23"/>
                <c:pt idx="0">
                  <c:v>0.58126999999999995</c:v>
                </c:pt>
                <c:pt idx="1">
                  <c:v>0.54708000000000001</c:v>
                </c:pt>
                <c:pt idx="2">
                  <c:v>0.51046000000000002</c:v>
                </c:pt>
                <c:pt idx="3">
                  <c:v>0.46759000000000001</c:v>
                </c:pt>
                <c:pt idx="4">
                  <c:v>0.424535</c:v>
                </c:pt>
                <c:pt idx="5">
                  <c:v>0.37095</c:v>
                </c:pt>
                <c:pt idx="6">
                  <c:v>0.31219000000000002</c:v>
                </c:pt>
                <c:pt idx="7">
                  <c:v>0.24912500000000001</c:v>
                </c:pt>
                <c:pt idx="8">
                  <c:v>0.176845</c:v>
                </c:pt>
                <c:pt idx="9">
                  <c:v>9.3244999999999995E-2</c:v>
                </c:pt>
                <c:pt idx="10">
                  <c:v>2.001E-2</c:v>
                </c:pt>
                <c:pt idx="11">
                  <c:v>1.7749999999999998E-2</c:v>
                </c:pt>
                <c:pt idx="12">
                  <c:v>1.5800000000000002E-2</c:v>
                </c:pt>
                <c:pt idx="13">
                  <c:v>1.3899999999999999E-2</c:v>
                </c:pt>
                <c:pt idx="14">
                  <c:v>1.189E-2</c:v>
                </c:pt>
                <c:pt idx="15">
                  <c:v>9.8650000000000005E-3</c:v>
                </c:pt>
                <c:pt idx="16">
                  <c:v>8.0249999999999991E-3</c:v>
                </c:pt>
                <c:pt idx="17">
                  <c:v>5.8450000000000004E-3</c:v>
                </c:pt>
                <c:pt idx="18">
                  <c:v>3.9249999999999997E-3</c:v>
                </c:pt>
                <c:pt idx="19">
                  <c:v>1.8699999999999999E-3</c:v>
                </c:pt>
                <c:pt idx="20">
                  <c:v>1.65E-4</c:v>
                </c:pt>
                <c:pt idx="21">
                  <c:v>5.0000000000000002E-5</c:v>
                </c:pt>
                <c:pt idx="22">
                  <c:v>6.9999999999999994E-5</c:v>
                </c:pt>
              </c:numCache>
            </c:numRef>
          </c:yVal>
          <c:smooth val="0"/>
          <c:extLst>
            <c:ext xmlns:c16="http://schemas.microsoft.com/office/drawing/2014/chart" uri="{C3380CC4-5D6E-409C-BE32-E72D297353CC}">
              <c16:uniqueId val="{00000000-F0C2-4574-9100-D827CA0D824C}"/>
            </c:ext>
          </c:extLst>
        </c:ser>
        <c:dLbls>
          <c:showLegendKey val="0"/>
          <c:showVal val="0"/>
          <c:showCatName val="0"/>
          <c:showSerName val="0"/>
          <c:showPercent val="0"/>
          <c:showBubbleSize val="0"/>
        </c:dLbls>
        <c:axId val="110654335"/>
        <c:axId val="110671615"/>
      </c:scatterChart>
      <c:valAx>
        <c:axId val="110654335"/>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layout>
            <c:manualLayout>
              <c:xMode val="edge"/>
              <c:yMode val="edge"/>
              <c:x val="0.44717585301837265"/>
              <c:y val="0.9062616652085155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0671615"/>
        <c:crosses val="autoZero"/>
        <c:crossBetween val="midCat"/>
      </c:valAx>
      <c:valAx>
        <c:axId val="110671615"/>
        <c:scaling>
          <c:orientation val="minMax"/>
          <c:max val="0.60000000000000009"/>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0654335"/>
        <c:crosses val="autoZero"/>
        <c:crossBetween val="midCat"/>
        <c:min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917825896762905"/>
          <c:y val="2.5428331875182269E-2"/>
          <c:w val="0.76448140857392821"/>
          <c:h val="0.75954505686789164"/>
        </c:manualLayout>
      </c:layout>
      <c:scatterChart>
        <c:scatterStyle val="lineMarker"/>
        <c:varyColors val="0"/>
        <c:ser>
          <c:idx val="0"/>
          <c:order val="0"/>
          <c:tx>
            <c:strRef>
              <c:f>Pop_10k!$G$63</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5.0000000000000023E-5"/>
            <c:dispRSqr val="1"/>
            <c:dispEq val="1"/>
            <c:trendlineLbl>
              <c:layout>
                <c:manualLayout>
                  <c:x val="2.9079452276535144E-2"/>
                  <c:y val="0.41314803598268163"/>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1.7928x + 5E-05</a:t>
                    </a:r>
                    <a:br>
                      <a:rPr lang="en-US" sz="1200" baseline="0"/>
                    </a:br>
                    <a:r>
                      <a:rPr lang="en-US" sz="1200" baseline="0"/>
                      <a:t>R² = 0.9993</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Pop_10k!$D$72:$D$86</c:f>
              <c:numCache>
                <c:formatCode>General</c:formatCode>
                <c:ptCount val="15"/>
                <c:pt idx="0">
                  <c:v>0.1</c:v>
                </c:pt>
                <c:pt idx="1">
                  <c:v>0.05</c:v>
                </c:pt>
                <c:pt idx="2">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c:v>1E-3</c:v>
                </c:pt>
                <c:pt idx="12">
                  <c:v>1E-4</c:v>
                </c:pt>
                <c:pt idx="13" formatCode="0.00E+00">
                  <c:v>1.0000000000000001E-5</c:v>
                </c:pt>
                <c:pt idx="14">
                  <c:v>0</c:v>
                </c:pt>
              </c:numCache>
            </c:numRef>
          </c:xVal>
          <c:yVal>
            <c:numRef>
              <c:f>Pop_10k!$G$72:$G$86</c:f>
              <c:numCache>
                <c:formatCode>0.00000</c:formatCode>
                <c:ptCount val="15"/>
                <c:pt idx="0">
                  <c:v>0.176845</c:v>
                </c:pt>
                <c:pt idx="1">
                  <c:v>9.3244999999999995E-2</c:v>
                </c:pt>
                <c:pt idx="2">
                  <c:v>2.001E-2</c:v>
                </c:pt>
                <c:pt idx="3">
                  <c:v>1.7749999999999998E-2</c:v>
                </c:pt>
                <c:pt idx="4">
                  <c:v>1.5800000000000002E-2</c:v>
                </c:pt>
                <c:pt idx="5">
                  <c:v>1.3899999999999999E-2</c:v>
                </c:pt>
                <c:pt idx="6">
                  <c:v>1.189E-2</c:v>
                </c:pt>
                <c:pt idx="7">
                  <c:v>9.8650000000000005E-3</c:v>
                </c:pt>
                <c:pt idx="8">
                  <c:v>8.0249999999999991E-3</c:v>
                </c:pt>
                <c:pt idx="9">
                  <c:v>5.8450000000000004E-3</c:v>
                </c:pt>
                <c:pt idx="10">
                  <c:v>3.9249999999999997E-3</c:v>
                </c:pt>
                <c:pt idx="11">
                  <c:v>1.8699999999999999E-3</c:v>
                </c:pt>
                <c:pt idx="12">
                  <c:v>1.65E-4</c:v>
                </c:pt>
                <c:pt idx="13">
                  <c:v>5.0000000000000002E-5</c:v>
                </c:pt>
                <c:pt idx="14">
                  <c:v>6.9999999999999994E-5</c:v>
                </c:pt>
              </c:numCache>
            </c:numRef>
          </c:yVal>
          <c:smooth val="0"/>
          <c:extLst>
            <c:ext xmlns:c16="http://schemas.microsoft.com/office/drawing/2014/chart" uri="{C3380CC4-5D6E-409C-BE32-E72D297353CC}">
              <c16:uniqueId val="{00000000-84E2-4ECD-81D6-CCB4030C91F6}"/>
            </c:ext>
          </c:extLst>
        </c:ser>
        <c:dLbls>
          <c:showLegendKey val="0"/>
          <c:showVal val="0"/>
          <c:showCatName val="0"/>
          <c:showSerName val="0"/>
          <c:showPercent val="0"/>
          <c:showBubbleSize val="0"/>
        </c:dLbls>
        <c:axId val="1437698415"/>
        <c:axId val="1437702735"/>
      </c:scatterChart>
      <c:valAx>
        <c:axId val="1437698415"/>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702735"/>
        <c:crosses val="autoZero"/>
        <c:crossBetween val="midCat"/>
        <c:minorUnit val="5.000000000000001E-3"/>
      </c:valAx>
      <c:valAx>
        <c:axId val="1437702735"/>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98415"/>
        <c:crosses val="autoZero"/>
        <c:crossBetween val="midCat"/>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s=0 - 0.5</a:t>
            </a:r>
          </a:p>
        </c:rich>
      </c:tx>
      <c:layout>
        <c:manualLayout>
          <c:xMode val="edge"/>
          <c:yMode val="edge"/>
          <c:x val="0.26679783352570169"/>
          <c:y val="6.6945606694560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7027537182852143"/>
          <c:y val="2.5428331875182269E-2"/>
          <c:w val="0.78338429571303592"/>
          <c:h val="0.76417468649752118"/>
        </c:manualLayout>
      </c:layout>
      <c:scatterChart>
        <c:scatterStyle val="lineMarker"/>
        <c:varyColors val="0"/>
        <c:ser>
          <c:idx val="0"/>
          <c:order val="0"/>
          <c:tx>
            <c:strRef>
              <c:f>Pop_10k!$I$63</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(Pop_10k!$D$64:$D$83,Pop_10k!$D$87)</c:f>
              <c:numCache>
                <c:formatCode>General</c:formatCode>
                <c:ptCount val="21"/>
                <c:pt idx="0">
                  <c:v>0.5</c:v>
                </c:pt>
                <c:pt idx="1">
                  <c:v>0.45</c:v>
                </c:pt>
                <c:pt idx="2">
                  <c:v>0.4</c:v>
                </c:pt>
                <c:pt idx="3">
                  <c:v>0.35</c:v>
                </c:pt>
                <c:pt idx="4">
                  <c:v>0.3</c:v>
                </c:pt>
                <c:pt idx="5">
                  <c:v>0.25</c:v>
                </c:pt>
                <c:pt idx="6">
                  <c:v>0.2</c:v>
                </c:pt>
                <c:pt idx="7">
                  <c:v>0.15</c:v>
                </c:pt>
                <c:pt idx="8">
                  <c:v>0.1</c:v>
                </c:pt>
                <c:pt idx="9">
                  <c:v>0.05</c:v>
                </c:pt>
                <c:pt idx="10">
                  <c:v>0.01</c:v>
                </c:pt>
                <c:pt idx="11">
                  <c:v>8.9999999999999993E-3</c:v>
                </c:pt>
                <c:pt idx="12">
                  <c:v>8.0000000000000002E-3</c:v>
                </c:pt>
                <c:pt idx="13">
                  <c:v>7.0000000000000001E-3</c:v>
                </c:pt>
                <c:pt idx="14">
                  <c:v>6.0000000000000001E-3</c:v>
                </c:pt>
                <c:pt idx="15">
                  <c:v>5.0000000000000001E-3</c:v>
                </c:pt>
                <c:pt idx="16">
                  <c:v>4.0000000000000001E-3</c:v>
                </c:pt>
                <c:pt idx="17">
                  <c:v>3.0000000000000001E-3</c:v>
                </c:pt>
                <c:pt idx="18">
                  <c:v>2E-3</c:v>
                </c:pt>
                <c:pt idx="19">
                  <c:v>1E-3</c:v>
                </c:pt>
                <c:pt idx="20">
                  <c:v>0</c:v>
                </c:pt>
              </c:numCache>
            </c:numRef>
          </c:xVal>
          <c:yVal>
            <c:numRef>
              <c:f>(Pop_10k!$I$64:$I$83,Pop_10k!$I$87)</c:f>
              <c:numCache>
                <c:formatCode>#,##0</c:formatCode>
                <c:ptCount val="21"/>
                <c:pt idx="0">
                  <c:v>48.76</c:v>
                </c:pt>
                <c:pt idx="1">
                  <c:v>52.87</c:v>
                </c:pt>
                <c:pt idx="2">
                  <c:v>57.95</c:v>
                </c:pt>
                <c:pt idx="3">
                  <c:v>64.44</c:v>
                </c:pt>
                <c:pt idx="4">
                  <c:v>72.88</c:v>
                </c:pt>
                <c:pt idx="5">
                  <c:v>84.56</c:v>
                </c:pt>
                <c:pt idx="6">
                  <c:v>101.72</c:v>
                </c:pt>
                <c:pt idx="7">
                  <c:v>129.5</c:v>
                </c:pt>
                <c:pt idx="8">
                  <c:v>182.75</c:v>
                </c:pt>
                <c:pt idx="9">
                  <c:v>331.61</c:v>
                </c:pt>
                <c:pt idx="10">
                  <c:v>1316.79</c:v>
                </c:pt>
                <c:pt idx="11">
                  <c:v>1438.02</c:v>
                </c:pt>
                <c:pt idx="12">
                  <c:v>1591.02</c:v>
                </c:pt>
                <c:pt idx="13">
                  <c:v>1769.97</c:v>
                </c:pt>
                <c:pt idx="14">
                  <c:v>2020.01</c:v>
                </c:pt>
                <c:pt idx="15">
                  <c:v>2356.8000000000002</c:v>
                </c:pt>
                <c:pt idx="16">
                  <c:v>2839.09</c:v>
                </c:pt>
                <c:pt idx="17">
                  <c:v>3582.75</c:v>
                </c:pt>
                <c:pt idx="18">
                  <c:v>4964.72</c:v>
                </c:pt>
                <c:pt idx="19">
                  <c:v>8537.2999999999993</c:v>
                </c:pt>
                <c:pt idx="20">
                  <c:v>40000</c:v>
                </c:pt>
              </c:numCache>
            </c:numRef>
          </c:yVal>
          <c:smooth val="0"/>
          <c:extLst>
            <c:ext xmlns:c16="http://schemas.microsoft.com/office/drawing/2014/chart" uri="{C3380CC4-5D6E-409C-BE32-E72D297353CC}">
              <c16:uniqueId val="{00000000-6E06-419E-8173-2EAEC2041A86}"/>
            </c:ext>
          </c:extLst>
        </c:ser>
        <c:dLbls>
          <c:showLegendKey val="0"/>
          <c:showVal val="0"/>
          <c:showCatName val="0"/>
          <c:showSerName val="0"/>
          <c:showPercent val="0"/>
          <c:showBubbleSize val="0"/>
        </c:dLbls>
        <c:axId val="110661055"/>
        <c:axId val="110664415"/>
      </c:scatterChart>
      <c:valAx>
        <c:axId val="110661055"/>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0664415"/>
        <c:crosses val="autoZero"/>
        <c:crossBetween val="midCat"/>
      </c:valAx>
      <c:valAx>
        <c:axId val="110664415"/>
        <c:scaling>
          <c:orientation val="minMax"/>
          <c:max val="4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0661055"/>
        <c:crosses val="autoZero"/>
        <c:crossBetween val="midCat"/>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400" b="0" i="0" u="none" strike="noStrike" kern="1200" spc="0" baseline="0">
                <a:solidFill>
                  <a:sysClr val="windowText" lastClr="000000">
                    <a:lumMod val="65000"/>
                    <a:lumOff val="35000"/>
                  </a:sysClr>
                </a:solidFill>
              </a:rPr>
              <a:t>reps=20, s=0 - 0.1</a:t>
            </a:r>
          </a:p>
        </c:rich>
      </c:tx>
      <c:layout>
        <c:manualLayout>
          <c:xMode val="edge"/>
          <c:yMode val="edge"/>
          <c:x val="0.34638722554890222"/>
          <c:y val="3.827751196172248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23494679931475632"/>
          <c:y val="3.8851674641148345E-2"/>
          <c:w val="0.69845631571502664"/>
          <c:h val="0.71615115096258908"/>
        </c:manualLayout>
      </c:layout>
      <c:scatterChart>
        <c:scatterStyle val="lineMarker"/>
        <c:varyColors val="0"/>
        <c:ser>
          <c:idx val="0"/>
          <c:order val="0"/>
          <c:tx>
            <c:strRef>
              <c:f>Pop_10k!$I$36</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Pop_10k!$D$45:$D$59</c:f>
              <c:numCache>
                <c:formatCode>General</c:formatCode>
                <c:ptCount val="15"/>
                <c:pt idx="0">
                  <c:v>0.1</c:v>
                </c:pt>
                <c:pt idx="1">
                  <c:v>0.05</c:v>
                </c:pt>
                <c:pt idx="2">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c:v>1E-3</c:v>
                </c:pt>
                <c:pt idx="12">
                  <c:v>1E-4</c:v>
                </c:pt>
                <c:pt idx="13" formatCode="0.00E+00">
                  <c:v>1.0000000000000001E-5</c:v>
                </c:pt>
                <c:pt idx="14">
                  <c:v>0</c:v>
                </c:pt>
              </c:numCache>
            </c:numRef>
          </c:xVal>
          <c:yVal>
            <c:numRef>
              <c:f>Pop_10k!$I$45:$I$59</c:f>
              <c:numCache>
                <c:formatCode>#,##0</c:formatCode>
                <c:ptCount val="15"/>
                <c:pt idx="0">
                  <c:v>182.7</c:v>
                </c:pt>
                <c:pt idx="1">
                  <c:v>331.57</c:v>
                </c:pt>
                <c:pt idx="2">
                  <c:v>1316.08</c:v>
                </c:pt>
                <c:pt idx="3">
                  <c:v>1438.19</c:v>
                </c:pt>
                <c:pt idx="4">
                  <c:v>1586.88</c:v>
                </c:pt>
                <c:pt idx="5">
                  <c:v>1775.55</c:v>
                </c:pt>
                <c:pt idx="6">
                  <c:v>2020.59</c:v>
                </c:pt>
                <c:pt idx="7">
                  <c:v>2348.8000000000002</c:v>
                </c:pt>
                <c:pt idx="8">
                  <c:v>2822.54</c:v>
                </c:pt>
                <c:pt idx="9">
                  <c:v>3569.29</c:v>
                </c:pt>
                <c:pt idx="10">
                  <c:v>4956.6000000000004</c:v>
                </c:pt>
                <c:pt idx="11">
                  <c:v>8419.98</c:v>
                </c:pt>
                <c:pt idx="12">
                  <c:v>33567.760000000002</c:v>
                </c:pt>
                <c:pt idx="13">
                  <c:v>39516.46</c:v>
                </c:pt>
                <c:pt idx="14">
                  <c:v>35533.89</c:v>
                </c:pt>
              </c:numCache>
            </c:numRef>
          </c:yVal>
          <c:smooth val="0"/>
          <c:extLst>
            <c:ext xmlns:c16="http://schemas.microsoft.com/office/drawing/2014/chart" uri="{C3380CC4-5D6E-409C-BE32-E72D297353CC}">
              <c16:uniqueId val="{00000000-005C-44E1-8FDB-A2A3EFCCB6E9}"/>
            </c:ext>
          </c:extLst>
        </c:ser>
        <c:dLbls>
          <c:showLegendKey val="0"/>
          <c:showVal val="0"/>
          <c:showCatName val="0"/>
          <c:showSerName val="0"/>
          <c:showPercent val="0"/>
          <c:showBubbleSize val="0"/>
        </c:dLbls>
        <c:axId val="1366208735"/>
        <c:axId val="1366209215"/>
      </c:scatterChart>
      <c:valAx>
        <c:axId val="1366208735"/>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6209215"/>
        <c:crosses val="autoZero"/>
        <c:crossBetween val="midCat"/>
      </c:valAx>
      <c:valAx>
        <c:axId val="1366209215"/>
        <c:scaling>
          <c:orientation val="minMax"/>
          <c:max val="4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Generations</a:t>
                </a:r>
              </a:p>
            </c:rich>
          </c:tx>
          <c:layout>
            <c:manualLayout>
              <c:xMode val="edge"/>
              <c:yMode val="edge"/>
              <c:x val="4.1479004930323103E-2"/>
              <c:y val="0.2011124842578534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6208735"/>
        <c:crosses val="autoZero"/>
        <c:crossBetween val="midCat"/>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layout>
        <c:manualLayout>
          <c:xMode val="edge"/>
          <c:yMode val="edge"/>
          <c:x val="0.2426325681689096"/>
          <c:y val="4.12979351032448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228158281658904"/>
          <c:y val="6.190277100318211E-2"/>
          <c:w val="0.75898820464658934"/>
          <c:h val="0.68906603488723206"/>
        </c:manualLayout>
      </c:layout>
      <c:scatterChart>
        <c:scatterStyle val="lineMarker"/>
        <c:varyColors val="0"/>
        <c:ser>
          <c:idx val="0"/>
          <c:order val="0"/>
          <c:tx>
            <c:strRef>
              <c:f>Pop_10k!$I$63</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(Pop_10k!$D$74:$D$83,Pop_10k!$D$87)</c:f>
              <c:numCache>
                <c:formatCode>General</c:formatCode>
                <c:ptCount val="11"/>
                <c:pt idx="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c:v>1E-3</c:v>
                </c:pt>
                <c:pt idx="10">
                  <c:v>0</c:v>
                </c:pt>
              </c:numCache>
            </c:numRef>
          </c:xVal>
          <c:yVal>
            <c:numRef>
              <c:f>(Pop_10k!$I$74:$I$83,Pop_10k!$I$87)</c:f>
              <c:numCache>
                <c:formatCode>#,##0</c:formatCode>
                <c:ptCount val="11"/>
                <c:pt idx="0">
                  <c:v>1316.79</c:v>
                </c:pt>
                <c:pt idx="1">
                  <c:v>1438.02</c:v>
                </c:pt>
                <c:pt idx="2">
                  <c:v>1591.02</c:v>
                </c:pt>
                <c:pt idx="3">
                  <c:v>1769.97</c:v>
                </c:pt>
                <c:pt idx="4">
                  <c:v>2020.01</c:v>
                </c:pt>
                <c:pt idx="5">
                  <c:v>2356.8000000000002</c:v>
                </c:pt>
                <c:pt idx="6">
                  <c:v>2839.09</c:v>
                </c:pt>
                <c:pt idx="7">
                  <c:v>3582.75</c:v>
                </c:pt>
                <c:pt idx="8">
                  <c:v>4964.72</c:v>
                </c:pt>
                <c:pt idx="9">
                  <c:v>8537.2999999999993</c:v>
                </c:pt>
                <c:pt idx="10">
                  <c:v>40000</c:v>
                </c:pt>
              </c:numCache>
            </c:numRef>
          </c:yVal>
          <c:smooth val="0"/>
          <c:extLst>
            <c:ext xmlns:c16="http://schemas.microsoft.com/office/drawing/2014/chart" uri="{C3380CC4-5D6E-409C-BE32-E72D297353CC}">
              <c16:uniqueId val="{00000000-31AF-4F65-8F67-A684E8DB01FB}"/>
            </c:ext>
          </c:extLst>
        </c:ser>
        <c:dLbls>
          <c:showLegendKey val="0"/>
          <c:showVal val="0"/>
          <c:showCatName val="0"/>
          <c:showSerName val="0"/>
          <c:showPercent val="0"/>
          <c:showBubbleSize val="0"/>
        </c:dLbls>
        <c:axId val="1437686895"/>
        <c:axId val="1437693615"/>
      </c:scatterChart>
      <c:valAx>
        <c:axId val="1437686895"/>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1437693615"/>
        <c:crosses val="autoZero"/>
        <c:crossBetween val="midCat"/>
      </c:valAx>
      <c:valAx>
        <c:axId val="1437693615"/>
        <c:scaling>
          <c:orientation val="minMax"/>
          <c:max val="4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86895"/>
        <c:crosses val="autoZero"/>
        <c:crossBetween val="midCat"/>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 attempts=10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a:t>
            </a:r>
          </a:p>
          <a:p>
            <a:pPr>
              <a:defRPr sz="1100"/>
            </a:pPr>
            <a:r>
              <a:rPr lang="en-US" sz="1100" b="0" i="0" u="none" strike="noStrike" kern="1200" spc="0" baseline="0">
                <a:solidFill>
                  <a:sysClr val="windowText" lastClr="000000">
                    <a:lumMod val="65000"/>
                    <a:lumOff val="35000"/>
                  </a:sysClr>
                </a:solidFill>
              </a:rPr>
              <a:t>reps=20, s=0 - 0.01</a:t>
            </a:r>
          </a:p>
        </c:rich>
      </c:tx>
      <c:layout>
        <c:manualLayout>
          <c:xMode val="edge"/>
          <c:yMode val="edge"/>
          <c:x val="0.29108499999999998"/>
          <c:y val="4.233333333333333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548419371860503"/>
          <c:y val="6.5029924356800536E-2"/>
          <c:w val="0.7754819444444444"/>
          <c:h val="0.70268388888888889"/>
        </c:manualLayout>
      </c:layout>
      <c:scatterChart>
        <c:scatterStyle val="lineMarker"/>
        <c:varyColors val="0"/>
        <c:ser>
          <c:idx val="0"/>
          <c:order val="0"/>
          <c:tx>
            <c:strRef>
              <c:f>Pop_10k!$G$2</c:f>
              <c:strCache>
                <c:ptCount val="1"/>
                <c:pt idx="0">
                  <c:v>Prob fix</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olid"/>
              </a:ln>
              <a:effectLst/>
            </c:spPr>
            <c:trendlineType val="linear"/>
            <c:intercept val="5.0000000000000023E-5"/>
            <c:dispRSqr val="1"/>
            <c:dispEq val="1"/>
            <c:trendlineLbl>
              <c:layout>
                <c:manualLayout>
                  <c:x val="1.9082110860173421E-2"/>
                  <c:y val="0.40260246315364423"/>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1.9716s + 5E-05</a:t>
                    </a:r>
                    <a:br>
                      <a:rPr lang="en-US" sz="1000" baseline="0"/>
                    </a:br>
                    <a:r>
                      <a:rPr lang="en-US" sz="1000" baseline="0"/>
                      <a:t>R² = 1</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Pop_10k!$D$18:$D$32</c:f>
              <c:numCache>
                <c:formatCode>General</c:formatCode>
                <c:ptCount val="15"/>
                <c:pt idx="0" formatCode="0.0E+0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formatCode="0.0E+00">
                  <c:v>1E-3</c:v>
                </c:pt>
                <c:pt idx="10" formatCode="0.0E+00">
                  <c:v>1E-4</c:v>
                </c:pt>
                <c:pt idx="11" formatCode="0.0E+00">
                  <c:v>1.0000000000000001E-5</c:v>
                </c:pt>
                <c:pt idx="12" formatCode="0.0E+00">
                  <c:v>9.9999999999999995E-7</c:v>
                </c:pt>
                <c:pt idx="13" formatCode="0.0E+00">
                  <c:v>9.9999999999999995E-8</c:v>
                </c:pt>
                <c:pt idx="14">
                  <c:v>0</c:v>
                </c:pt>
              </c:numCache>
            </c:numRef>
          </c:xVal>
          <c:yVal>
            <c:numRef>
              <c:f>Pop_10k!$G$18:$G$32</c:f>
              <c:numCache>
                <c:formatCode>0.00000</c:formatCode>
                <c:ptCount val="15"/>
                <c:pt idx="0">
                  <c:v>1.97156E-2</c:v>
                </c:pt>
                <c:pt idx="1">
                  <c:v>1.7790400000000001E-2</c:v>
                </c:pt>
                <c:pt idx="2">
                  <c:v>1.580295E-2</c:v>
                </c:pt>
                <c:pt idx="3">
                  <c:v>1.39011E-2</c:v>
                </c:pt>
                <c:pt idx="4">
                  <c:v>1.191395E-2</c:v>
                </c:pt>
                <c:pt idx="5">
                  <c:v>9.92525E-3</c:v>
                </c:pt>
                <c:pt idx="6">
                  <c:v>7.9745500000000004E-3</c:v>
                </c:pt>
                <c:pt idx="7">
                  <c:v>5.9617999999999997E-3</c:v>
                </c:pt>
                <c:pt idx="8">
                  <c:v>3.9671000000000003E-3</c:v>
                </c:pt>
                <c:pt idx="9">
                  <c:v>2.0051499999999998E-3</c:v>
                </c:pt>
                <c:pt idx="10">
                  <c:v>2.106E-4</c:v>
                </c:pt>
                <c:pt idx="11">
                  <c:v>6.1849999999999999E-5</c:v>
                </c:pt>
                <c:pt idx="12" formatCode="0.000000">
                  <c:v>5.1249999999999999E-5</c:v>
                </c:pt>
                <c:pt idx="13" formatCode="0.000000">
                  <c:v>4.905E-5</c:v>
                </c:pt>
                <c:pt idx="14">
                  <c:v>4.9200000000000003E-5</c:v>
                </c:pt>
              </c:numCache>
            </c:numRef>
          </c:yVal>
          <c:smooth val="0"/>
          <c:extLst>
            <c:ext xmlns:c16="http://schemas.microsoft.com/office/drawing/2014/chart" uri="{C3380CC4-5D6E-409C-BE32-E72D297353CC}">
              <c16:uniqueId val="{00000000-08F6-4F0F-BC29-B38A7F7735AF}"/>
            </c:ext>
          </c:extLst>
        </c:ser>
        <c:dLbls>
          <c:showLegendKey val="0"/>
          <c:showVal val="0"/>
          <c:showCatName val="0"/>
          <c:showSerName val="0"/>
          <c:showPercent val="0"/>
          <c:showBubbleSize val="0"/>
        </c:dLbls>
        <c:axId val="1366203455"/>
        <c:axId val="1366203935"/>
      </c:scatterChart>
      <c:valAx>
        <c:axId val="1366203455"/>
        <c:scaling>
          <c:orientation val="minMax"/>
          <c:max val="1.0000000000000002E-2"/>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t>Selection coefficient, 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6203935"/>
        <c:crosses val="autoZero"/>
        <c:crossBetween val="midCat"/>
        <c:majorUnit val="2.0000000000000005E-3"/>
        <c:minorUnit val="1.0000000000000002E-3"/>
      </c:valAx>
      <c:valAx>
        <c:axId val="1366203935"/>
        <c:scaling>
          <c:orientation val="minMax"/>
          <c:max val="2.0000000000000004E-2"/>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6203455"/>
        <c:crosses val="autoZero"/>
        <c:crossBetween val="midCat"/>
        <c:minorUnit val="2.5000000000000005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 attempts=10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a:t>
            </a:r>
          </a:p>
          <a:p>
            <a:pPr algn="l">
              <a:defRPr sz="1100"/>
            </a:pPr>
            <a:r>
              <a:rPr lang="en-US" sz="1100" b="0" i="0" u="none" strike="noStrike" kern="1200" spc="0" baseline="0">
                <a:solidFill>
                  <a:sysClr val="windowText" lastClr="000000">
                    <a:lumMod val="65000"/>
                    <a:lumOff val="35000"/>
                  </a:sysClr>
                </a:solidFill>
              </a:rPr>
              <a:t>reps=20, s=0 - 0.1</a:t>
            </a:r>
          </a:p>
        </c:rich>
      </c:tx>
      <c:layout>
        <c:manualLayout>
          <c:xMode val="edge"/>
          <c:yMode val="edge"/>
          <c:x val="0.30166833333333332"/>
          <c:y val="2.1166666666666667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6973381452318459"/>
          <c:y val="2.5428331875182269E-2"/>
          <c:w val="0.77759251968503929"/>
          <c:h val="0.74171833333333337"/>
        </c:manualLayout>
      </c:layout>
      <c:scatterChart>
        <c:scatterStyle val="lineMarker"/>
        <c:varyColors val="0"/>
        <c:ser>
          <c:idx val="0"/>
          <c:order val="0"/>
          <c:tx>
            <c:strRef>
              <c:f>Pop_10k!$G$2</c:f>
              <c:strCache>
                <c:ptCount val="1"/>
                <c:pt idx="0">
                  <c:v>Prob fix</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olid"/>
              </a:ln>
              <a:effectLst/>
            </c:spPr>
            <c:trendlineType val="linear"/>
            <c:intercept val="5.0000000000000023E-5"/>
            <c:dispRSqr val="1"/>
            <c:dispEq val="1"/>
            <c:trendlineLbl>
              <c:layout>
                <c:manualLayout>
                  <c:x val="2.9142132427245043E-2"/>
                  <c:y val="0.433371693922875"/>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1.789s + 5E-05</a:t>
                    </a:r>
                    <a:br>
                      <a:rPr lang="en-US" sz="1000" baseline="0"/>
                    </a:br>
                    <a:r>
                      <a:rPr lang="en-US" sz="1000" baseline="0"/>
                      <a:t>R² = 0.9992</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Pop_10k!$D$16:$D$32</c:f>
              <c:numCache>
                <c:formatCode>General</c:formatCode>
                <c:ptCount val="17"/>
                <c:pt idx="0">
                  <c:v>0.1</c:v>
                </c:pt>
                <c:pt idx="1">
                  <c:v>0.05</c:v>
                </c:pt>
                <c:pt idx="2" formatCode="0.0E+00">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formatCode="0.0E+00">
                  <c:v>1E-3</c:v>
                </c:pt>
                <c:pt idx="12" formatCode="0.0E+00">
                  <c:v>1E-4</c:v>
                </c:pt>
                <c:pt idx="13" formatCode="0.0E+00">
                  <c:v>1.0000000000000001E-5</c:v>
                </c:pt>
                <c:pt idx="14" formatCode="0.0E+00">
                  <c:v>9.9999999999999995E-7</c:v>
                </c:pt>
                <c:pt idx="15" formatCode="0.0E+00">
                  <c:v>9.9999999999999995E-8</c:v>
                </c:pt>
                <c:pt idx="16">
                  <c:v>0</c:v>
                </c:pt>
              </c:numCache>
            </c:numRef>
          </c:xVal>
          <c:yVal>
            <c:numRef>
              <c:f>Pop_10k!$G$16:$G$32</c:f>
              <c:numCache>
                <c:formatCode>0.00000</c:formatCode>
                <c:ptCount val="17"/>
                <c:pt idx="0">
                  <c:v>0.17616285000000001</c:v>
                </c:pt>
                <c:pt idx="1">
                  <c:v>9.3663499999999997E-2</c:v>
                </c:pt>
                <c:pt idx="2">
                  <c:v>1.97156E-2</c:v>
                </c:pt>
                <c:pt idx="3">
                  <c:v>1.7790400000000001E-2</c:v>
                </c:pt>
                <c:pt idx="4">
                  <c:v>1.580295E-2</c:v>
                </c:pt>
                <c:pt idx="5">
                  <c:v>1.39011E-2</c:v>
                </c:pt>
                <c:pt idx="6">
                  <c:v>1.191395E-2</c:v>
                </c:pt>
                <c:pt idx="7">
                  <c:v>9.92525E-3</c:v>
                </c:pt>
                <c:pt idx="8">
                  <c:v>7.9745500000000004E-3</c:v>
                </c:pt>
                <c:pt idx="9">
                  <c:v>5.9617999999999997E-3</c:v>
                </c:pt>
                <c:pt idx="10">
                  <c:v>3.9671000000000003E-3</c:v>
                </c:pt>
                <c:pt idx="11">
                  <c:v>2.0051499999999998E-3</c:v>
                </c:pt>
                <c:pt idx="12">
                  <c:v>2.106E-4</c:v>
                </c:pt>
                <c:pt idx="13">
                  <c:v>6.1849999999999999E-5</c:v>
                </c:pt>
                <c:pt idx="14" formatCode="0.000000">
                  <c:v>5.1249999999999999E-5</c:v>
                </c:pt>
                <c:pt idx="15" formatCode="0.000000">
                  <c:v>4.905E-5</c:v>
                </c:pt>
                <c:pt idx="16">
                  <c:v>4.9200000000000003E-5</c:v>
                </c:pt>
              </c:numCache>
            </c:numRef>
          </c:yVal>
          <c:smooth val="0"/>
          <c:extLst>
            <c:ext xmlns:c16="http://schemas.microsoft.com/office/drawing/2014/chart" uri="{C3380CC4-5D6E-409C-BE32-E72D297353CC}">
              <c16:uniqueId val="{00000001-89F4-4ABF-A012-21B5C60198D7}"/>
            </c:ext>
          </c:extLst>
        </c:ser>
        <c:dLbls>
          <c:showLegendKey val="0"/>
          <c:showVal val="0"/>
          <c:showCatName val="0"/>
          <c:showSerName val="0"/>
          <c:showPercent val="0"/>
          <c:showBubbleSize val="0"/>
        </c:dLbls>
        <c:axId val="1366203455"/>
        <c:axId val="1366203935"/>
      </c:scatterChart>
      <c:valAx>
        <c:axId val="1366203455"/>
        <c:scaling>
          <c:orientation val="minMax"/>
          <c:max val="0.1"/>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t>Selection coefficient, 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6203935"/>
        <c:crosses val="autoZero"/>
        <c:crossBetween val="midCat"/>
        <c:majorUnit val="1.0000000000000002E-2"/>
        <c:minorUnit val="5.000000000000001E-3"/>
      </c:valAx>
      <c:valAx>
        <c:axId val="1366203935"/>
        <c:scaling>
          <c:orientation val="minMax"/>
          <c:max val="0.2"/>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layout>
            <c:manualLayout>
              <c:xMode val="edge"/>
              <c:yMode val="edge"/>
              <c:x val="9.3994444444444446E-3"/>
              <c:y val="0.20549444444444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6203455"/>
        <c:crosses val="autoZero"/>
        <c:crossBetween val="midCat"/>
        <c:majorUnit val="5.000000000000001E-2"/>
        <c:minorUnit val="2.5000000000000005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 attempts=10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a:t>
            </a:r>
          </a:p>
          <a:p>
            <a:pPr algn="l">
              <a:defRPr sz="1100"/>
            </a:pPr>
            <a:r>
              <a:rPr lang="en-US" sz="1100" b="0" i="0" u="none" strike="noStrike" kern="1200" spc="0" baseline="0">
                <a:solidFill>
                  <a:sysClr val="windowText" lastClr="000000">
                    <a:lumMod val="65000"/>
                    <a:lumOff val="35000"/>
                  </a:sysClr>
                </a:solidFill>
              </a:rPr>
              <a:t>reps=20, s=0 - 1</a:t>
            </a:r>
          </a:p>
        </c:rich>
      </c:tx>
      <c:layout>
        <c:manualLayout>
          <c:xMode val="edge"/>
          <c:yMode val="edge"/>
          <c:x val="0.31592666666666674"/>
          <c:y val="3.3627222222222211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439194444444446"/>
          <c:y val="4.0080470710391961E-2"/>
          <c:w val="0.81639805555555556"/>
          <c:h val="0.74098722222222235"/>
        </c:manualLayout>
      </c:layout>
      <c:scatterChart>
        <c:scatterStyle val="lineMarker"/>
        <c:varyColors val="0"/>
        <c:ser>
          <c:idx val="0"/>
          <c:order val="0"/>
          <c:tx>
            <c:strRef>
              <c:f>Pop_10k!$G$2</c:f>
              <c:strCache>
                <c:ptCount val="1"/>
                <c:pt idx="0">
                  <c:v>Prob fix</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olid"/>
              </a:ln>
              <a:effectLst/>
            </c:spPr>
            <c:trendlineType val="poly"/>
            <c:order val="3"/>
            <c:intercept val="5.0000000000000023E-5"/>
            <c:dispRSqr val="1"/>
            <c:dispEq val="1"/>
            <c:trendlineLbl>
              <c:layout>
                <c:manualLayout>
                  <c:x val="3.5314722222222157E-2"/>
                  <c:y val="0.36914166666666665"/>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0.6636s</a:t>
                    </a:r>
                    <a:r>
                      <a:rPr lang="en-US" sz="1000" baseline="30000"/>
                      <a:t>3</a:t>
                    </a:r>
                    <a:r>
                      <a:rPr lang="en-US" sz="1000" baseline="0"/>
                      <a:t> - 1.7372s</a:t>
                    </a:r>
                    <a:r>
                      <a:rPr lang="en-US" sz="1000" baseline="30000"/>
                      <a:t>2</a:t>
                    </a:r>
                    <a:r>
                      <a:rPr lang="en-US" sz="1000" baseline="0"/>
                      <a:t> +</a:t>
                    </a:r>
                  </a:p>
                  <a:p>
                    <a:pPr>
                      <a:defRPr sz="1000"/>
                    </a:pPr>
                    <a:r>
                      <a:rPr lang="en-US" sz="1000" baseline="0"/>
                      <a:t>1.8747s + 5E-05</a:t>
                    </a:r>
                    <a:br>
                      <a:rPr lang="en-US" sz="1000" baseline="0"/>
                    </a:br>
                    <a:r>
                      <a:rPr lang="en-US" sz="1000" baseline="0"/>
                      <a:t>R² = 0.9999</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rendlineLbl>
          </c:trendline>
          <c:xVal>
            <c:numRef>
              <c:f>Pop_10k!$D$3:$D$32</c:f>
              <c:numCache>
                <c:formatCode>General</c:formatCode>
                <c:ptCount val="30"/>
                <c:pt idx="0">
                  <c:v>1</c:v>
                </c:pt>
                <c:pt idx="1">
                  <c:v>0.9</c:v>
                </c:pt>
                <c:pt idx="2">
                  <c:v>0.8</c:v>
                </c:pt>
                <c:pt idx="3">
                  <c:v>0.7</c:v>
                </c:pt>
                <c:pt idx="4">
                  <c:v>0.6</c:v>
                </c:pt>
                <c:pt idx="5">
                  <c:v>0.5</c:v>
                </c:pt>
                <c:pt idx="6">
                  <c:v>0.45</c:v>
                </c:pt>
                <c:pt idx="7">
                  <c:v>0.4</c:v>
                </c:pt>
                <c:pt idx="8">
                  <c:v>0.35</c:v>
                </c:pt>
                <c:pt idx="9">
                  <c:v>0.3</c:v>
                </c:pt>
                <c:pt idx="10">
                  <c:v>0.25</c:v>
                </c:pt>
                <c:pt idx="11">
                  <c:v>0.2</c:v>
                </c:pt>
                <c:pt idx="12">
                  <c:v>0.15</c:v>
                </c:pt>
                <c:pt idx="13">
                  <c:v>0.1</c:v>
                </c:pt>
                <c:pt idx="14">
                  <c:v>0.05</c:v>
                </c:pt>
                <c:pt idx="15" formatCode="0.0E+00">
                  <c:v>0.01</c:v>
                </c:pt>
                <c:pt idx="16">
                  <c:v>8.9999999999999993E-3</c:v>
                </c:pt>
                <c:pt idx="17">
                  <c:v>8.0000000000000002E-3</c:v>
                </c:pt>
                <c:pt idx="18">
                  <c:v>7.0000000000000001E-3</c:v>
                </c:pt>
                <c:pt idx="19">
                  <c:v>6.0000000000000001E-3</c:v>
                </c:pt>
                <c:pt idx="20">
                  <c:v>5.0000000000000001E-3</c:v>
                </c:pt>
                <c:pt idx="21">
                  <c:v>4.0000000000000001E-3</c:v>
                </c:pt>
                <c:pt idx="22">
                  <c:v>3.0000000000000001E-3</c:v>
                </c:pt>
                <c:pt idx="23">
                  <c:v>2E-3</c:v>
                </c:pt>
                <c:pt idx="24" formatCode="0.0E+00">
                  <c:v>1E-3</c:v>
                </c:pt>
                <c:pt idx="25" formatCode="0.0E+00">
                  <c:v>1E-4</c:v>
                </c:pt>
                <c:pt idx="26" formatCode="0.0E+00">
                  <c:v>1.0000000000000001E-5</c:v>
                </c:pt>
                <c:pt idx="27" formatCode="0.0E+00">
                  <c:v>9.9999999999999995E-7</c:v>
                </c:pt>
                <c:pt idx="28" formatCode="0.0E+00">
                  <c:v>9.9999999999999995E-8</c:v>
                </c:pt>
                <c:pt idx="29">
                  <c:v>0</c:v>
                </c:pt>
              </c:numCache>
            </c:numRef>
          </c:xVal>
          <c:yVal>
            <c:numRef>
              <c:f>Pop_10k!$G$3:$G$32</c:f>
              <c:numCache>
                <c:formatCode>0.00000</c:formatCode>
                <c:ptCount val="30"/>
                <c:pt idx="0">
                  <c:v>0.79670675000000002</c:v>
                </c:pt>
                <c:pt idx="1">
                  <c:v>0.76731994999999997</c:v>
                </c:pt>
                <c:pt idx="2">
                  <c:v>0.73249580000000003</c:v>
                </c:pt>
                <c:pt idx="3">
                  <c:v>0.69120110000000001</c:v>
                </c:pt>
                <c:pt idx="4">
                  <c:v>0.64206945000000004</c:v>
                </c:pt>
                <c:pt idx="5">
                  <c:v>0.58279119999999995</c:v>
                </c:pt>
                <c:pt idx="6">
                  <c:v>0.54867895</c:v>
                </c:pt>
                <c:pt idx="7">
                  <c:v>0.51115730000000004</c:v>
                </c:pt>
                <c:pt idx="8">
                  <c:v>0.46936359999999999</c:v>
                </c:pt>
                <c:pt idx="9">
                  <c:v>0.42288920000000002</c:v>
                </c:pt>
                <c:pt idx="10">
                  <c:v>0.37138775000000002</c:v>
                </c:pt>
                <c:pt idx="11">
                  <c:v>0.31389735000000002</c:v>
                </c:pt>
                <c:pt idx="12">
                  <c:v>0.24885784999999999</c:v>
                </c:pt>
                <c:pt idx="13">
                  <c:v>0.17616285000000001</c:v>
                </c:pt>
                <c:pt idx="14">
                  <c:v>9.3663499999999997E-2</c:v>
                </c:pt>
                <c:pt idx="15">
                  <c:v>1.97156E-2</c:v>
                </c:pt>
                <c:pt idx="16">
                  <c:v>1.7790400000000001E-2</c:v>
                </c:pt>
                <c:pt idx="17">
                  <c:v>1.580295E-2</c:v>
                </c:pt>
                <c:pt idx="18">
                  <c:v>1.39011E-2</c:v>
                </c:pt>
                <c:pt idx="19">
                  <c:v>1.191395E-2</c:v>
                </c:pt>
                <c:pt idx="20">
                  <c:v>9.92525E-3</c:v>
                </c:pt>
                <c:pt idx="21">
                  <c:v>7.9745500000000004E-3</c:v>
                </c:pt>
                <c:pt idx="22">
                  <c:v>5.9617999999999997E-3</c:v>
                </c:pt>
                <c:pt idx="23">
                  <c:v>3.9671000000000003E-3</c:v>
                </c:pt>
                <c:pt idx="24">
                  <c:v>2.0051499999999998E-3</c:v>
                </c:pt>
                <c:pt idx="25">
                  <c:v>2.106E-4</c:v>
                </c:pt>
                <c:pt idx="26">
                  <c:v>6.1849999999999999E-5</c:v>
                </c:pt>
                <c:pt idx="27" formatCode="0.000000">
                  <c:v>5.1249999999999999E-5</c:v>
                </c:pt>
                <c:pt idx="28" formatCode="0.000000">
                  <c:v>4.905E-5</c:v>
                </c:pt>
                <c:pt idx="29">
                  <c:v>4.9200000000000003E-5</c:v>
                </c:pt>
              </c:numCache>
            </c:numRef>
          </c:yVal>
          <c:smooth val="0"/>
          <c:extLst>
            <c:ext xmlns:c16="http://schemas.microsoft.com/office/drawing/2014/chart" uri="{C3380CC4-5D6E-409C-BE32-E72D297353CC}">
              <c16:uniqueId val="{00000001-93AC-48F5-AE99-B57F6ED46961}"/>
            </c:ext>
          </c:extLst>
        </c:ser>
        <c:dLbls>
          <c:showLegendKey val="0"/>
          <c:showVal val="0"/>
          <c:showCatName val="0"/>
          <c:showSerName val="0"/>
          <c:showPercent val="0"/>
          <c:showBubbleSize val="0"/>
        </c:dLbls>
        <c:axId val="1366203455"/>
        <c:axId val="1366203935"/>
      </c:scatterChart>
      <c:valAx>
        <c:axId val="1366203455"/>
        <c:scaling>
          <c:orientation val="minMax"/>
          <c:max val="1"/>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t>Selection coefficient, 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6203935"/>
        <c:crosses val="autoZero"/>
        <c:crossBetween val="midCat"/>
        <c:majorUnit val="0.1"/>
        <c:minorUnit val="5.000000000000001E-2"/>
      </c:valAx>
      <c:valAx>
        <c:axId val="1366203935"/>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layout>
            <c:manualLayout>
              <c:xMode val="edge"/>
              <c:yMode val="edge"/>
              <c:x val="1.3671944444444447E-2"/>
              <c:y val="0.206456666666666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6203455"/>
        <c:crosses val="autoZero"/>
        <c:crossBetween val="midCat"/>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6</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1483988618389233"/>
          <c:y val="2.5428331875182269E-2"/>
          <c:w val="0.72762458985677125"/>
          <c:h val="0.71482819234751604"/>
        </c:manualLayout>
      </c:layout>
      <c:scatterChart>
        <c:scatterStyle val="lineMarker"/>
        <c:varyColors val="0"/>
        <c:ser>
          <c:idx val="0"/>
          <c:order val="0"/>
          <c:tx>
            <c:strRef>
              <c:f>Pop_10k!$I$2</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Pop_10k!$D$18:$D$33</c:f>
              <c:numCache>
                <c:formatCode>General</c:formatCode>
                <c:ptCount val="16"/>
                <c:pt idx="0" formatCode="0.0E+0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formatCode="0.0E+00">
                  <c:v>1E-3</c:v>
                </c:pt>
                <c:pt idx="10" formatCode="0.0E+00">
                  <c:v>1E-4</c:v>
                </c:pt>
                <c:pt idx="11" formatCode="0.0E+00">
                  <c:v>1.0000000000000001E-5</c:v>
                </c:pt>
                <c:pt idx="12" formatCode="0.0E+00">
                  <c:v>9.9999999999999995E-7</c:v>
                </c:pt>
                <c:pt idx="13" formatCode="0.0E+00">
                  <c:v>9.9999999999999995E-8</c:v>
                </c:pt>
                <c:pt idx="14">
                  <c:v>0</c:v>
                </c:pt>
                <c:pt idx="15">
                  <c:v>0</c:v>
                </c:pt>
              </c:numCache>
            </c:numRef>
          </c:xVal>
          <c:yVal>
            <c:numRef>
              <c:f>Pop_10k!$I$18:$I$33</c:f>
              <c:numCache>
                <c:formatCode>#,##0</c:formatCode>
                <c:ptCount val="16"/>
                <c:pt idx="0">
                  <c:v>1315.43</c:v>
                </c:pt>
                <c:pt idx="1">
                  <c:v>1437.75</c:v>
                </c:pt>
                <c:pt idx="2">
                  <c:v>1587.97</c:v>
                </c:pt>
                <c:pt idx="3">
                  <c:v>1775.35</c:v>
                </c:pt>
                <c:pt idx="4">
                  <c:v>2019.92</c:v>
                </c:pt>
                <c:pt idx="5">
                  <c:v>2351.69</c:v>
                </c:pt>
                <c:pt idx="6">
                  <c:v>2825.1</c:v>
                </c:pt>
                <c:pt idx="7">
                  <c:v>3571.39</c:v>
                </c:pt>
                <c:pt idx="8">
                  <c:v>4943.93</c:v>
                </c:pt>
                <c:pt idx="9">
                  <c:v>8490.66</c:v>
                </c:pt>
                <c:pt idx="10">
                  <c:v>33464.42</c:v>
                </c:pt>
                <c:pt idx="11">
                  <c:v>40360.71</c:v>
                </c:pt>
                <c:pt idx="12">
                  <c:v>40056.019999999997</c:v>
                </c:pt>
                <c:pt idx="13">
                  <c:v>41302.959999999999</c:v>
                </c:pt>
                <c:pt idx="14">
                  <c:v>39104.379999999997</c:v>
                </c:pt>
                <c:pt idx="15">
                  <c:v>40000</c:v>
                </c:pt>
              </c:numCache>
            </c:numRef>
          </c:yVal>
          <c:smooth val="0"/>
          <c:extLst>
            <c:ext xmlns:c16="http://schemas.microsoft.com/office/drawing/2014/chart" uri="{C3380CC4-5D6E-409C-BE32-E72D297353CC}">
              <c16:uniqueId val="{00000000-8CD8-4329-AF08-8AFF34FB05FA}"/>
            </c:ext>
          </c:extLst>
        </c:ser>
        <c:dLbls>
          <c:showLegendKey val="0"/>
          <c:showVal val="0"/>
          <c:showCatName val="0"/>
          <c:showSerName val="0"/>
          <c:showPercent val="0"/>
          <c:showBubbleSize val="0"/>
        </c:dLbls>
        <c:axId val="672234608"/>
        <c:axId val="672234128"/>
      </c:scatterChart>
      <c:valAx>
        <c:axId val="672234608"/>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672234128"/>
        <c:crosses val="autoZero"/>
        <c:crossBetween val="midCat"/>
        <c:majorUnit val="2.0000000000000005E-3"/>
        <c:minorUnit val="5.0000000000000012E-4"/>
      </c:valAx>
      <c:valAx>
        <c:axId val="672234128"/>
        <c:scaling>
          <c:orientation val="minMax"/>
          <c:max val="4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672234608"/>
        <c:crosses val="autoZero"/>
        <c:crossBetween val="midCat"/>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 attempts=10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124759405074364"/>
          <c:y val="2.5428331875182269E-2"/>
          <c:w val="0.7960441819772528"/>
          <c:h val="0.78227653834937294"/>
        </c:manualLayout>
      </c:layout>
      <c:scatterChart>
        <c:scatterStyle val="lineMarker"/>
        <c:varyColors val="0"/>
        <c:ser>
          <c:idx val="0"/>
          <c:order val="0"/>
          <c:tx>
            <c:strRef>
              <c:f>Pop_10!$G$2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1E-2"/>
            <c:dispRSqr val="1"/>
            <c:dispEq val="1"/>
            <c:trendlineLbl>
              <c:layout>
                <c:manualLayout>
                  <c:x val="-6.1407438532690907E-2"/>
                  <c:y val="0.30204396325459315"/>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0.9057s + 0.05</a:t>
                    </a:r>
                    <a:br>
                      <a:rPr lang="en-US" sz="1200" baseline="0"/>
                    </a:br>
                    <a:r>
                      <a:rPr lang="en-US" sz="1200" baseline="0"/>
                      <a:t>R² = 0.7288</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Pop_10!$D$14:$D$25</c:f>
              <c:numCache>
                <c:formatCode>General</c:formatCode>
                <c:ptCount val="12"/>
                <c:pt idx="0" formatCode="0.0E+00">
                  <c:v>0.01</c:v>
                </c:pt>
                <c:pt idx="1">
                  <c:v>5.0000000000000001E-3</c:v>
                </c:pt>
                <c:pt idx="2" formatCode="0.0E+00">
                  <c:v>1E-3</c:v>
                </c:pt>
                <c:pt idx="3">
                  <c:v>5.0000000000000001E-4</c:v>
                </c:pt>
                <c:pt idx="4" formatCode="0.0E+00">
                  <c:v>1E-4</c:v>
                </c:pt>
                <c:pt idx="5" formatCode="0.00E+00">
                  <c:v>5.0000000000000002E-5</c:v>
                </c:pt>
                <c:pt idx="6" formatCode="0.0E+00">
                  <c:v>1.0000000000000001E-5</c:v>
                </c:pt>
                <c:pt idx="7" formatCode="0.00E+00">
                  <c:v>5.0000000000000004E-6</c:v>
                </c:pt>
                <c:pt idx="8" formatCode="0.0E+00">
                  <c:v>9.9999999999999995E-7</c:v>
                </c:pt>
                <c:pt idx="9" formatCode="0.00E+00">
                  <c:v>4.9999999999999998E-7</c:v>
                </c:pt>
                <c:pt idx="10" formatCode="0.0E+00">
                  <c:v>9.9999999999999995E-8</c:v>
                </c:pt>
                <c:pt idx="11">
                  <c:v>0</c:v>
                </c:pt>
              </c:numCache>
            </c:numRef>
          </c:xVal>
          <c:yVal>
            <c:numRef>
              <c:f>Pop_10!$G$14:$G$25</c:f>
              <c:numCache>
                <c:formatCode>0.00000</c:formatCode>
                <c:ptCount val="12"/>
                <c:pt idx="0">
                  <c:v>6.0199999999999997E-2</c:v>
                </c:pt>
                <c:pt idx="1">
                  <c:v>5.3150000000000003E-2</c:v>
                </c:pt>
                <c:pt idx="2">
                  <c:v>5.04E-2</c:v>
                </c:pt>
                <c:pt idx="3">
                  <c:v>5.0049999999999997E-2</c:v>
                </c:pt>
                <c:pt idx="4">
                  <c:v>4.9349999999999998E-2</c:v>
                </c:pt>
                <c:pt idx="5">
                  <c:v>4.7300000000000002E-2</c:v>
                </c:pt>
                <c:pt idx="6">
                  <c:v>5.2400000000000002E-2</c:v>
                </c:pt>
                <c:pt idx="7">
                  <c:v>5.0750000000000003E-2</c:v>
                </c:pt>
                <c:pt idx="8">
                  <c:v>4.99E-2</c:v>
                </c:pt>
                <c:pt idx="9">
                  <c:v>4.8050000000000002E-2</c:v>
                </c:pt>
                <c:pt idx="10">
                  <c:v>4.99E-2</c:v>
                </c:pt>
                <c:pt idx="11">
                  <c:v>5.1400000000000001E-2</c:v>
                </c:pt>
              </c:numCache>
            </c:numRef>
          </c:yVal>
          <c:smooth val="0"/>
          <c:extLst>
            <c:ext xmlns:c16="http://schemas.microsoft.com/office/drawing/2014/chart" uri="{C3380CC4-5D6E-409C-BE32-E72D297353CC}">
              <c16:uniqueId val="{00000000-1892-4B18-BF30-16A80FCF3587}"/>
            </c:ext>
          </c:extLst>
        </c:ser>
        <c:dLbls>
          <c:showLegendKey val="0"/>
          <c:showVal val="0"/>
          <c:showCatName val="0"/>
          <c:showSerName val="0"/>
          <c:showPercent val="0"/>
          <c:showBubbleSize val="0"/>
        </c:dLbls>
        <c:axId val="1111248784"/>
        <c:axId val="1111255504"/>
      </c:scatterChart>
      <c:valAx>
        <c:axId val="1111248784"/>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55504"/>
        <c:crosses val="autoZero"/>
        <c:crossBetween val="midCat"/>
        <c:minorUnit val="5.0000000000000012E-4"/>
      </c:valAx>
      <c:valAx>
        <c:axId val="1111255504"/>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48784"/>
        <c:crosses val="autoZero"/>
        <c:crossBetween val="midCat"/>
        <c:min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6</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1807720526853916"/>
          <c:y val="2.5428331875182269E-2"/>
          <c:w val="0.72291560750022921"/>
          <c:h val="0.71482819234751604"/>
        </c:manualLayout>
      </c:layout>
      <c:scatterChart>
        <c:scatterStyle val="lineMarker"/>
        <c:varyColors val="0"/>
        <c:ser>
          <c:idx val="0"/>
          <c:order val="0"/>
          <c:tx>
            <c:strRef>
              <c:f>Pop_10k!$I$2</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Pop_10k!$D$16:$D$33</c:f>
              <c:numCache>
                <c:formatCode>General</c:formatCode>
                <c:ptCount val="18"/>
                <c:pt idx="0">
                  <c:v>0.1</c:v>
                </c:pt>
                <c:pt idx="1">
                  <c:v>0.05</c:v>
                </c:pt>
                <c:pt idx="2" formatCode="0.0E+00">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formatCode="0.0E+00">
                  <c:v>1E-3</c:v>
                </c:pt>
                <c:pt idx="12" formatCode="0.0E+00">
                  <c:v>1E-4</c:v>
                </c:pt>
                <c:pt idx="13" formatCode="0.0E+00">
                  <c:v>1.0000000000000001E-5</c:v>
                </c:pt>
                <c:pt idx="14" formatCode="0.0E+00">
                  <c:v>9.9999999999999995E-7</c:v>
                </c:pt>
                <c:pt idx="15" formatCode="0.0E+00">
                  <c:v>9.9999999999999995E-8</c:v>
                </c:pt>
                <c:pt idx="16">
                  <c:v>0</c:v>
                </c:pt>
                <c:pt idx="17">
                  <c:v>0</c:v>
                </c:pt>
              </c:numCache>
            </c:numRef>
          </c:xVal>
          <c:yVal>
            <c:numRef>
              <c:f>Pop_10k!$I$16:$I$33</c:f>
              <c:numCache>
                <c:formatCode>#,##0</c:formatCode>
                <c:ptCount val="18"/>
                <c:pt idx="0">
                  <c:v>182.72</c:v>
                </c:pt>
                <c:pt idx="1">
                  <c:v>331.58</c:v>
                </c:pt>
                <c:pt idx="2">
                  <c:v>1315.43</c:v>
                </c:pt>
                <c:pt idx="3">
                  <c:v>1437.75</c:v>
                </c:pt>
                <c:pt idx="4">
                  <c:v>1587.97</c:v>
                </c:pt>
                <c:pt idx="5">
                  <c:v>1775.35</c:v>
                </c:pt>
                <c:pt idx="6">
                  <c:v>2019.92</c:v>
                </c:pt>
                <c:pt idx="7">
                  <c:v>2351.69</c:v>
                </c:pt>
                <c:pt idx="8">
                  <c:v>2825.1</c:v>
                </c:pt>
                <c:pt idx="9">
                  <c:v>3571.39</c:v>
                </c:pt>
                <c:pt idx="10">
                  <c:v>4943.93</c:v>
                </c:pt>
                <c:pt idx="11">
                  <c:v>8490.66</c:v>
                </c:pt>
                <c:pt idx="12">
                  <c:v>33464.42</c:v>
                </c:pt>
                <c:pt idx="13">
                  <c:v>40360.71</c:v>
                </c:pt>
                <c:pt idx="14">
                  <c:v>40056.019999999997</c:v>
                </c:pt>
                <c:pt idx="15">
                  <c:v>41302.959999999999</c:v>
                </c:pt>
                <c:pt idx="16">
                  <c:v>39104.379999999997</c:v>
                </c:pt>
                <c:pt idx="17">
                  <c:v>40000</c:v>
                </c:pt>
              </c:numCache>
            </c:numRef>
          </c:yVal>
          <c:smooth val="0"/>
          <c:extLst>
            <c:ext xmlns:c16="http://schemas.microsoft.com/office/drawing/2014/chart" uri="{C3380CC4-5D6E-409C-BE32-E72D297353CC}">
              <c16:uniqueId val="{00000000-06C1-4607-96C1-E99BF7CA847A}"/>
            </c:ext>
          </c:extLst>
        </c:ser>
        <c:dLbls>
          <c:showLegendKey val="0"/>
          <c:showVal val="0"/>
          <c:showCatName val="0"/>
          <c:showSerName val="0"/>
          <c:showPercent val="0"/>
          <c:showBubbleSize val="0"/>
        </c:dLbls>
        <c:axId val="672234608"/>
        <c:axId val="672234128"/>
      </c:scatterChart>
      <c:valAx>
        <c:axId val="672234608"/>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672234128"/>
        <c:crosses val="autoZero"/>
        <c:crossBetween val="midCat"/>
        <c:minorUnit val="5.000000000000001E-3"/>
      </c:valAx>
      <c:valAx>
        <c:axId val="672234128"/>
        <c:scaling>
          <c:orientation val="minMax"/>
          <c:max val="4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672234608"/>
        <c:crosses val="autoZero"/>
        <c:crossBetween val="midCat"/>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N=10</a:t>
            </a:r>
            <a:r>
              <a:rPr lang="en-US" sz="1200" b="0" i="0" u="none" strike="noStrike" kern="1200" spc="0" baseline="30000">
                <a:solidFill>
                  <a:sysClr val="windowText" lastClr="000000">
                    <a:lumMod val="65000"/>
                    <a:lumOff val="35000"/>
                  </a:sysClr>
                </a:solidFill>
              </a:rPr>
              <a:t>4</a:t>
            </a:r>
            <a:r>
              <a:rPr lang="en-US" sz="1200" b="0" i="0" u="none" strike="noStrike" kern="1200" spc="0" baseline="0">
                <a:solidFill>
                  <a:sysClr val="windowText" lastClr="000000">
                    <a:lumMod val="65000"/>
                    <a:lumOff val="35000"/>
                  </a:sysClr>
                </a:solidFill>
              </a:rPr>
              <a:t>, attempts=10</a:t>
            </a:r>
            <a:r>
              <a:rPr lang="en-US" sz="1200" b="0" i="0" u="none" strike="noStrike" kern="1200" spc="0" baseline="30000">
                <a:solidFill>
                  <a:sysClr val="windowText" lastClr="000000">
                    <a:lumMod val="65000"/>
                    <a:lumOff val="35000"/>
                  </a:sysClr>
                </a:solidFill>
              </a:rPr>
              <a:t>6</a:t>
            </a:r>
            <a:r>
              <a:rPr lang="en-US" sz="1200" b="0" i="0" u="none" strike="noStrike" kern="1200" spc="0" baseline="0">
                <a:solidFill>
                  <a:sysClr val="windowText" lastClr="000000">
                    <a:lumMod val="65000"/>
                    <a:lumOff val="35000"/>
                  </a:sysClr>
                </a:solidFill>
              </a:rPr>
              <a:t>,</a:t>
            </a:r>
          </a:p>
          <a:p>
            <a:pPr>
              <a:defRPr sz="1200"/>
            </a:pPr>
            <a:r>
              <a:rPr lang="en-US" sz="1200" b="0" i="0" u="none" strike="noStrike" kern="1200" spc="0" baseline="0">
                <a:solidFill>
                  <a:sysClr val="windowText" lastClr="000000">
                    <a:lumMod val="65000"/>
                    <a:lumOff val="35000"/>
                  </a:sysClr>
                </a:solidFill>
              </a:rPr>
              <a:t>reps=20, s=0 - 1</a:t>
            </a:r>
          </a:p>
        </c:rich>
      </c:tx>
      <c:layout>
        <c:manualLayout>
          <c:xMode val="edge"/>
          <c:yMode val="edge"/>
          <c:x val="0.35558111111111113"/>
          <c:y val="2.742722222222222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3105861111111109"/>
          <c:y val="2.5428331875182269E-2"/>
          <c:w val="0.7108105555555555"/>
          <c:h val="0.68660611111111114"/>
        </c:manualLayout>
      </c:layout>
      <c:scatterChart>
        <c:scatterStyle val="lineMarker"/>
        <c:varyColors val="0"/>
        <c:ser>
          <c:idx val="0"/>
          <c:order val="0"/>
          <c:tx>
            <c:strRef>
              <c:f>Pop_10k!$I$2</c:f>
              <c:strCache>
                <c:ptCount val="1"/>
                <c:pt idx="0">
                  <c:v>Gen</c:v>
                </c:pt>
              </c:strCache>
            </c:strRef>
          </c:tx>
          <c:spPr>
            <a:ln w="19050" cap="rnd">
              <a:noFill/>
              <a:round/>
            </a:ln>
            <a:effectLst/>
          </c:spPr>
          <c:marker>
            <c:symbol val="circle"/>
            <c:size val="5"/>
            <c:spPr>
              <a:solidFill>
                <a:srgbClr val="FF0000"/>
              </a:solidFill>
              <a:ln w="9525">
                <a:noFill/>
              </a:ln>
              <a:effectLst/>
            </c:spPr>
          </c:marker>
          <c:xVal>
            <c:numRef>
              <c:f>Pop_10k!$D$3:$D$33</c:f>
              <c:numCache>
                <c:formatCode>General</c:formatCode>
                <c:ptCount val="31"/>
                <c:pt idx="0">
                  <c:v>1</c:v>
                </c:pt>
                <c:pt idx="1">
                  <c:v>0.9</c:v>
                </c:pt>
                <c:pt idx="2">
                  <c:v>0.8</c:v>
                </c:pt>
                <c:pt idx="3">
                  <c:v>0.7</c:v>
                </c:pt>
                <c:pt idx="4">
                  <c:v>0.6</c:v>
                </c:pt>
                <c:pt idx="5">
                  <c:v>0.5</c:v>
                </c:pt>
                <c:pt idx="6">
                  <c:v>0.45</c:v>
                </c:pt>
                <c:pt idx="7">
                  <c:v>0.4</c:v>
                </c:pt>
                <c:pt idx="8">
                  <c:v>0.35</c:v>
                </c:pt>
                <c:pt idx="9">
                  <c:v>0.3</c:v>
                </c:pt>
                <c:pt idx="10">
                  <c:v>0.25</c:v>
                </c:pt>
                <c:pt idx="11">
                  <c:v>0.2</c:v>
                </c:pt>
                <c:pt idx="12">
                  <c:v>0.15</c:v>
                </c:pt>
                <c:pt idx="13">
                  <c:v>0.1</c:v>
                </c:pt>
                <c:pt idx="14">
                  <c:v>0.05</c:v>
                </c:pt>
                <c:pt idx="15" formatCode="0.0E+00">
                  <c:v>0.01</c:v>
                </c:pt>
                <c:pt idx="16">
                  <c:v>8.9999999999999993E-3</c:v>
                </c:pt>
                <c:pt idx="17">
                  <c:v>8.0000000000000002E-3</c:v>
                </c:pt>
                <c:pt idx="18">
                  <c:v>7.0000000000000001E-3</c:v>
                </c:pt>
                <c:pt idx="19">
                  <c:v>6.0000000000000001E-3</c:v>
                </c:pt>
                <c:pt idx="20">
                  <c:v>5.0000000000000001E-3</c:v>
                </c:pt>
                <c:pt idx="21">
                  <c:v>4.0000000000000001E-3</c:v>
                </c:pt>
                <c:pt idx="22">
                  <c:v>3.0000000000000001E-3</c:v>
                </c:pt>
                <c:pt idx="23">
                  <c:v>2E-3</c:v>
                </c:pt>
                <c:pt idx="24" formatCode="0.0E+00">
                  <c:v>1E-3</c:v>
                </c:pt>
                <c:pt idx="25" formatCode="0.0E+00">
                  <c:v>1E-4</c:v>
                </c:pt>
                <c:pt idx="26" formatCode="0.0E+00">
                  <c:v>1.0000000000000001E-5</c:v>
                </c:pt>
                <c:pt idx="27" formatCode="0.0E+00">
                  <c:v>9.9999999999999995E-7</c:v>
                </c:pt>
                <c:pt idx="28" formatCode="0.0E+00">
                  <c:v>9.9999999999999995E-8</c:v>
                </c:pt>
                <c:pt idx="29">
                  <c:v>0</c:v>
                </c:pt>
                <c:pt idx="30">
                  <c:v>0</c:v>
                </c:pt>
              </c:numCache>
            </c:numRef>
          </c:xVal>
          <c:yVal>
            <c:numRef>
              <c:f>Pop_10k!$I$3:$I$33</c:f>
              <c:numCache>
                <c:formatCode>#,##0</c:formatCode>
                <c:ptCount val="31"/>
                <c:pt idx="0">
                  <c:v>29.49</c:v>
                </c:pt>
                <c:pt idx="1">
                  <c:v>31.71</c:v>
                </c:pt>
                <c:pt idx="2">
                  <c:v>34.46</c:v>
                </c:pt>
                <c:pt idx="3">
                  <c:v>37.93</c:v>
                </c:pt>
                <c:pt idx="4">
                  <c:v>42.49</c:v>
                </c:pt>
                <c:pt idx="5">
                  <c:v>48.76</c:v>
                </c:pt>
                <c:pt idx="6">
                  <c:v>52.88</c:v>
                </c:pt>
                <c:pt idx="7">
                  <c:v>57.98</c:v>
                </c:pt>
                <c:pt idx="8">
                  <c:v>64.44</c:v>
                </c:pt>
                <c:pt idx="9">
                  <c:v>72.92</c:v>
                </c:pt>
                <c:pt idx="10">
                  <c:v>84.59</c:v>
                </c:pt>
                <c:pt idx="11">
                  <c:v>101.72</c:v>
                </c:pt>
                <c:pt idx="12">
                  <c:v>129.46</c:v>
                </c:pt>
                <c:pt idx="13">
                  <c:v>182.72</c:v>
                </c:pt>
                <c:pt idx="14">
                  <c:v>331.58</c:v>
                </c:pt>
                <c:pt idx="15">
                  <c:v>1315.43</c:v>
                </c:pt>
                <c:pt idx="16">
                  <c:v>1437.75</c:v>
                </c:pt>
                <c:pt idx="17">
                  <c:v>1587.97</c:v>
                </c:pt>
                <c:pt idx="18">
                  <c:v>1775.35</c:v>
                </c:pt>
                <c:pt idx="19">
                  <c:v>2019.92</c:v>
                </c:pt>
                <c:pt idx="20">
                  <c:v>2351.69</c:v>
                </c:pt>
                <c:pt idx="21">
                  <c:v>2825.1</c:v>
                </c:pt>
                <c:pt idx="22">
                  <c:v>3571.39</c:v>
                </c:pt>
                <c:pt idx="23">
                  <c:v>4943.93</c:v>
                </c:pt>
                <c:pt idx="24">
                  <c:v>8490.66</c:v>
                </c:pt>
                <c:pt idx="25">
                  <c:v>33464.42</c:v>
                </c:pt>
                <c:pt idx="26">
                  <c:v>40360.71</c:v>
                </c:pt>
                <c:pt idx="27">
                  <c:v>40056.019999999997</c:v>
                </c:pt>
                <c:pt idx="28">
                  <c:v>41302.959999999999</c:v>
                </c:pt>
                <c:pt idx="29">
                  <c:v>39104.379999999997</c:v>
                </c:pt>
                <c:pt idx="30">
                  <c:v>40000</c:v>
                </c:pt>
              </c:numCache>
            </c:numRef>
          </c:yVal>
          <c:smooth val="0"/>
          <c:extLst>
            <c:ext xmlns:c16="http://schemas.microsoft.com/office/drawing/2014/chart" uri="{C3380CC4-5D6E-409C-BE32-E72D297353CC}">
              <c16:uniqueId val="{00000000-AE5E-49A8-A7C4-4A9E805D9760}"/>
            </c:ext>
          </c:extLst>
        </c:ser>
        <c:dLbls>
          <c:showLegendKey val="0"/>
          <c:showVal val="0"/>
          <c:showCatName val="0"/>
          <c:showSerName val="0"/>
          <c:showPercent val="0"/>
          <c:showBubbleSize val="0"/>
        </c:dLbls>
        <c:axId val="672234608"/>
        <c:axId val="672234128"/>
      </c:scatterChart>
      <c:valAx>
        <c:axId val="672234608"/>
        <c:scaling>
          <c:orientation val="minMax"/>
          <c:max val="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672234128"/>
        <c:crosses val="autoZero"/>
        <c:crossBetween val="midCat"/>
        <c:minorUnit val="0.1"/>
      </c:valAx>
      <c:valAx>
        <c:axId val="672234128"/>
        <c:scaling>
          <c:orientation val="minMax"/>
          <c:max val="4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Generations</a:t>
                </a:r>
              </a:p>
            </c:rich>
          </c:tx>
          <c:layout>
            <c:manualLayout>
              <c:xMode val="edge"/>
              <c:yMode val="edge"/>
              <c:x val="5.080833333333333E-3"/>
              <c:y val="0.222787777777777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672234608"/>
        <c:crosses val="autoZero"/>
        <c:crossBetween val="midCat"/>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4</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116253577673528"/>
          <c:y val="3.1702855324902572E-2"/>
          <c:w val="0.75465145512303922"/>
          <c:h val="0.71380486530092835"/>
        </c:manualLayout>
      </c:layout>
      <c:scatterChart>
        <c:scatterStyle val="lineMarker"/>
        <c:varyColors val="0"/>
        <c:ser>
          <c:idx val="0"/>
          <c:order val="0"/>
          <c:tx>
            <c:strRef>
              <c:f>Pop_10k!$I$63</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Pop_10k!$D$72:$D$83</c:f>
              <c:numCache>
                <c:formatCode>General</c:formatCode>
                <c:ptCount val="12"/>
                <c:pt idx="0">
                  <c:v>0.1</c:v>
                </c:pt>
                <c:pt idx="1">
                  <c:v>0.05</c:v>
                </c:pt>
                <c:pt idx="2">
                  <c:v>0.01</c:v>
                </c:pt>
                <c:pt idx="3">
                  <c:v>8.9999999999999993E-3</c:v>
                </c:pt>
                <c:pt idx="4">
                  <c:v>8.0000000000000002E-3</c:v>
                </c:pt>
                <c:pt idx="5">
                  <c:v>7.0000000000000001E-3</c:v>
                </c:pt>
                <c:pt idx="6">
                  <c:v>6.0000000000000001E-3</c:v>
                </c:pt>
                <c:pt idx="7">
                  <c:v>5.0000000000000001E-3</c:v>
                </c:pt>
                <c:pt idx="8">
                  <c:v>4.0000000000000001E-3</c:v>
                </c:pt>
                <c:pt idx="9">
                  <c:v>3.0000000000000001E-3</c:v>
                </c:pt>
                <c:pt idx="10">
                  <c:v>2E-3</c:v>
                </c:pt>
                <c:pt idx="11">
                  <c:v>1E-3</c:v>
                </c:pt>
              </c:numCache>
            </c:numRef>
          </c:xVal>
          <c:yVal>
            <c:numRef>
              <c:f>Pop_10k!$I$72:$I$83</c:f>
              <c:numCache>
                <c:formatCode>#,##0</c:formatCode>
                <c:ptCount val="12"/>
                <c:pt idx="0">
                  <c:v>182.75</c:v>
                </c:pt>
                <c:pt idx="1">
                  <c:v>331.61</c:v>
                </c:pt>
                <c:pt idx="2">
                  <c:v>1316.79</c:v>
                </c:pt>
                <c:pt idx="3">
                  <c:v>1438.02</c:v>
                </c:pt>
                <c:pt idx="4">
                  <c:v>1591.02</c:v>
                </c:pt>
                <c:pt idx="5">
                  <c:v>1769.97</c:v>
                </c:pt>
                <c:pt idx="6">
                  <c:v>2020.01</c:v>
                </c:pt>
                <c:pt idx="7">
                  <c:v>2356.8000000000002</c:v>
                </c:pt>
                <c:pt idx="8">
                  <c:v>2839.09</c:v>
                </c:pt>
                <c:pt idx="9">
                  <c:v>3582.75</c:v>
                </c:pt>
                <c:pt idx="10">
                  <c:v>4964.72</c:v>
                </c:pt>
                <c:pt idx="11">
                  <c:v>8537.2999999999993</c:v>
                </c:pt>
              </c:numCache>
            </c:numRef>
          </c:yVal>
          <c:smooth val="0"/>
          <c:extLst>
            <c:ext xmlns:c16="http://schemas.microsoft.com/office/drawing/2014/chart" uri="{C3380CC4-5D6E-409C-BE32-E72D297353CC}">
              <c16:uniqueId val="{00000000-0038-4C27-B4E2-BCE0D3D4F658}"/>
            </c:ext>
          </c:extLst>
        </c:ser>
        <c:dLbls>
          <c:showLegendKey val="0"/>
          <c:showVal val="0"/>
          <c:showCatName val="0"/>
          <c:showSerName val="0"/>
          <c:showPercent val="0"/>
          <c:showBubbleSize val="0"/>
        </c:dLbls>
        <c:axId val="736557104"/>
        <c:axId val="736558544"/>
      </c:scatterChart>
      <c:valAx>
        <c:axId val="736557104"/>
        <c:scaling>
          <c:orientation val="minMax"/>
          <c:max val="0.1"/>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Selection coefficient, s</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736558544"/>
        <c:crosses val="autoZero"/>
        <c:crossBetween val="midCat"/>
      </c:valAx>
      <c:valAx>
        <c:axId val="736558544"/>
        <c:scaling>
          <c:orientation val="minMax"/>
          <c:max val="4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736557104"/>
        <c:crosses val="autoZero"/>
        <c:crossBetween val="midCat"/>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 attempts=10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a:t>
            </a:r>
          </a:p>
          <a:p>
            <a:pPr>
              <a:defRPr sz="1100"/>
            </a:pPr>
            <a:r>
              <a:rPr lang="en-US" sz="1100" b="0" i="0" u="none" strike="noStrike" kern="1200" spc="0" baseline="0">
                <a:solidFill>
                  <a:sysClr val="windowText" lastClr="000000">
                    <a:lumMod val="65000"/>
                    <a:lumOff val="35000"/>
                  </a:sysClr>
                </a:solidFill>
              </a:rPr>
              <a:t>reps=20, s=0 - 0.01</a:t>
            </a:r>
          </a:p>
        </c:rich>
      </c:tx>
      <c:layout>
        <c:manualLayout>
          <c:xMode val="edge"/>
          <c:yMode val="edge"/>
          <c:x val="0.25767333333333331"/>
          <c:y val="5.025944444444444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6431777777777781"/>
          <c:y val="6.141722222222222E-2"/>
          <c:w val="0.78065861111111112"/>
          <c:h val="0.70603333333333329"/>
        </c:manualLayout>
      </c:layout>
      <c:scatterChart>
        <c:scatterStyle val="lineMarker"/>
        <c:varyColors val="0"/>
        <c:ser>
          <c:idx val="0"/>
          <c:order val="0"/>
          <c:tx>
            <c:strRef>
              <c:f>Pop_10k!$L$2</c:f>
              <c:strCache>
                <c:ptCount val="1"/>
                <c:pt idx="0">
                  <c:v>Kimura</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3083333333333332E-3"/>
                  <c:y val="0.36191611111111111"/>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Kimura = 1.0032(sim) - 5E-06</a:t>
                    </a:r>
                    <a:br>
                      <a:rPr lang="en-US" sz="1000" baseline="0"/>
                    </a:br>
                    <a:r>
                      <a:rPr lang="en-US" sz="1000" baseline="0"/>
                      <a:t>R² = 1</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Pop_10k!$G$18:$G$32</c:f>
              <c:numCache>
                <c:formatCode>0.00000</c:formatCode>
                <c:ptCount val="15"/>
                <c:pt idx="0">
                  <c:v>1.97156E-2</c:v>
                </c:pt>
                <c:pt idx="1">
                  <c:v>1.7790400000000001E-2</c:v>
                </c:pt>
                <c:pt idx="2">
                  <c:v>1.580295E-2</c:v>
                </c:pt>
                <c:pt idx="3">
                  <c:v>1.39011E-2</c:v>
                </c:pt>
                <c:pt idx="4">
                  <c:v>1.191395E-2</c:v>
                </c:pt>
                <c:pt idx="5">
                  <c:v>9.92525E-3</c:v>
                </c:pt>
                <c:pt idx="6">
                  <c:v>7.9745500000000004E-3</c:v>
                </c:pt>
                <c:pt idx="7">
                  <c:v>5.9617999999999997E-3</c:v>
                </c:pt>
                <c:pt idx="8">
                  <c:v>3.9671000000000003E-3</c:v>
                </c:pt>
                <c:pt idx="9">
                  <c:v>2.0051499999999998E-3</c:v>
                </c:pt>
                <c:pt idx="10">
                  <c:v>2.106E-4</c:v>
                </c:pt>
                <c:pt idx="11">
                  <c:v>6.1849999999999999E-5</c:v>
                </c:pt>
                <c:pt idx="12" formatCode="0.000000">
                  <c:v>5.1249999999999999E-5</c:v>
                </c:pt>
                <c:pt idx="13" formatCode="0.000000">
                  <c:v>4.905E-5</c:v>
                </c:pt>
                <c:pt idx="14">
                  <c:v>4.9200000000000003E-5</c:v>
                </c:pt>
              </c:numCache>
            </c:numRef>
          </c:xVal>
          <c:yVal>
            <c:numRef>
              <c:f>Pop_10k!$L$18:$L$32</c:f>
              <c:numCache>
                <c:formatCode>0.00000</c:formatCode>
                <c:ptCount val="15"/>
                <c:pt idx="0">
                  <c:v>1.9801326693244747E-2</c:v>
                </c:pt>
                <c:pt idx="1">
                  <c:v>1.7838967641699233E-2</c:v>
                </c:pt>
                <c:pt idx="2">
                  <c:v>1.5872679944714863E-2</c:v>
                </c:pt>
                <c:pt idx="3">
                  <c:v>1.3902455737138109E-2</c:v>
                </c:pt>
                <c:pt idx="4">
                  <c:v>1.1928287138069482E-2</c:v>
                </c:pt>
                <c:pt idx="5">
                  <c:v>9.9501662508318933E-3</c:v>
                </c:pt>
                <c:pt idx="6">
                  <c:v>7.9680851629393423E-3</c:v>
                </c:pt>
                <c:pt idx="7">
                  <c:v>5.9820359460647232E-3</c:v>
                </c:pt>
                <c:pt idx="8">
                  <c:v>3.9920106560085156E-3</c:v>
                </c:pt>
                <c:pt idx="9">
                  <c:v>1.998001332666921E-3</c:v>
                </c:pt>
                <c:pt idx="10">
                  <c:v>2.037111002836779E-4</c:v>
                </c:pt>
                <c:pt idx="11" formatCode="0.000000">
                  <c:v>6.0664288989489959E-5</c:v>
                </c:pt>
                <c:pt idx="12" formatCode="0.000000">
                  <c:v>5.1006615481992777E-5</c:v>
                </c:pt>
                <c:pt idx="13" formatCode="0.000000">
                  <c:v>5.0100061662087421E-5</c:v>
                </c:pt>
                <c:pt idx="14" formatCode="0.000000">
                  <c:v>5.0000000000000002E-5</c:v>
                </c:pt>
              </c:numCache>
            </c:numRef>
          </c:yVal>
          <c:smooth val="0"/>
          <c:extLst>
            <c:ext xmlns:c16="http://schemas.microsoft.com/office/drawing/2014/chart" uri="{C3380CC4-5D6E-409C-BE32-E72D297353CC}">
              <c16:uniqueId val="{00000000-64DF-4596-9097-AEFDD1762637}"/>
            </c:ext>
          </c:extLst>
        </c:ser>
        <c:dLbls>
          <c:showLegendKey val="0"/>
          <c:showVal val="0"/>
          <c:showCatName val="0"/>
          <c:showSerName val="0"/>
          <c:showPercent val="0"/>
          <c:showBubbleSize val="0"/>
        </c:dLbls>
        <c:axId val="1436773024"/>
        <c:axId val="1436766784"/>
      </c:scatterChart>
      <c:valAx>
        <c:axId val="1436773024"/>
        <c:scaling>
          <c:orientation val="minMax"/>
          <c:max val="2.0000000000000004E-2"/>
          <c:min val="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fix(simulation)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436766784"/>
        <c:crosses val="autoZero"/>
        <c:crossBetween val="midCat"/>
        <c:majorUnit val="1.0000000000000002E-2"/>
        <c:minorUnit val="5.000000000000001E-3"/>
      </c:valAx>
      <c:valAx>
        <c:axId val="1436766784"/>
        <c:scaling>
          <c:orientation val="minMax"/>
          <c:max val="2.0000000000000004E-2"/>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r>
                  <a:rPr lang="en-US" sz="1100" b="0" i="0" u="none" strike="noStrike" kern="1200" baseline="0">
                    <a:solidFill>
                      <a:sysClr val="windowText" lastClr="000000">
                        <a:lumMod val="65000"/>
                        <a:lumOff val="35000"/>
                      </a:sysClr>
                    </a:solidFill>
                  </a:rPr>
                  <a:t>Prob. fixation (Kimura)</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436773024"/>
        <c:crosses val="autoZero"/>
        <c:crossBetween val="midCat"/>
        <c:majorUnit val="1.0000000000000002E-2"/>
        <c:min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a:t>
            </a:r>
            <a:r>
              <a:rPr lang="en-US" sz="1100" b="0" i="0" u="none" strike="noStrike" kern="1200" spc="0" baseline="30000">
                <a:solidFill>
                  <a:sysClr val="windowText" lastClr="000000">
                    <a:lumMod val="65000"/>
                    <a:lumOff val="35000"/>
                  </a:sysClr>
                </a:solidFill>
              </a:rPr>
              <a:t>4</a:t>
            </a:r>
            <a:r>
              <a:rPr lang="en-US" sz="1100" b="0" i="0" u="none" strike="noStrike" kern="1200" spc="0" baseline="0">
                <a:solidFill>
                  <a:sysClr val="windowText" lastClr="000000">
                    <a:lumMod val="65000"/>
                    <a:lumOff val="35000"/>
                  </a:sysClr>
                </a:solidFill>
              </a:rPr>
              <a:t>, attempts=10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a:t>
            </a:r>
          </a:p>
          <a:p>
            <a:pPr>
              <a:defRPr sz="1100"/>
            </a:pPr>
            <a:r>
              <a:rPr lang="en-US" sz="1100" b="0" i="0" u="none" strike="noStrike" kern="1200" spc="0" baseline="0">
                <a:solidFill>
                  <a:sysClr val="windowText" lastClr="000000">
                    <a:lumMod val="65000"/>
                    <a:lumOff val="35000"/>
                  </a:sysClr>
                </a:solidFill>
              </a:rPr>
              <a:t>reps=20, s=0 - 1</a:t>
            </a:r>
          </a:p>
        </c:rich>
      </c:tx>
      <c:layout>
        <c:manualLayout>
          <c:xMode val="edge"/>
          <c:yMode val="edge"/>
          <c:x val="0.2964788888888889"/>
          <c:y val="1.498166666666666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6336444444444445"/>
          <c:y val="4.2916666666666652E-2"/>
          <c:w val="0.78418638888888892"/>
          <c:h val="0.70603333333333329"/>
        </c:manualLayout>
      </c:layout>
      <c:scatterChart>
        <c:scatterStyle val="lineMarker"/>
        <c:varyColors val="0"/>
        <c:ser>
          <c:idx val="0"/>
          <c:order val="0"/>
          <c:tx>
            <c:strRef>
              <c:f>Pop_10k!$L$2</c:f>
              <c:strCache>
                <c:ptCount val="1"/>
                <c:pt idx="0">
                  <c:v>Kimura</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565111111111111E-2"/>
                  <c:y val="0.4014433333333333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Kimura = 1.0862(sim) - 0.0025</a:t>
                    </a:r>
                    <a:br>
                      <a:rPr lang="en-US" sz="1000" baseline="0"/>
                    </a:br>
                    <a:r>
                      <a:rPr lang="en-US" sz="1000" baseline="0"/>
                      <a:t>R² = 0.9998</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Pop_10k!$G$3:$G$32</c:f>
              <c:numCache>
                <c:formatCode>0.00000</c:formatCode>
                <c:ptCount val="30"/>
                <c:pt idx="0">
                  <c:v>0.79670675000000002</c:v>
                </c:pt>
                <c:pt idx="1">
                  <c:v>0.76731994999999997</c:v>
                </c:pt>
                <c:pt idx="2">
                  <c:v>0.73249580000000003</c:v>
                </c:pt>
                <c:pt idx="3">
                  <c:v>0.69120110000000001</c:v>
                </c:pt>
                <c:pt idx="4">
                  <c:v>0.64206945000000004</c:v>
                </c:pt>
                <c:pt idx="5">
                  <c:v>0.58279119999999995</c:v>
                </c:pt>
                <c:pt idx="6">
                  <c:v>0.54867895</c:v>
                </c:pt>
                <c:pt idx="7">
                  <c:v>0.51115730000000004</c:v>
                </c:pt>
                <c:pt idx="8">
                  <c:v>0.46936359999999999</c:v>
                </c:pt>
                <c:pt idx="9">
                  <c:v>0.42288920000000002</c:v>
                </c:pt>
                <c:pt idx="10">
                  <c:v>0.37138775000000002</c:v>
                </c:pt>
                <c:pt idx="11">
                  <c:v>0.31389735000000002</c:v>
                </c:pt>
                <c:pt idx="12">
                  <c:v>0.24885784999999999</c:v>
                </c:pt>
                <c:pt idx="13">
                  <c:v>0.17616285000000001</c:v>
                </c:pt>
                <c:pt idx="14">
                  <c:v>9.3663499999999997E-2</c:v>
                </c:pt>
                <c:pt idx="15">
                  <c:v>1.97156E-2</c:v>
                </c:pt>
                <c:pt idx="16">
                  <c:v>1.7790400000000001E-2</c:v>
                </c:pt>
                <c:pt idx="17">
                  <c:v>1.580295E-2</c:v>
                </c:pt>
                <c:pt idx="18">
                  <c:v>1.39011E-2</c:v>
                </c:pt>
                <c:pt idx="19">
                  <c:v>1.191395E-2</c:v>
                </c:pt>
                <c:pt idx="20">
                  <c:v>9.92525E-3</c:v>
                </c:pt>
                <c:pt idx="21">
                  <c:v>7.9745500000000004E-3</c:v>
                </c:pt>
                <c:pt idx="22">
                  <c:v>5.9617999999999997E-3</c:v>
                </c:pt>
                <c:pt idx="23">
                  <c:v>3.9671000000000003E-3</c:v>
                </c:pt>
                <c:pt idx="24">
                  <c:v>2.0051499999999998E-3</c:v>
                </c:pt>
                <c:pt idx="25">
                  <c:v>2.106E-4</c:v>
                </c:pt>
                <c:pt idx="26">
                  <c:v>6.1849999999999999E-5</c:v>
                </c:pt>
                <c:pt idx="27" formatCode="0.000000">
                  <c:v>5.1249999999999999E-5</c:v>
                </c:pt>
                <c:pt idx="28" formatCode="0.000000">
                  <c:v>4.905E-5</c:v>
                </c:pt>
                <c:pt idx="29">
                  <c:v>4.9200000000000003E-5</c:v>
                </c:pt>
              </c:numCache>
            </c:numRef>
          </c:xVal>
          <c:yVal>
            <c:numRef>
              <c:f>Pop_10k!$L$3:$L$32</c:f>
              <c:numCache>
                <c:formatCode>0.00000</c:formatCode>
                <c:ptCount val="30"/>
                <c:pt idx="0">
                  <c:v>0.8646647167633873</c:v>
                </c:pt>
                <c:pt idx="1">
                  <c:v>0.83470111177841344</c:v>
                </c:pt>
                <c:pt idx="2">
                  <c:v>0.79810348200534464</c:v>
                </c:pt>
                <c:pt idx="3">
                  <c:v>0.75340303605839354</c:v>
                </c:pt>
                <c:pt idx="4">
                  <c:v>0.69880578808779781</c:v>
                </c:pt>
                <c:pt idx="5">
                  <c:v>0.63212055882855767</c:v>
                </c:pt>
                <c:pt idx="6">
                  <c:v>0.59343034025940089</c:v>
                </c:pt>
                <c:pt idx="7">
                  <c:v>0.55067103588277844</c:v>
                </c:pt>
                <c:pt idx="8">
                  <c:v>0.50341469620859047</c:v>
                </c:pt>
                <c:pt idx="9">
                  <c:v>0.45118836390597361</c:v>
                </c:pt>
                <c:pt idx="10">
                  <c:v>0.39346934028736658</c:v>
                </c:pt>
                <c:pt idx="11">
                  <c:v>0.32967995396436067</c:v>
                </c:pt>
                <c:pt idx="12">
                  <c:v>0.25918177931828212</c:v>
                </c:pt>
                <c:pt idx="13">
                  <c:v>0.18126924692201818</c:v>
                </c:pt>
                <c:pt idx="14">
                  <c:v>9.5162581964040482E-2</c:v>
                </c:pt>
                <c:pt idx="15">
                  <c:v>1.9801326693244747E-2</c:v>
                </c:pt>
                <c:pt idx="16">
                  <c:v>1.7838967641699233E-2</c:v>
                </c:pt>
                <c:pt idx="17">
                  <c:v>1.5872679944714863E-2</c:v>
                </c:pt>
                <c:pt idx="18">
                  <c:v>1.3902455737138109E-2</c:v>
                </c:pt>
                <c:pt idx="19">
                  <c:v>1.1928287138069482E-2</c:v>
                </c:pt>
                <c:pt idx="20">
                  <c:v>9.9501662508318933E-3</c:v>
                </c:pt>
                <c:pt idx="21">
                  <c:v>7.9680851629393423E-3</c:v>
                </c:pt>
                <c:pt idx="22">
                  <c:v>5.9820359460647232E-3</c:v>
                </c:pt>
                <c:pt idx="23">
                  <c:v>3.9920106560085156E-3</c:v>
                </c:pt>
                <c:pt idx="24">
                  <c:v>1.998001332666921E-3</c:v>
                </c:pt>
                <c:pt idx="25">
                  <c:v>2.037111002836779E-4</c:v>
                </c:pt>
                <c:pt idx="26" formatCode="0.000000">
                  <c:v>6.0664288989489959E-5</c:v>
                </c:pt>
                <c:pt idx="27" formatCode="0.000000">
                  <c:v>5.1006615481992777E-5</c:v>
                </c:pt>
                <c:pt idx="28" formatCode="0.000000">
                  <c:v>5.0100061662087421E-5</c:v>
                </c:pt>
                <c:pt idx="29" formatCode="0.000000">
                  <c:v>5.0000000000000002E-5</c:v>
                </c:pt>
              </c:numCache>
            </c:numRef>
          </c:yVal>
          <c:smooth val="0"/>
          <c:extLst>
            <c:ext xmlns:c16="http://schemas.microsoft.com/office/drawing/2014/chart" uri="{C3380CC4-5D6E-409C-BE32-E72D297353CC}">
              <c16:uniqueId val="{00000002-6995-40AB-9050-CA98EBF07BA5}"/>
            </c:ext>
          </c:extLst>
        </c:ser>
        <c:dLbls>
          <c:showLegendKey val="0"/>
          <c:showVal val="0"/>
          <c:showCatName val="0"/>
          <c:showSerName val="0"/>
          <c:showPercent val="0"/>
          <c:showBubbleSize val="0"/>
        </c:dLbls>
        <c:axId val="1436773024"/>
        <c:axId val="1436766784"/>
      </c:scatterChart>
      <c:valAx>
        <c:axId val="1436773024"/>
        <c:scaling>
          <c:orientation val="minMax"/>
          <c:max val="0.9"/>
          <c:min val="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 (simulation)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436766784"/>
        <c:crosses val="autoZero"/>
        <c:crossBetween val="midCat"/>
        <c:majorUnit val="0.1"/>
        <c:minorUnit val="5.000000000000001E-2"/>
      </c:valAx>
      <c:valAx>
        <c:axId val="1436766784"/>
        <c:scaling>
          <c:orientation val="minMax"/>
          <c:max val="1"/>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100" b="0" i="0" u="none" strike="noStrike" kern="1200" baseline="0">
                    <a:solidFill>
                      <a:sysClr val="windowText" lastClr="000000">
                        <a:lumMod val="65000"/>
                        <a:lumOff val="35000"/>
                      </a:sysClr>
                    </a:solidFill>
                  </a:rPr>
                  <a:t>Prob. fixation (Kimura)</a:t>
                </a:r>
              </a:p>
            </c:rich>
          </c:tx>
          <c:layout>
            <c:manualLayout>
              <c:xMode val="edge"/>
              <c:yMode val="edge"/>
              <c:x val="7.0555555555555554E-3"/>
              <c:y val="6.1085555555555553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436773024"/>
        <c:crosses val="autoZero"/>
        <c:crossBetween val="midCat"/>
        <c:majorUnit val="0.2"/>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N=10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 attempts=10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a:t>
            </a:r>
          </a:p>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reps=20, s=0 - 0.5</a:t>
            </a:r>
          </a:p>
        </c:rich>
      </c:tx>
      <c:layout>
        <c:manualLayout>
          <c:xMode val="edge"/>
          <c:yMode val="edge"/>
          <c:x val="0.158689831789287"/>
          <c:y val="3.0441400304414001E-2"/>
        </c:manualLayout>
      </c:layout>
      <c:overlay val="0"/>
      <c:spPr>
        <a:noFill/>
        <a:ln>
          <a:noFill/>
        </a:ln>
        <a:effectLst/>
      </c:spPr>
    </c:title>
    <c:autoTitleDeleted val="0"/>
    <c:plotArea>
      <c:layout>
        <c:manualLayout>
          <c:layoutTarget val="inner"/>
          <c:xMode val="edge"/>
          <c:yMode val="edge"/>
          <c:x val="0.1421007772136402"/>
          <c:y val="5.1704838265079871E-2"/>
          <c:w val="0.81597004186474753"/>
          <c:h val="0.7591283902012248"/>
        </c:manualLayout>
      </c:layout>
      <c:scatterChart>
        <c:scatterStyle val="lineMarker"/>
        <c:varyColors val="0"/>
        <c:ser>
          <c:idx val="1"/>
          <c:order val="0"/>
          <c:tx>
            <c:strRef>
              <c:f>Pop_100k!$G$53</c:f>
              <c:strCache>
                <c:ptCount val="1"/>
                <c:pt idx="0">
                  <c:v>Prob fix</c:v>
                </c:pt>
              </c:strCache>
            </c:strRef>
          </c:tx>
          <c:spPr>
            <a:ln>
              <a:noFill/>
            </a:ln>
          </c:spPr>
          <c:xVal>
            <c:numRef>
              <c:f>Pop_100k!$D$54:$D$68</c:f>
              <c:numCache>
                <c:formatCode>General</c:formatCode>
                <c:ptCount val="15"/>
                <c:pt idx="0">
                  <c:v>0.5</c:v>
                </c:pt>
                <c:pt idx="1">
                  <c:v>0.4</c:v>
                </c:pt>
                <c:pt idx="2">
                  <c:v>0.3</c:v>
                </c:pt>
                <c:pt idx="3">
                  <c:v>0.2</c:v>
                </c:pt>
                <c:pt idx="4">
                  <c:v>0.1</c:v>
                </c:pt>
                <c:pt idx="5">
                  <c:v>0.05</c:v>
                </c:pt>
                <c:pt idx="6">
                  <c:v>0.01</c:v>
                </c:pt>
                <c:pt idx="7">
                  <c:v>8.0000000000000002E-3</c:v>
                </c:pt>
                <c:pt idx="8">
                  <c:v>6.0000000000000001E-3</c:v>
                </c:pt>
                <c:pt idx="9">
                  <c:v>4.0000000000000001E-3</c:v>
                </c:pt>
                <c:pt idx="10">
                  <c:v>2E-3</c:v>
                </c:pt>
                <c:pt idx="11">
                  <c:v>1E-3</c:v>
                </c:pt>
                <c:pt idx="12">
                  <c:v>1E-4</c:v>
                </c:pt>
                <c:pt idx="13" formatCode="0.00E+00">
                  <c:v>1.0000000000000001E-5</c:v>
                </c:pt>
                <c:pt idx="14">
                  <c:v>0</c:v>
                </c:pt>
              </c:numCache>
            </c:numRef>
          </c:xVal>
          <c:yVal>
            <c:numRef>
              <c:f>Pop_100k!$G$54:$G$68</c:f>
              <c:numCache>
                <c:formatCode>General</c:formatCode>
                <c:ptCount val="15"/>
                <c:pt idx="0">
                  <c:v>0.58267100000000005</c:v>
                </c:pt>
                <c:pt idx="1">
                  <c:v>0.51118450000000004</c:v>
                </c:pt>
                <c:pt idx="2">
                  <c:v>0.42290650000000002</c:v>
                </c:pt>
                <c:pt idx="3">
                  <c:v>0.31401099999999998</c:v>
                </c:pt>
                <c:pt idx="4">
                  <c:v>0.17637549999999999</c:v>
                </c:pt>
                <c:pt idx="5">
                  <c:v>9.3626000000000001E-2</c:v>
                </c:pt>
                <c:pt idx="6">
                  <c:v>1.9868500000000001E-2</c:v>
                </c:pt>
                <c:pt idx="7">
                  <c:v>1.5710499999999999E-2</c:v>
                </c:pt>
                <c:pt idx="8">
                  <c:v>1.1993999999999999E-2</c:v>
                </c:pt>
                <c:pt idx="9">
                  <c:v>8.0324999999999997E-3</c:v>
                </c:pt>
                <c:pt idx="10">
                  <c:v>3.9179999999999996E-3</c:v>
                </c:pt>
                <c:pt idx="11">
                  <c:v>1.9530000000000001E-3</c:v>
                </c:pt>
                <c:pt idx="12">
                  <c:v>1.9550000000000001E-4</c:v>
                </c:pt>
                <c:pt idx="13">
                  <c:v>2.1500000000000001E-5</c:v>
                </c:pt>
                <c:pt idx="14">
                  <c:v>5.4999999999999999E-6</c:v>
                </c:pt>
              </c:numCache>
            </c:numRef>
          </c:yVal>
          <c:smooth val="0"/>
          <c:extLst>
            <c:ext xmlns:c16="http://schemas.microsoft.com/office/drawing/2014/chart" uri="{C3380CC4-5D6E-409C-BE32-E72D297353CC}">
              <c16:uniqueId val="{00000004-D6D7-4BC2-9E7D-CF094278380A}"/>
            </c:ext>
          </c:extLst>
        </c:ser>
        <c:ser>
          <c:idx val="0"/>
          <c:order val="1"/>
          <c:tx>
            <c:strRef>
              <c:f>Pop_100k!$G$53</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0"/>
            <c:dispRSqr val="1"/>
            <c:dispEq val="1"/>
            <c:trendlineLbl>
              <c:layout>
                <c:manualLayout>
                  <c:x val="3.0354344082217006E-2"/>
                  <c:y val="0.46579896690995815"/>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100" baseline="0"/>
                      <a:t>Prob = -1.3509s</a:t>
                    </a:r>
                    <a:r>
                      <a:rPr lang="en-US" sz="1100" baseline="30000"/>
                      <a:t>2</a:t>
                    </a:r>
                    <a:r>
                      <a:rPr lang="en-US" sz="1100" baseline="0"/>
                      <a:t> + 1.8316s</a:t>
                    </a:r>
                    <a:r>
                      <a:rPr lang="en-US" sz="1100" b="0" i="0" u="none" strike="noStrike" baseline="0">
                        <a:effectLst/>
                      </a:rPr>
                      <a:t> + 5E-06</a:t>
                    </a:r>
                    <a:br>
                      <a:rPr lang="en-US" sz="1100" baseline="0"/>
                    </a:br>
                    <a:r>
                      <a:rPr lang="en-US" sz="1100" baseline="0"/>
                      <a:t>R² = 0.9998</a:t>
                    </a:r>
                    <a:endParaRPr lang="en-US" sz="1100"/>
                  </a:p>
                </c:rich>
              </c:tx>
              <c:numFmt formatCode="General" sourceLinked="0"/>
              <c:spPr>
                <a:noFill/>
                <a:ln>
                  <a:noFill/>
                </a:ln>
                <a:effectLst/>
              </c:spPr>
            </c:trendlineLbl>
          </c:trendline>
          <c:xVal>
            <c:numRef>
              <c:f>Pop_100k!$D$54:$D$68</c:f>
              <c:numCache>
                <c:formatCode>General</c:formatCode>
                <c:ptCount val="15"/>
                <c:pt idx="0">
                  <c:v>0.5</c:v>
                </c:pt>
                <c:pt idx="1">
                  <c:v>0.4</c:v>
                </c:pt>
                <c:pt idx="2">
                  <c:v>0.3</c:v>
                </c:pt>
                <c:pt idx="3">
                  <c:v>0.2</c:v>
                </c:pt>
                <c:pt idx="4">
                  <c:v>0.1</c:v>
                </c:pt>
                <c:pt idx="5">
                  <c:v>0.05</c:v>
                </c:pt>
                <c:pt idx="6">
                  <c:v>0.01</c:v>
                </c:pt>
                <c:pt idx="7">
                  <c:v>8.0000000000000002E-3</c:v>
                </c:pt>
                <c:pt idx="8">
                  <c:v>6.0000000000000001E-3</c:v>
                </c:pt>
                <c:pt idx="9">
                  <c:v>4.0000000000000001E-3</c:v>
                </c:pt>
                <c:pt idx="10">
                  <c:v>2E-3</c:v>
                </c:pt>
                <c:pt idx="11">
                  <c:v>1E-3</c:v>
                </c:pt>
                <c:pt idx="12">
                  <c:v>1E-4</c:v>
                </c:pt>
                <c:pt idx="13" formatCode="0.00E+00">
                  <c:v>1.0000000000000001E-5</c:v>
                </c:pt>
                <c:pt idx="14">
                  <c:v>0</c:v>
                </c:pt>
              </c:numCache>
            </c:numRef>
          </c:xVal>
          <c:yVal>
            <c:numRef>
              <c:f>Pop_100k!$G$54:$G$68</c:f>
              <c:numCache>
                <c:formatCode>General</c:formatCode>
                <c:ptCount val="15"/>
                <c:pt idx="0">
                  <c:v>0.58267100000000005</c:v>
                </c:pt>
                <c:pt idx="1">
                  <c:v>0.51118450000000004</c:v>
                </c:pt>
                <c:pt idx="2">
                  <c:v>0.42290650000000002</c:v>
                </c:pt>
                <c:pt idx="3">
                  <c:v>0.31401099999999998</c:v>
                </c:pt>
                <c:pt idx="4">
                  <c:v>0.17637549999999999</c:v>
                </c:pt>
                <c:pt idx="5">
                  <c:v>9.3626000000000001E-2</c:v>
                </c:pt>
                <c:pt idx="6">
                  <c:v>1.9868500000000001E-2</c:v>
                </c:pt>
                <c:pt idx="7">
                  <c:v>1.5710499999999999E-2</c:v>
                </c:pt>
                <c:pt idx="8">
                  <c:v>1.1993999999999999E-2</c:v>
                </c:pt>
                <c:pt idx="9">
                  <c:v>8.0324999999999997E-3</c:v>
                </c:pt>
                <c:pt idx="10">
                  <c:v>3.9179999999999996E-3</c:v>
                </c:pt>
                <c:pt idx="11">
                  <c:v>1.9530000000000001E-3</c:v>
                </c:pt>
                <c:pt idx="12">
                  <c:v>1.9550000000000001E-4</c:v>
                </c:pt>
                <c:pt idx="13">
                  <c:v>2.1500000000000001E-5</c:v>
                </c:pt>
                <c:pt idx="14">
                  <c:v>5.4999999999999999E-6</c:v>
                </c:pt>
              </c:numCache>
            </c:numRef>
          </c:yVal>
          <c:smooth val="0"/>
          <c:extLst>
            <c:ext xmlns:c16="http://schemas.microsoft.com/office/drawing/2014/chart" uri="{C3380CC4-5D6E-409C-BE32-E72D297353CC}">
              <c16:uniqueId val="{00000003-D6D7-4BC2-9E7D-CF094278380A}"/>
            </c:ext>
          </c:extLst>
        </c:ser>
        <c:dLbls>
          <c:showLegendKey val="0"/>
          <c:showVal val="0"/>
          <c:showCatName val="0"/>
          <c:showSerName val="0"/>
          <c:showPercent val="0"/>
          <c:showBubbleSize val="0"/>
        </c:dLbls>
        <c:axId val="1437680655"/>
        <c:axId val="1437699855"/>
      </c:scatterChart>
      <c:valAx>
        <c:axId val="1437680655"/>
        <c:scaling>
          <c:orientation val="minMax"/>
          <c:max val="0.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Selection</a:t>
                </a:r>
                <a:r>
                  <a:rPr lang="en-US" sz="1200" baseline="0"/>
                  <a:t> coefficient, s</a:t>
                </a:r>
                <a:endParaRPr lang="en-US" sz="1200"/>
              </a:p>
            </c:rich>
          </c:tx>
          <c:overlay val="0"/>
          <c:spPr>
            <a:noFill/>
            <a:ln>
              <a:noFill/>
            </a:ln>
            <a:effectLst/>
          </c:sp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99855"/>
        <c:crosses val="autoZero"/>
        <c:crossBetween val="midCat"/>
      </c:valAx>
      <c:valAx>
        <c:axId val="1437699855"/>
        <c:scaling>
          <c:orientation val="minMax"/>
          <c:max val="0.60000000000000009"/>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 </a:t>
                </a:r>
              </a:p>
            </c:rich>
          </c:tx>
          <c:overlay val="0"/>
          <c:spPr>
            <a:noFill/>
            <a:ln>
              <a:noFill/>
            </a:ln>
            <a:effectLst/>
          </c:sp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80655"/>
        <c:crosses val="autoZero"/>
        <c:crossBetween val="midCat"/>
        <c:minorUnit val="5.000000000000001E-2"/>
      </c:valAx>
    </c:plotArea>
    <c:plotVisOnly val="1"/>
    <c:dispBlanksAs val="gap"/>
    <c:showDLblsOverMax val="0"/>
    <c:extLst/>
  </c:chart>
  <c:txPr>
    <a:bodyPr/>
    <a:lstStyle/>
    <a:p>
      <a:pPr>
        <a:defRPr/>
      </a:pPr>
      <a:endParaRPr lang="en-D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N=10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 attempts=10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a:t>
            </a:r>
          </a:p>
          <a:p>
            <a:pPr>
              <a:defRPr/>
            </a:pPr>
            <a:r>
              <a:rPr lang="en-US" sz="1300" b="0" i="0" u="none" strike="noStrike" kern="1200" spc="0" baseline="0">
                <a:solidFill>
                  <a:sysClr val="windowText" lastClr="000000">
                    <a:lumMod val="65000"/>
                    <a:lumOff val="35000"/>
                  </a:sysClr>
                </a:solidFill>
              </a:rPr>
              <a:t>reps=20, s=0 - 0.1</a:t>
            </a:r>
          </a:p>
        </c:rich>
      </c:tx>
      <c:layout>
        <c:manualLayout>
          <c:xMode val="edge"/>
          <c:yMode val="edge"/>
          <c:x val="0.18381320194950568"/>
          <c:y val="9.7412480974124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421007772136402"/>
          <c:y val="5.1704838265079871E-2"/>
          <c:w val="0.81597004186474753"/>
          <c:h val="0.7591283902012248"/>
        </c:manualLayout>
      </c:layout>
      <c:scatterChart>
        <c:scatterStyle val="lineMarker"/>
        <c:varyColors val="0"/>
        <c:ser>
          <c:idx val="0"/>
          <c:order val="0"/>
          <c:tx>
            <c:strRef>
              <c:f>Pop_100k!$G$53</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1.1601401482759198E-2"/>
                  <c:y val="0.46579896690995815"/>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1.8815s</a:t>
                    </a:r>
                    <a:r>
                      <a:rPr lang="en-US" sz="1200" b="0" i="0" u="none" strike="noStrike" baseline="0">
                        <a:effectLst/>
                      </a:rPr>
                      <a:t> + 5E-06</a:t>
                    </a:r>
                    <a:br>
                      <a:rPr lang="en-US" sz="1200" baseline="0"/>
                    </a:br>
                    <a:r>
                      <a:rPr lang="en-US" sz="1200" baseline="0"/>
                      <a:t>R² = 0.9997</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Pop_100k!$D$58:$D$68</c:f>
              <c:numCache>
                <c:formatCode>General</c:formatCode>
                <c:ptCount val="11"/>
                <c:pt idx="0">
                  <c:v>0.1</c:v>
                </c:pt>
                <c:pt idx="1">
                  <c:v>0.05</c:v>
                </c:pt>
                <c:pt idx="2">
                  <c:v>0.01</c:v>
                </c:pt>
                <c:pt idx="3">
                  <c:v>8.0000000000000002E-3</c:v>
                </c:pt>
                <c:pt idx="4">
                  <c:v>6.0000000000000001E-3</c:v>
                </c:pt>
                <c:pt idx="5">
                  <c:v>4.0000000000000001E-3</c:v>
                </c:pt>
                <c:pt idx="6">
                  <c:v>2E-3</c:v>
                </c:pt>
                <c:pt idx="7">
                  <c:v>1E-3</c:v>
                </c:pt>
                <c:pt idx="8">
                  <c:v>1E-4</c:v>
                </c:pt>
                <c:pt idx="9" formatCode="0.00E+00">
                  <c:v>1.0000000000000001E-5</c:v>
                </c:pt>
                <c:pt idx="10">
                  <c:v>0</c:v>
                </c:pt>
              </c:numCache>
            </c:numRef>
          </c:xVal>
          <c:yVal>
            <c:numRef>
              <c:f>Pop_100k!$G$58:$G$68</c:f>
              <c:numCache>
                <c:formatCode>General</c:formatCode>
                <c:ptCount val="11"/>
                <c:pt idx="0">
                  <c:v>0.17637549999999999</c:v>
                </c:pt>
                <c:pt idx="1">
                  <c:v>9.3626000000000001E-2</c:v>
                </c:pt>
                <c:pt idx="2">
                  <c:v>1.9868500000000001E-2</c:v>
                </c:pt>
                <c:pt idx="3">
                  <c:v>1.5710499999999999E-2</c:v>
                </c:pt>
                <c:pt idx="4">
                  <c:v>1.1993999999999999E-2</c:v>
                </c:pt>
                <c:pt idx="5">
                  <c:v>8.0324999999999997E-3</c:v>
                </c:pt>
                <c:pt idx="6">
                  <c:v>3.9179999999999996E-3</c:v>
                </c:pt>
                <c:pt idx="7">
                  <c:v>1.9530000000000001E-3</c:v>
                </c:pt>
                <c:pt idx="8">
                  <c:v>1.9550000000000001E-4</c:v>
                </c:pt>
                <c:pt idx="9">
                  <c:v>2.1500000000000001E-5</c:v>
                </c:pt>
                <c:pt idx="10">
                  <c:v>5.4999999999999999E-6</c:v>
                </c:pt>
              </c:numCache>
            </c:numRef>
          </c:yVal>
          <c:smooth val="0"/>
          <c:extLst>
            <c:ext xmlns:c16="http://schemas.microsoft.com/office/drawing/2014/chart" uri="{C3380CC4-5D6E-409C-BE32-E72D297353CC}">
              <c16:uniqueId val="{00000001-4B04-4BED-AA2B-982D19E846B1}"/>
            </c:ext>
          </c:extLst>
        </c:ser>
        <c:dLbls>
          <c:showLegendKey val="0"/>
          <c:showVal val="0"/>
          <c:showCatName val="0"/>
          <c:showSerName val="0"/>
          <c:showPercent val="0"/>
          <c:showBubbleSize val="0"/>
        </c:dLbls>
        <c:axId val="1437680655"/>
        <c:axId val="1437699855"/>
      </c:scatterChart>
      <c:valAx>
        <c:axId val="1437680655"/>
        <c:scaling>
          <c:orientation val="minMax"/>
          <c:max val="0.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Selection</a:t>
                </a:r>
                <a:r>
                  <a:rPr lang="en-US" sz="1200" baseline="0"/>
                  <a:t> coefficient, 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99855"/>
        <c:crosses val="autoZero"/>
        <c:crossBetween val="midCat"/>
      </c:valAx>
      <c:valAx>
        <c:axId val="1437699855"/>
        <c:scaling>
          <c:orientation val="minMax"/>
          <c:max val="0.2"/>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80655"/>
        <c:crosses val="autoZero"/>
        <c:crossBetween val="midCat"/>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N=10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 attempts=10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a:t>
            </a:r>
          </a:p>
          <a:p>
            <a:pPr>
              <a:defRPr/>
            </a:pPr>
            <a:r>
              <a:rPr lang="en-US" sz="1300" b="0" i="0" u="none" strike="noStrike" kern="1200" spc="0" baseline="0">
                <a:solidFill>
                  <a:sysClr val="windowText" lastClr="000000">
                    <a:lumMod val="65000"/>
                    <a:lumOff val="35000"/>
                  </a:sysClr>
                </a:solidFill>
              </a:rPr>
              <a:t>reps=20, s=0 - 0.01</a:t>
            </a:r>
          </a:p>
        </c:rich>
      </c:tx>
      <c:layout>
        <c:manualLayout>
          <c:xMode val="edge"/>
          <c:yMode val="edge"/>
          <c:x val="0.20893657210972438"/>
          <c:y val="6.6971080669710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904110680738767"/>
          <c:y val="5.1704838265079871E-2"/>
          <c:w val="0.79084667170452883"/>
          <c:h val="0.7591283902012248"/>
        </c:manualLayout>
      </c:layout>
      <c:scatterChart>
        <c:scatterStyle val="lineMarker"/>
        <c:varyColors val="0"/>
        <c:ser>
          <c:idx val="0"/>
          <c:order val="0"/>
          <c:tx>
            <c:strRef>
              <c:f>Pop_100k!$G$53</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2.0663901306132645E-2"/>
                  <c:y val="0.44753412672730974"/>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1.983s</a:t>
                    </a:r>
                    <a:r>
                      <a:rPr lang="en-US" sz="1200" b="0" i="0" u="none" strike="noStrike" baseline="0">
                        <a:effectLst/>
                      </a:rPr>
                      <a:t> + 5E-06</a:t>
                    </a:r>
                    <a:br>
                      <a:rPr lang="en-US" sz="1200" baseline="0"/>
                    </a:br>
                    <a:r>
                      <a:rPr lang="en-US" sz="1200" baseline="0"/>
                      <a:t>R² = 0.9999</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Pop_100k!$D$60:$D$68</c:f>
              <c:numCache>
                <c:formatCode>General</c:formatCode>
                <c:ptCount val="9"/>
                <c:pt idx="0">
                  <c:v>0.01</c:v>
                </c:pt>
                <c:pt idx="1">
                  <c:v>8.0000000000000002E-3</c:v>
                </c:pt>
                <c:pt idx="2">
                  <c:v>6.0000000000000001E-3</c:v>
                </c:pt>
                <c:pt idx="3">
                  <c:v>4.0000000000000001E-3</c:v>
                </c:pt>
                <c:pt idx="4">
                  <c:v>2E-3</c:v>
                </c:pt>
                <c:pt idx="5">
                  <c:v>1E-3</c:v>
                </c:pt>
                <c:pt idx="6">
                  <c:v>1E-4</c:v>
                </c:pt>
                <c:pt idx="7" formatCode="0.00E+00">
                  <c:v>1.0000000000000001E-5</c:v>
                </c:pt>
                <c:pt idx="8">
                  <c:v>0</c:v>
                </c:pt>
              </c:numCache>
            </c:numRef>
          </c:xVal>
          <c:yVal>
            <c:numRef>
              <c:f>Pop_100k!$G$60:$G$68</c:f>
              <c:numCache>
                <c:formatCode>General</c:formatCode>
                <c:ptCount val="9"/>
                <c:pt idx="0">
                  <c:v>1.9868500000000001E-2</c:v>
                </c:pt>
                <c:pt idx="1">
                  <c:v>1.5710499999999999E-2</c:v>
                </c:pt>
                <c:pt idx="2">
                  <c:v>1.1993999999999999E-2</c:v>
                </c:pt>
                <c:pt idx="3">
                  <c:v>8.0324999999999997E-3</c:v>
                </c:pt>
                <c:pt idx="4">
                  <c:v>3.9179999999999996E-3</c:v>
                </c:pt>
                <c:pt idx="5">
                  <c:v>1.9530000000000001E-3</c:v>
                </c:pt>
                <c:pt idx="6">
                  <c:v>1.9550000000000001E-4</c:v>
                </c:pt>
                <c:pt idx="7">
                  <c:v>2.1500000000000001E-5</c:v>
                </c:pt>
                <c:pt idx="8">
                  <c:v>5.4999999999999999E-6</c:v>
                </c:pt>
              </c:numCache>
            </c:numRef>
          </c:yVal>
          <c:smooth val="0"/>
          <c:extLst>
            <c:ext xmlns:c16="http://schemas.microsoft.com/office/drawing/2014/chart" uri="{C3380CC4-5D6E-409C-BE32-E72D297353CC}">
              <c16:uniqueId val="{00000001-1C9C-4249-881C-F81249861FE2}"/>
            </c:ext>
          </c:extLst>
        </c:ser>
        <c:dLbls>
          <c:showLegendKey val="0"/>
          <c:showVal val="0"/>
          <c:showCatName val="0"/>
          <c:showSerName val="0"/>
          <c:showPercent val="0"/>
          <c:showBubbleSize val="0"/>
        </c:dLbls>
        <c:axId val="1437680655"/>
        <c:axId val="1437699855"/>
      </c:scatterChart>
      <c:valAx>
        <c:axId val="1437680655"/>
        <c:scaling>
          <c:orientation val="minMax"/>
          <c:max val="1.0000000000000002E-2"/>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Selection</a:t>
                </a:r>
                <a:r>
                  <a:rPr lang="en-US" sz="1200" baseline="0"/>
                  <a:t> coefficient, 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99855"/>
        <c:crosses val="autoZero"/>
        <c:crossBetween val="midCat"/>
      </c:valAx>
      <c:valAx>
        <c:axId val="1437699855"/>
        <c:scaling>
          <c:orientation val="minMax"/>
          <c:max val="2.0000000000000004E-2"/>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37680655"/>
        <c:crosses val="autoZero"/>
        <c:crossBetween val="midCat"/>
        <c:majorUnit val="5.000000000000001E-3"/>
        <c:minorUnit val="2.0000000000000005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N=10</a:t>
            </a:r>
            <a:r>
              <a:rPr lang="en-US" sz="1200" b="0" i="0" u="none" strike="noStrike" kern="1200" spc="0" baseline="30000">
                <a:solidFill>
                  <a:sysClr val="windowText" lastClr="000000">
                    <a:lumMod val="65000"/>
                    <a:lumOff val="35000"/>
                  </a:sysClr>
                </a:solidFill>
              </a:rPr>
              <a:t>5</a:t>
            </a:r>
            <a:r>
              <a:rPr lang="en-US" sz="1200" b="0" i="0" u="none" strike="noStrike" kern="1200" spc="0" baseline="0">
                <a:solidFill>
                  <a:sysClr val="windowText" lastClr="000000">
                    <a:lumMod val="65000"/>
                    <a:lumOff val="35000"/>
                  </a:sysClr>
                </a:solidFill>
              </a:rPr>
              <a:t>, attempts=10</a:t>
            </a:r>
            <a:r>
              <a:rPr lang="en-US" sz="1200" b="0" i="0" u="none" strike="noStrike" kern="1200" spc="0" baseline="30000">
                <a:solidFill>
                  <a:sysClr val="windowText" lastClr="000000">
                    <a:lumMod val="65000"/>
                    <a:lumOff val="35000"/>
                  </a:sysClr>
                </a:solidFill>
              </a:rPr>
              <a:t>6</a:t>
            </a:r>
            <a:r>
              <a:rPr lang="en-US" sz="1200" b="0" i="0" u="none" strike="noStrike" kern="1200" spc="0" baseline="0">
                <a:solidFill>
                  <a:sysClr val="windowText" lastClr="000000">
                    <a:lumMod val="65000"/>
                    <a:lumOff val="35000"/>
                  </a:sysClr>
                </a:solidFill>
              </a:rPr>
              <a:t>,</a:t>
            </a:r>
          </a:p>
          <a:p>
            <a:pPr>
              <a:defRPr/>
            </a:pPr>
            <a:r>
              <a:rPr lang="en-US" sz="1200" b="0" i="0" u="none" strike="noStrike" kern="1200" spc="0" baseline="0">
                <a:solidFill>
                  <a:sysClr val="windowText" lastClr="000000">
                    <a:lumMod val="65000"/>
                    <a:lumOff val="35000"/>
                  </a:sysClr>
                </a:solidFill>
              </a:rPr>
              <a:t>reps=20, s=0 - 0.5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6810120509129908"/>
          <c:y val="3.1702855324902572E-2"/>
          <c:w val="0.76366776733553465"/>
          <c:h val="0.76050039199645514"/>
        </c:manualLayout>
      </c:layout>
      <c:scatterChart>
        <c:scatterStyle val="lineMarker"/>
        <c:varyColors val="0"/>
        <c:ser>
          <c:idx val="0"/>
          <c:order val="0"/>
          <c:tx>
            <c:strRef>
              <c:f>Pop_100k!$G$30</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0"/>
            <c:dispRSqr val="1"/>
            <c:dispEq val="1"/>
            <c:trendlineLbl>
              <c:layout>
                <c:manualLayout>
                  <c:x val="6.9413823272090988E-2"/>
                  <c:y val="0.47046164683959962"/>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-1.3466s</a:t>
                    </a:r>
                    <a:r>
                      <a:rPr lang="en-US" sz="1200" baseline="30000"/>
                      <a:t>2</a:t>
                    </a:r>
                    <a:r>
                      <a:rPr lang="en-US" sz="1200" baseline="0"/>
                      <a:t> + 1.8294s</a:t>
                    </a:r>
                    <a:r>
                      <a:rPr lang="en-US" sz="1200" b="0" i="0" u="none" strike="noStrike" baseline="0">
                        <a:effectLst/>
                      </a:rPr>
                      <a:t> + 5E-06</a:t>
                    </a:r>
                    <a:br>
                      <a:rPr lang="en-US" sz="1200" baseline="0"/>
                    </a:br>
                    <a:r>
                      <a:rPr lang="en-US" sz="1200" baseline="0"/>
                      <a:t>R² = 0.9998</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Pop_100k!$D$31:$D$45</c:f>
              <c:numCache>
                <c:formatCode>General</c:formatCode>
                <c:ptCount val="15"/>
                <c:pt idx="0">
                  <c:v>0.5</c:v>
                </c:pt>
                <c:pt idx="1">
                  <c:v>0.4</c:v>
                </c:pt>
                <c:pt idx="2">
                  <c:v>0.3</c:v>
                </c:pt>
                <c:pt idx="3">
                  <c:v>0.2</c:v>
                </c:pt>
                <c:pt idx="4">
                  <c:v>0.1</c:v>
                </c:pt>
                <c:pt idx="5">
                  <c:v>0.05</c:v>
                </c:pt>
                <c:pt idx="6">
                  <c:v>0.01</c:v>
                </c:pt>
                <c:pt idx="7">
                  <c:v>8.0000000000000002E-3</c:v>
                </c:pt>
                <c:pt idx="8">
                  <c:v>6.0000000000000001E-3</c:v>
                </c:pt>
                <c:pt idx="9">
                  <c:v>4.0000000000000001E-3</c:v>
                </c:pt>
                <c:pt idx="10">
                  <c:v>2E-3</c:v>
                </c:pt>
                <c:pt idx="11">
                  <c:v>1E-3</c:v>
                </c:pt>
                <c:pt idx="12">
                  <c:v>1E-4</c:v>
                </c:pt>
                <c:pt idx="13" formatCode="0.00E+00">
                  <c:v>1.0000000000000001E-5</c:v>
                </c:pt>
                <c:pt idx="14">
                  <c:v>0</c:v>
                </c:pt>
              </c:numCache>
            </c:numRef>
          </c:xVal>
          <c:yVal>
            <c:numRef>
              <c:f>Pop_100k!$G$31:$G$45</c:f>
              <c:numCache>
                <c:formatCode>General</c:formatCode>
                <c:ptCount val="15"/>
                <c:pt idx="0">
                  <c:v>0.58267605</c:v>
                </c:pt>
                <c:pt idx="1">
                  <c:v>0.51094145000000002</c:v>
                </c:pt>
                <c:pt idx="2">
                  <c:v>0.42284470000000002</c:v>
                </c:pt>
                <c:pt idx="3">
                  <c:v>0.31349785000000002</c:v>
                </c:pt>
                <c:pt idx="4">
                  <c:v>0.17616594999999999</c:v>
                </c:pt>
                <c:pt idx="5">
                  <c:v>9.3837100000000007E-2</c:v>
                </c:pt>
                <c:pt idx="6">
                  <c:v>1.9758999999999999E-2</c:v>
                </c:pt>
                <c:pt idx="7">
                  <c:v>1.58744E-2</c:v>
                </c:pt>
                <c:pt idx="8">
                  <c:v>1.1915149999999999E-2</c:v>
                </c:pt>
                <c:pt idx="9">
                  <c:v>7.9269500000000003E-3</c:v>
                </c:pt>
                <c:pt idx="10">
                  <c:v>3.9771499999999996E-3</c:v>
                </c:pt>
                <c:pt idx="11">
                  <c:v>1.9797999999999999E-3</c:v>
                </c:pt>
                <c:pt idx="12">
                  <c:v>1.9934999999999999E-4</c:v>
                </c:pt>
                <c:pt idx="13">
                  <c:v>2.09E-5</c:v>
                </c:pt>
                <c:pt idx="14">
                  <c:v>5.1499999999999998E-6</c:v>
                </c:pt>
              </c:numCache>
            </c:numRef>
          </c:yVal>
          <c:smooth val="0"/>
          <c:extLst>
            <c:ext xmlns:c16="http://schemas.microsoft.com/office/drawing/2014/chart" uri="{C3380CC4-5D6E-409C-BE32-E72D297353CC}">
              <c16:uniqueId val="{00000000-7464-4584-8609-91EA4A4A83CD}"/>
            </c:ext>
          </c:extLst>
        </c:ser>
        <c:dLbls>
          <c:showLegendKey val="0"/>
          <c:showVal val="0"/>
          <c:showCatName val="0"/>
          <c:showSerName val="0"/>
          <c:showPercent val="0"/>
          <c:showBubbleSize val="0"/>
        </c:dLbls>
        <c:axId val="794061552"/>
        <c:axId val="794054832"/>
      </c:scatterChart>
      <c:valAx>
        <c:axId val="794061552"/>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4054832"/>
        <c:crosses val="autoZero"/>
        <c:crossBetween val="midCat"/>
      </c:valAx>
      <c:valAx>
        <c:axId val="794054832"/>
        <c:scaling>
          <c:orientation val="minMax"/>
          <c:max val="0.60000000000000009"/>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1.5860356165156776E-2"/>
              <c:y val="0.2683278226585313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4061552"/>
        <c:crosses val="autoZero"/>
        <c:crossBetween val="midCat"/>
        <c:min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N=10</a:t>
            </a:r>
            <a:r>
              <a:rPr lang="en-US" sz="1200" b="0" i="0" u="none" strike="noStrike" kern="1200" spc="0" baseline="30000">
                <a:solidFill>
                  <a:sysClr val="windowText" lastClr="000000">
                    <a:lumMod val="65000"/>
                    <a:lumOff val="35000"/>
                  </a:sysClr>
                </a:solidFill>
              </a:rPr>
              <a:t>5</a:t>
            </a:r>
            <a:r>
              <a:rPr lang="en-US" sz="1200" b="0" i="0" u="none" strike="noStrike" kern="1200" spc="0" baseline="0">
                <a:solidFill>
                  <a:sysClr val="windowText" lastClr="000000">
                    <a:lumMod val="65000"/>
                    <a:lumOff val="35000"/>
                  </a:sysClr>
                </a:solidFill>
              </a:rPr>
              <a:t>, attempts=10</a:t>
            </a:r>
            <a:r>
              <a:rPr lang="en-US" sz="1200" b="0" i="0" u="none" strike="noStrike" kern="1200" spc="0" baseline="30000">
                <a:solidFill>
                  <a:sysClr val="windowText" lastClr="000000">
                    <a:lumMod val="65000"/>
                    <a:lumOff val="35000"/>
                  </a:sysClr>
                </a:solidFill>
              </a:rPr>
              <a:t>6</a:t>
            </a:r>
            <a:r>
              <a:rPr lang="en-US" sz="1200" b="0" i="0" u="none" strike="noStrike" kern="1200" spc="0" baseline="0">
                <a:solidFill>
                  <a:sysClr val="windowText" lastClr="000000">
                    <a:lumMod val="65000"/>
                    <a:lumOff val="35000"/>
                  </a:sysClr>
                </a:solidFill>
              </a:rPr>
              <a:t>,</a:t>
            </a:r>
          </a:p>
          <a:p>
            <a:pPr>
              <a:defRPr/>
            </a:pPr>
            <a:r>
              <a:rPr lang="en-US" sz="1200" b="0" i="0" u="none" strike="noStrike" kern="1200" spc="0" baseline="0">
                <a:solidFill>
                  <a:sysClr val="windowText" lastClr="000000">
                    <a:lumMod val="65000"/>
                    <a:lumOff val="35000"/>
                  </a:sysClr>
                </a:solidFill>
              </a:rPr>
              <a:t>reps=20, s=0 - 0.01</a:t>
            </a:r>
          </a:p>
        </c:rich>
      </c:tx>
      <c:layout>
        <c:manualLayout>
          <c:xMode val="edge"/>
          <c:yMode val="edge"/>
          <c:x val="0.25496401659469992"/>
          <c:y val="4.0404040404040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960658143538509"/>
          <c:y val="3.1702855324902572E-2"/>
          <c:w val="0.74216239099144865"/>
          <c:h val="0.76050039199645514"/>
        </c:manualLayout>
      </c:layout>
      <c:scatterChart>
        <c:scatterStyle val="lineMarker"/>
        <c:varyColors val="0"/>
        <c:ser>
          <c:idx val="0"/>
          <c:order val="0"/>
          <c:tx>
            <c:strRef>
              <c:f>Pop_100k!$G$30</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5.0000000000000021E-6"/>
            <c:dispRSqr val="1"/>
            <c:dispEq val="1"/>
            <c:trendlineLbl>
              <c:layout>
                <c:manualLayout>
                  <c:x val="3.7765077752377661E-2"/>
                  <c:y val="0.42428560066355342"/>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1.9799s + 5E-06</a:t>
                    </a:r>
                    <a:br>
                      <a:rPr lang="en-US" sz="1200" baseline="0"/>
                    </a:br>
                    <a:r>
                      <a:rPr lang="en-US" sz="1200" baseline="0"/>
                      <a:t>R² = 1</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Pop_100k!$D$37:$D$45</c:f>
              <c:numCache>
                <c:formatCode>General</c:formatCode>
                <c:ptCount val="9"/>
                <c:pt idx="0">
                  <c:v>0.01</c:v>
                </c:pt>
                <c:pt idx="1">
                  <c:v>8.0000000000000002E-3</c:v>
                </c:pt>
                <c:pt idx="2">
                  <c:v>6.0000000000000001E-3</c:v>
                </c:pt>
                <c:pt idx="3">
                  <c:v>4.0000000000000001E-3</c:v>
                </c:pt>
                <c:pt idx="4">
                  <c:v>2E-3</c:v>
                </c:pt>
                <c:pt idx="5">
                  <c:v>1E-3</c:v>
                </c:pt>
                <c:pt idx="6">
                  <c:v>1E-4</c:v>
                </c:pt>
                <c:pt idx="7" formatCode="0.00E+00">
                  <c:v>1.0000000000000001E-5</c:v>
                </c:pt>
                <c:pt idx="8">
                  <c:v>0</c:v>
                </c:pt>
              </c:numCache>
            </c:numRef>
          </c:xVal>
          <c:yVal>
            <c:numRef>
              <c:f>Pop_100k!$G$37:$G$45</c:f>
              <c:numCache>
                <c:formatCode>General</c:formatCode>
                <c:ptCount val="9"/>
                <c:pt idx="0">
                  <c:v>1.9758999999999999E-2</c:v>
                </c:pt>
                <c:pt idx="1">
                  <c:v>1.58744E-2</c:v>
                </c:pt>
                <c:pt idx="2">
                  <c:v>1.1915149999999999E-2</c:v>
                </c:pt>
                <c:pt idx="3">
                  <c:v>7.9269500000000003E-3</c:v>
                </c:pt>
                <c:pt idx="4">
                  <c:v>3.9771499999999996E-3</c:v>
                </c:pt>
                <c:pt idx="5">
                  <c:v>1.9797999999999999E-3</c:v>
                </c:pt>
                <c:pt idx="6">
                  <c:v>1.9934999999999999E-4</c:v>
                </c:pt>
                <c:pt idx="7">
                  <c:v>2.09E-5</c:v>
                </c:pt>
                <c:pt idx="8">
                  <c:v>5.1499999999999998E-6</c:v>
                </c:pt>
              </c:numCache>
            </c:numRef>
          </c:yVal>
          <c:smooth val="0"/>
          <c:extLst>
            <c:ext xmlns:c16="http://schemas.microsoft.com/office/drawing/2014/chart" uri="{C3380CC4-5D6E-409C-BE32-E72D297353CC}">
              <c16:uniqueId val="{00000001-84CC-4F62-AEC0-7628D65FA0E8}"/>
            </c:ext>
          </c:extLst>
        </c:ser>
        <c:dLbls>
          <c:showLegendKey val="0"/>
          <c:showVal val="0"/>
          <c:showCatName val="0"/>
          <c:showSerName val="0"/>
          <c:showPercent val="0"/>
          <c:showBubbleSize val="0"/>
        </c:dLbls>
        <c:axId val="794061552"/>
        <c:axId val="794054832"/>
      </c:scatterChart>
      <c:valAx>
        <c:axId val="794061552"/>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794054832"/>
        <c:crosses val="autoZero"/>
        <c:crossBetween val="midCat"/>
      </c:valAx>
      <c:valAx>
        <c:axId val="794054832"/>
        <c:scaling>
          <c:orientation val="minMax"/>
          <c:max val="2.0000000000000004E-2"/>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1.2276126774475772E-2"/>
              <c:y val="0.2914158457465543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794061552"/>
        <c:crosses val="autoZero"/>
        <c:crossBetween val="midCat"/>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 attempts=10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124759405074364"/>
          <c:y val="2.5428331875182269E-2"/>
          <c:w val="0.7960441819772528"/>
          <c:h val="0.78227653834937294"/>
        </c:manualLayout>
      </c:layout>
      <c:scatterChart>
        <c:scatterStyle val="lineMarker"/>
        <c:varyColors val="0"/>
        <c:ser>
          <c:idx val="0"/>
          <c:order val="0"/>
          <c:tx>
            <c:strRef>
              <c:f>Pop_10!$G$2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1E-2"/>
            <c:dispRSqr val="1"/>
            <c:dispEq val="1"/>
            <c:trendlineLbl>
              <c:layout>
                <c:manualLayout>
                  <c:x val="-3.9402143097705095E-2"/>
                  <c:y val="0.40505723242927966"/>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baseline="0"/>
                      <a:t>Prob = 1.2376s + 0.05</a:t>
                    </a:r>
                    <a:br>
                      <a:rPr lang="en-US" baseline="0"/>
                    </a:br>
                    <a:r>
                      <a:rPr lang="en-US" baseline="0"/>
                      <a:t>R² = 0.9916</a:t>
                    </a:r>
                    <a:endParaRPr lang="en-US"/>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Pop_10!$D$12:$D$25</c:f>
              <c:numCache>
                <c:formatCode>General</c:formatCode>
                <c:ptCount val="14"/>
                <c:pt idx="0">
                  <c:v>0.1</c:v>
                </c:pt>
                <c:pt idx="1">
                  <c:v>0.05</c:v>
                </c:pt>
                <c:pt idx="2" formatCode="0.0E+00">
                  <c:v>0.01</c:v>
                </c:pt>
                <c:pt idx="3">
                  <c:v>5.0000000000000001E-3</c:v>
                </c:pt>
                <c:pt idx="4" formatCode="0.0E+00">
                  <c:v>1E-3</c:v>
                </c:pt>
                <c:pt idx="5">
                  <c:v>5.0000000000000001E-4</c:v>
                </c:pt>
                <c:pt idx="6" formatCode="0.0E+00">
                  <c:v>1E-4</c:v>
                </c:pt>
                <c:pt idx="7" formatCode="0.00E+00">
                  <c:v>5.0000000000000002E-5</c:v>
                </c:pt>
                <c:pt idx="8" formatCode="0.0E+00">
                  <c:v>1.0000000000000001E-5</c:v>
                </c:pt>
                <c:pt idx="9" formatCode="0.00E+00">
                  <c:v>5.0000000000000004E-6</c:v>
                </c:pt>
                <c:pt idx="10" formatCode="0.0E+00">
                  <c:v>9.9999999999999995E-7</c:v>
                </c:pt>
                <c:pt idx="11" formatCode="0.00E+00">
                  <c:v>4.9999999999999998E-7</c:v>
                </c:pt>
                <c:pt idx="12" formatCode="0.0E+00">
                  <c:v>9.9999999999999995E-8</c:v>
                </c:pt>
                <c:pt idx="13">
                  <c:v>0</c:v>
                </c:pt>
              </c:numCache>
            </c:numRef>
          </c:xVal>
          <c:yVal>
            <c:numRef>
              <c:f>Pop_10!$G$12:$G$25</c:f>
              <c:numCache>
                <c:formatCode>0.00000</c:formatCode>
                <c:ptCount val="14"/>
                <c:pt idx="0">
                  <c:v>0.17874999999999999</c:v>
                </c:pt>
                <c:pt idx="1">
                  <c:v>0.10274999999999999</c:v>
                </c:pt>
                <c:pt idx="2">
                  <c:v>6.0199999999999997E-2</c:v>
                </c:pt>
                <c:pt idx="3">
                  <c:v>5.3150000000000003E-2</c:v>
                </c:pt>
                <c:pt idx="4">
                  <c:v>5.04E-2</c:v>
                </c:pt>
                <c:pt idx="5">
                  <c:v>5.0049999999999997E-2</c:v>
                </c:pt>
                <c:pt idx="6">
                  <c:v>4.9349999999999998E-2</c:v>
                </c:pt>
                <c:pt idx="7">
                  <c:v>4.7300000000000002E-2</c:v>
                </c:pt>
                <c:pt idx="8">
                  <c:v>5.2400000000000002E-2</c:v>
                </c:pt>
                <c:pt idx="9">
                  <c:v>5.0750000000000003E-2</c:v>
                </c:pt>
                <c:pt idx="10">
                  <c:v>4.99E-2</c:v>
                </c:pt>
                <c:pt idx="11">
                  <c:v>4.8050000000000002E-2</c:v>
                </c:pt>
                <c:pt idx="12">
                  <c:v>4.99E-2</c:v>
                </c:pt>
                <c:pt idx="13">
                  <c:v>5.1400000000000001E-2</c:v>
                </c:pt>
              </c:numCache>
            </c:numRef>
          </c:yVal>
          <c:smooth val="0"/>
          <c:extLst>
            <c:ext xmlns:c16="http://schemas.microsoft.com/office/drawing/2014/chart" uri="{C3380CC4-5D6E-409C-BE32-E72D297353CC}">
              <c16:uniqueId val="{00000002-5EB0-41AB-95CB-0F4CE623190F}"/>
            </c:ext>
          </c:extLst>
        </c:ser>
        <c:dLbls>
          <c:showLegendKey val="0"/>
          <c:showVal val="0"/>
          <c:showCatName val="0"/>
          <c:showSerName val="0"/>
          <c:showPercent val="0"/>
          <c:showBubbleSize val="0"/>
        </c:dLbls>
        <c:axId val="1111248784"/>
        <c:axId val="1111255504"/>
      </c:scatterChart>
      <c:valAx>
        <c:axId val="1111248784"/>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55504"/>
        <c:crosses val="autoZero"/>
        <c:crossBetween val="midCat"/>
        <c:minorUnit val="5.000000000000001E-3"/>
      </c:valAx>
      <c:valAx>
        <c:axId val="1111255504"/>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48784"/>
        <c:crosses val="autoZero"/>
        <c:crossBetween val="midCat"/>
        <c:majorUnit val="2.0000000000000004E-2"/>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N=10</a:t>
            </a:r>
            <a:r>
              <a:rPr lang="en-US" sz="1200" b="0" i="0" u="none" strike="noStrike" kern="1200" spc="0" baseline="30000">
                <a:solidFill>
                  <a:sysClr val="windowText" lastClr="000000">
                    <a:lumMod val="65000"/>
                    <a:lumOff val="35000"/>
                  </a:sysClr>
                </a:solidFill>
              </a:rPr>
              <a:t>5</a:t>
            </a:r>
            <a:r>
              <a:rPr lang="en-US" sz="1200" b="0" i="0" u="none" strike="noStrike" kern="1200" spc="0" baseline="0">
                <a:solidFill>
                  <a:sysClr val="windowText" lastClr="000000">
                    <a:lumMod val="65000"/>
                    <a:lumOff val="35000"/>
                  </a:sysClr>
                </a:solidFill>
              </a:rPr>
              <a:t>, attempts=10</a:t>
            </a:r>
            <a:r>
              <a:rPr lang="en-US" sz="1200" b="0" i="0" u="none" strike="noStrike" kern="1200" spc="0" baseline="30000">
                <a:solidFill>
                  <a:sysClr val="windowText" lastClr="000000">
                    <a:lumMod val="65000"/>
                    <a:lumOff val="35000"/>
                  </a:sysClr>
                </a:solidFill>
              </a:rPr>
              <a:t>6</a:t>
            </a:r>
            <a:r>
              <a:rPr lang="en-US" sz="1200" b="0" i="0" u="none" strike="noStrike" kern="1200" spc="0" baseline="0">
                <a:solidFill>
                  <a:sysClr val="windowText" lastClr="000000">
                    <a:lumMod val="65000"/>
                    <a:lumOff val="35000"/>
                  </a:sysClr>
                </a:solidFill>
              </a:rPr>
              <a:t>,</a:t>
            </a:r>
          </a:p>
          <a:p>
            <a:pPr>
              <a:defRPr/>
            </a:pPr>
            <a:r>
              <a:rPr lang="en-US" sz="1200" b="0" i="0" u="none" strike="noStrike" kern="1200" spc="0" baseline="0">
                <a:solidFill>
                  <a:sysClr val="windowText" lastClr="000000">
                    <a:lumMod val="65000"/>
                    <a:lumOff val="35000"/>
                  </a:sysClr>
                </a:solidFill>
              </a:rPr>
              <a:t>reps=20, s=0 - 0.1</a:t>
            </a:r>
          </a:p>
        </c:rich>
      </c:tx>
      <c:layout>
        <c:manualLayout>
          <c:xMode val="edge"/>
          <c:yMode val="edge"/>
          <c:x val="0.18686365817176079"/>
          <c:y val="0.155844155844155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960658143538509"/>
          <c:y val="3.1702855324902572E-2"/>
          <c:w val="0.74216239099144865"/>
          <c:h val="0.76050039199645514"/>
        </c:manualLayout>
      </c:layout>
      <c:scatterChart>
        <c:scatterStyle val="lineMarker"/>
        <c:varyColors val="0"/>
        <c:ser>
          <c:idx val="0"/>
          <c:order val="0"/>
          <c:tx>
            <c:strRef>
              <c:f>Pop_100k!$G$30</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5.0000000000000021E-6"/>
            <c:dispRSqr val="1"/>
            <c:dispEq val="1"/>
            <c:trendlineLbl>
              <c:layout>
                <c:manualLayout>
                  <c:x val="1.9933677645133003E-2"/>
                  <c:y val="0.40119757757553032"/>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baseline="0"/>
                      <a:t>Prob</a:t>
                    </a:r>
                    <a:r>
                      <a:rPr lang="en-DE" baseline="0"/>
                      <a:t> = 1</a:t>
                    </a:r>
                    <a:r>
                      <a:rPr lang="en-GB" baseline="0"/>
                      <a:t>.</a:t>
                    </a:r>
                    <a:r>
                      <a:rPr lang="en-DE" baseline="0"/>
                      <a:t>788</a:t>
                    </a:r>
                    <a:r>
                      <a:rPr lang="en-GB" baseline="0"/>
                      <a:t>s</a:t>
                    </a:r>
                    <a:r>
                      <a:rPr lang="en-DE" baseline="0"/>
                      <a:t> + 5E-06</a:t>
                    </a:r>
                    <a:br>
                      <a:rPr lang="en-DE" baseline="0"/>
                    </a:br>
                    <a:r>
                      <a:rPr lang="en-DE" baseline="0"/>
                      <a:t>R² = 0</a:t>
                    </a:r>
                    <a:r>
                      <a:rPr lang="en-GB" baseline="0"/>
                      <a:t>.</a:t>
                    </a:r>
                    <a:r>
                      <a:rPr lang="en-DE" baseline="0"/>
                      <a:t>9991</a:t>
                    </a:r>
                    <a:endParaRPr lang="en-DE"/>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rendlineLbl>
          </c:trendline>
          <c:xVal>
            <c:numRef>
              <c:f>Pop_100k!$D$35:$D$45</c:f>
              <c:numCache>
                <c:formatCode>General</c:formatCode>
                <c:ptCount val="11"/>
                <c:pt idx="0">
                  <c:v>0.1</c:v>
                </c:pt>
                <c:pt idx="1">
                  <c:v>0.05</c:v>
                </c:pt>
                <c:pt idx="2">
                  <c:v>0.01</c:v>
                </c:pt>
                <c:pt idx="3">
                  <c:v>8.0000000000000002E-3</c:v>
                </c:pt>
                <c:pt idx="4">
                  <c:v>6.0000000000000001E-3</c:v>
                </c:pt>
                <c:pt idx="5">
                  <c:v>4.0000000000000001E-3</c:v>
                </c:pt>
                <c:pt idx="6">
                  <c:v>2E-3</c:v>
                </c:pt>
                <c:pt idx="7">
                  <c:v>1E-3</c:v>
                </c:pt>
                <c:pt idx="8">
                  <c:v>1E-4</c:v>
                </c:pt>
                <c:pt idx="9" formatCode="0.00E+00">
                  <c:v>1.0000000000000001E-5</c:v>
                </c:pt>
                <c:pt idx="10">
                  <c:v>0</c:v>
                </c:pt>
              </c:numCache>
            </c:numRef>
          </c:xVal>
          <c:yVal>
            <c:numRef>
              <c:f>Pop_100k!$G$35:$G$45</c:f>
              <c:numCache>
                <c:formatCode>General</c:formatCode>
                <c:ptCount val="11"/>
                <c:pt idx="0">
                  <c:v>0.17616594999999999</c:v>
                </c:pt>
                <c:pt idx="1">
                  <c:v>9.3837100000000007E-2</c:v>
                </c:pt>
                <c:pt idx="2">
                  <c:v>1.9758999999999999E-2</c:v>
                </c:pt>
                <c:pt idx="3">
                  <c:v>1.58744E-2</c:v>
                </c:pt>
                <c:pt idx="4">
                  <c:v>1.1915149999999999E-2</c:v>
                </c:pt>
                <c:pt idx="5">
                  <c:v>7.9269500000000003E-3</c:v>
                </c:pt>
                <c:pt idx="6">
                  <c:v>3.9771499999999996E-3</c:v>
                </c:pt>
                <c:pt idx="7">
                  <c:v>1.9797999999999999E-3</c:v>
                </c:pt>
                <c:pt idx="8">
                  <c:v>1.9934999999999999E-4</c:v>
                </c:pt>
                <c:pt idx="9">
                  <c:v>2.09E-5</c:v>
                </c:pt>
                <c:pt idx="10">
                  <c:v>5.1499999999999998E-6</c:v>
                </c:pt>
              </c:numCache>
            </c:numRef>
          </c:yVal>
          <c:smooth val="0"/>
          <c:extLst>
            <c:ext xmlns:c16="http://schemas.microsoft.com/office/drawing/2014/chart" uri="{C3380CC4-5D6E-409C-BE32-E72D297353CC}">
              <c16:uniqueId val="{00000001-F857-49F7-899B-E0AC874614DC}"/>
            </c:ext>
          </c:extLst>
        </c:ser>
        <c:dLbls>
          <c:showLegendKey val="0"/>
          <c:showVal val="0"/>
          <c:showCatName val="0"/>
          <c:showSerName val="0"/>
          <c:showPercent val="0"/>
          <c:showBubbleSize val="0"/>
        </c:dLbls>
        <c:axId val="794061552"/>
        <c:axId val="794054832"/>
      </c:scatterChart>
      <c:valAx>
        <c:axId val="794061552"/>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4054832"/>
        <c:crosses val="autoZero"/>
        <c:crossBetween val="midCat"/>
      </c:valAx>
      <c:valAx>
        <c:axId val="794054832"/>
        <c:scaling>
          <c:orientation val="minMax"/>
          <c:max val="0.2"/>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1.5860356165156776E-2"/>
              <c:y val="0.3087318630625716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4061552"/>
        <c:crosses val="autoZero"/>
        <c:crossBetween val="midCat"/>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N=10</a:t>
            </a:r>
            <a:r>
              <a:rPr lang="en-US" sz="1200" b="0" i="0" u="none" strike="noStrike" kern="1200" spc="0" baseline="30000">
                <a:solidFill>
                  <a:sysClr val="windowText" lastClr="000000">
                    <a:lumMod val="65000"/>
                    <a:lumOff val="35000"/>
                  </a:sysClr>
                </a:solidFill>
              </a:rPr>
              <a:t>5</a:t>
            </a:r>
            <a:r>
              <a:rPr lang="en-US" sz="1200" b="0" i="0" u="none" strike="noStrike" kern="1200" spc="0" baseline="0">
                <a:solidFill>
                  <a:sysClr val="windowText" lastClr="000000">
                    <a:lumMod val="65000"/>
                    <a:lumOff val="35000"/>
                  </a:sysClr>
                </a:solidFill>
              </a:rPr>
              <a:t>, attempts=10</a:t>
            </a:r>
            <a:r>
              <a:rPr lang="en-US" sz="1200" b="0" i="0" u="none" strike="noStrike" kern="1200" spc="0" baseline="30000">
                <a:solidFill>
                  <a:sysClr val="windowText" lastClr="000000">
                    <a:lumMod val="65000"/>
                    <a:lumOff val="35000"/>
                  </a:sysClr>
                </a:solidFill>
              </a:rPr>
              <a:t>6</a:t>
            </a:r>
            <a:r>
              <a:rPr lang="en-US" sz="1200" b="0" i="0" u="none" strike="noStrike" kern="1200" spc="0" baseline="0">
                <a:solidFill>
                  <a:sysClr val="windowText" lastClr="000000">
                    <a:lumMod val="65000"/>
                    <a:lumOff val="35000"/>
                  </a:sysClr>
                </a:solidFill>
              </a:rPr>
              <a:t>,</a:t>
            </a:r>
          </a:p>
          <a:p>
            <a:pPr>
              <a:defRPr/>
            </a:pPr>
            <a:r>
              <a:rPr lang="en-US" sz="12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0002259958151422"/>
          <c:y val="2.7023467085064552E-2"/>
          <c:w val="0.74690295784672089"/>
          <c:h val="0.75072772854065883"/>
        </c:manualLayout>
      </c:layout>
      <c:scatterChart>
        <c:scatterStyle val="lineMarker"/>
        <c:varyColors val="0"/>
        <c:ser>
          <c:idx val="0"/>
          <c:order val="0"/>
          <c:tx>
            <c:strRef>
              <c:f>Pop_100k!$I$30</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Pop_100k!$D$37:$D$45</c:f>
              <c:numCache>
                <c:formatCode>General</c:formatCode>
                <c:ptCount val="9"/>
                <c:pt idx="0">
                  <c:v>0.01</c:v>
                </c:pt>
                <c:pt idx="1">
                  <c:v>8.0000000000000002E-3</c:v>
                </c:pt>
                <c:pt idx="2">
                  <c:v>6.0000000000000001E-3</c:v>
                </c:pt>
                <c:pt idx="3">
                  <c:v>4.0000000000000001E-3</c:v>
                </c:pt>
                <c:pt idx="4">
                  <c:v>2E-3</c:v>
                </c:pt>
                <c:pt idx="5">
                  <c:v>1E-3</c:v>
                </c:pt>
                <c:pt idx="6">
                  <c:v>1E-4</c:v>
                </c:pt>
                <c:pt idx="7" formatCode="0.00E+00">
                  <c:v>1.0000000000000001E-5</c:v>
                </c:pt>
                <c:pt idx="8">
                  <c:v>0</c:v>
                </c:pt>
              </c:numCache>
            </c:numRef>
          </c:xVal>
          <c:yVal>
            <c:numRef>
              <c:f>Pop_100k!$I$37:$I$45</c:f>
              <c:numCache>
                <c:formatCode>#,##0</c:formatCode>
                <c:ptCount val="9"/>
                <c:pt idx="0">
                  <c:v>1779.36</c:v>
                </c:pt>
                <c:pt idx="1">
                  <c:v>2166.46</c:v>
                </c:pt>
                <c:pt idx="2">
                  <c:v>2789.82</c:v>
                </c:pt>
                <c:pt idx="3">
                  <c:v>3980.53</c:v>
                </c:pt>
                <c:pt idx="4">
                  <c:v>7264.01</c:v>
                </c:pt>
                <c:pt idx="5">
                  <c:v>13119.02</c:v>
                </c:pt>
                <c:pt idx="6">
                  <c:v>84992.66</c:v>
                </c:pt>
                <c:pt idx="7">
                  <c:v>334745.42</c:v>
                </c:pt>
                <c:pt idx="8">
                  <c:v>402390.74</c:v>
                </c:pt>
              </c:numCache>
            </c:numRef>
          </c:yVal>
          <c:smooth val="0"/>
          <c:extLst>
            <c:ext xmlns:c16="http://schemas.microsoft.com/office/drawing/2014/chart" uri="{C3380CC4-5D6E-409C-BE32-E72D297353CC}">
              <c16:uniqueId val="{00000000-93C4-4F96-98F9-584E44582904}"/>
            </c:ext>
          </c:extLst>
        </c:ser>
        <c:dLbls>
          <c:showLegendKey val="0"/>
          <c:showVal val="0"/>
          <c:showCatName val="0"/>
          <c:showSerName val="0"/>
          <c:showPercent val="0"/>
          <c:showBubbleSize val="0"/>
        </c:dLbls>
        <c:axId val="1012816576"/>
        <c:axId val="1012818016"/>
      </c:scatterChart>
      <c:valAx>
        <c:axId val="1012816576"/>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012818016"/>
        <c:crosses val="autoZero"/>
        <c:crossBetween val="midCat"/>
      </c:valAx>
      <c:valAx>
        <c:axId val="1012818016"/>
        <c:scaling>
          <c:orientation val="minMax"/>
          <c:max val="4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816576"/>
        <c:crosses val="autoZero"/>
        <c:crossBetween val="midCat"/>
        <c:majorUnit val="100000"/>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N=10</a:t>
            </a:r>
            <a:r>
              <a:rPr lang="en-US" sz="1200" b="0" i="0" u="none" strike="noStrike" kern="1200" spc="0" baseline="30000">
                <a:solidFill>
                  <a:sysClr val="windowText" lastClr="000000">
                    <a:lumMod val="65000"/>
                    <a:lumOff val="35000"/>
                  </a:sysClr>
                </a:solidFill>
              </a:rPr>
              <a:t>5</a:t>
            </a:r>
            <a:r>
              <a:rPr lang="en-US" sz="1200" b="0" i="0" u="none" strike="noStrike" kern="1200" spc="0" baseline="0">
                <a:solidFill>
                  <a:sysClr val="windowText" lastClr="000000">
                    <a:lumMod val="65000"/>
                    <a:lumOff val="35000"/>
                  </a:sysClr>
                </a:solidFill>
              </a:rPr>
              <a:t>, attempts=10</a:t>
            </a:r>
            <a:r>
              <a:rPr lang="en-US" sz="1200" b="0" i="0" u="none" strike="noStrike" kern="1200" spc="0" baseline="30000">
                <a:solidFill>
                  <a:sysClr val="windowText" lastClr="000000">
                    <a:lumMod val="65000"/>
                    <a:lumOff val="35000"/>
                  </a:sysClr>
                </a:solidFill>
              </a:rPr>
              <a:t>6</a:t>
            </a:r>
            <a:r>
              <a:rPr lang="en-US" sz="1200" b="0" i="0" u="none" strike="noStrike" kern="1200" spc="0" baseline="0">
                <a:solidFill>
                  <a:sysClr val="windowText" lastClr="000000">
                    <a:lumMod val="65000"/>
                    <a:lumOff val="35000"/>
                  </a:sysClr>
                </a:solidFill>
              </a:rPr>
              <a:t>,</a:t>
            </a:r>
          </a:p>
          <a:p>
            <a:pPr>
              <a:defRPr/>
            </a:pPr>
            <a:r>
              <a:rPr lang="en-US" sz="12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2004064227524"/>
          <c:y val="2.7023467085064552E-2"/>
          <c:w val="0.75761247090485884"/>
          <c:h val="0.75072772854065883"/>
        </c:manualLayout>
      </c:layout>
      <c:scatterChart>
        <c:scatterStyle val="lineMarker"/>
        <c:varyColors val="0"/>
        <c:ser>
          <c:idx val="0"/>
          <c:order val="0"/>
          <c:tx>
            <c:strRef>
              <c:f>Pop_100k!$I$30</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Pop_100k!$D$35:$D$45</c:f>
              <c:numCache>
                <c:formatCode>General</c:formatCode>
                <c:ptCount val="11"/>
                <c:pt idx="0">
                  <c:v>0.1</c:v>
                </c:pt>
                <c:pt idx="1">
                  <c:v>0.05</c:v>
                </c:pt>
                <c:pt idx="2">
                  <c:v>0.01</c:v>
                </c:pt>
                <c:pt idx="3">
                  <c:v>8.0000000000000002E-3</c:v>
                </c:pt>
                <c:pt idx="4">
                  <c:v>6.0000000000000001E-3</c:v>
                </c:pt>
                <c:pt idx="5">
                  <c:v>4.0000000000000001E-3</c:v>
                </c:pt>
                <c:pt idx="6">
                  <c:v>2E-3</c:v>
                </c:pt>
                <c:pt idx="7">
                  <c:v>1E-3</c:v>
                </c:pt>
                <c:pt idx="8">
                  <c:v>1E-4</c:v>
                </c:pt>
                <c:pt idx="9" formatCode="0.00E+00">
                  <c:v>1.0000000000000001E-5</c:v>
                </c:pt>
                <c:pt idx="10">
                  <c:v>0</c:v>
                </c:pt>
              </c:numCache>
            </c:numRef>
          </c:xVal>
          <c:yVal>
            <c:numRef>
              <c:f>Pop_100k!$I$35:$I$45</c:f>
              <c:numCache>
                <c:formatCode>#,##0</c:formatCode>
                <c:ptCount val="11"/>
                <c:pt idx="0">
                  <c:v>231.06</c:v>
                </c:pt>
                <c:pt idx="1">
                  <c:v>425.96</c:v>
                </c:pt>
                <c:pt idx="2">
                  <c:v>1779.36</c:v>
                </c:pt>
                <c:pt idx="3">
                  <c:v>2166.46</c:v>
                </c:pt>
                <c:pt idx="4">
                  <c:v>2789.82</c:v>
                </c:pt>
                <c:pt idx="5">
                  <c:v>3980.53</c:v>
                </c:pt>
                <c:pt idx="6">
                  <c:v>7264.01</c:v>
                </c:pt>
                <c:pt idx="7">
                  <c:v>13119.02</c:v>
                </c:pt>
                <c:pt idx="8">
                  <c:v>84992.66</c:v>
                </c:pt>
                <c:pt idx="9">
                  <c:v>334745.42</c:v>
                </c:pt>
                <c:pt idx="10">
                  <c:v>402390.74</c:v>
                </c:pt>
              </c:numCache>
            </c:numRef>
          </c:yVal>
          <c:smooth val="0"/>
          <c:extLst>
            <c:ext xmlns:c16="http://schemas.microsoft.com/office/drawing/2014/chart" uri="{C3380CC4-5D6E-409C-BE32-E72D297353CC}">
              <c16:uniqueId val="{00000000-A4E4-4F40-A664-D7137BF0613D}"/>
            </c:ext>
          </c:extLst>
        </c:ser>
        <c:dLbls>
          <c:showLegendKey val="0"/>
          <c:showVal val="0"/>
          <c:showCatName val="0"/>
          <c:showSerName val="0"/>
          <c:showPercent val="0"/>
          <c:showBubbleSize val="0"/>
        </c:dLbls>
        <c:axId val="1012816576"/>
        <c:axId val="1012818016"/>
      </c:scatterChart>
      <c:valAx>
        <c:axId val="1012816576"/>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012818016"/>
        <c:crosses val="autoZero"/>
        <c:crossBetween val="midCat"/>
      </c:valAx>
      <c:valAx>
        <c:axId val="1012818016"/>
        <c:scaling>
          <c:orientation val="minMax"/>
          <c:max val="40000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Generations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816576"/>
        <c:crosses val="autoZero"/>
        <c:crossBetween val="midCat"/>
        <c:majorUnit val="100000"/>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N=10</a:t>
            </a:r>
            <a:r>
              <a:rPr lang="en-US" sz="1200" b="0" i="0" u="none" strike="noStrike" kern="1200" spc="0" baseline="30000">
                <a:solidFill>
                  <a:sysClr val="windowText" lastClr="000000">
                    <a:lumMod val="65000"/>
                    <a:lumOff val="35000"/>
                  </a:sysClr>
                </a:solidFill>
              </a:rPr>
              <a:t>5</a:t>
            </a:r>
            <a:r>
              <a:rPr lang="en-US" sz="1200" b="0" i="0" u="none" strike="noStrike" kern="1200" spc="0" baseline="0">
                <a:solidFill>
                  <a:sysClr val="windowText" lastClr="000000">
                    <a:lumMod val="65000"/>
                    <a:lumOff val="35000"/>
                  </a:sysClr>
                </a:solidFill>
              </a:rPr>
              <a:t>, attempts=10</a:t>
            </a:r>
            <a:r>
              <a:rPr lang="en-US" sz="1200" b="0" i="0" u="none" strike="noStrike" kern="1200" spc="0" baseline="30000">
                <a:solidFill>
                  <a:sysClr val="windowText" lastClr="000000">
                    <a:lumMod val="65000"/>
                    <a:lumOff val="35000"/>
                  </a:sysClr>
                </a:solidFill>
              </a:rPr>
              <a:t>6</a:t>
            </a:r>
            <a:r>
              <a:rPr lang="en-US" sz="1200" b="0" i="0" u="none" strike="noStrike" kern="1200" spc="0" baseline="0">
                <a:solidFill>
                  <a:sysClr val="windowText" lastClr="000000">
                    <a:lumMod val="65000"/>
                    <a:lumOff val="35000"/>
                  </a:sysClr>
                </a:solidFill>
              </a:rPr>
              <a:t>,</a:t>
            </a:r>
          </a:p>
          <a:p>
            <a:pPr>
              <a:defRPr/>
            </a:pPr>
            <a:r>
              <a:rPr lang="en-US" sz="1200" b="0" i="0" u="none" strike="noStrike" kern="1200" spc="0" baseline="0">
                <a:solidFill>
                  <a:sysClr val="windowText" lastClr="000000">
                    <a:lumMod val="65000"/>
                    <a:lumOff val="35000"/>
                  </a:sysClr>
                </a:solidFill>
              </a:rPr>
              <a:t>reps=20, s=0 - 0.5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2004064227524"/>
          <c:y val="2.7023467085064552E-2"/>
          <c:w val="0.75761247090485884"/>
          <c:h val="0.75670680178430616"/>
        </c:manualLayout>
      </c:layout>
      <c:scatterChart>
        <c:scatterStyle val="lineMarker"/>
        <c:varyColors val="0"/>
        <c:ser>
          <c:idx val="0"/>
          <c:order val="0"/>
          <c:tx>
            <c:strRef>
              <c:f>Pop_100k!$I$30</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Pop_100k!$D$31:$D$45</c:f>
              <c:numCache>
                <c:formatCode>General</c:formatCode>
                <c:ptCount val="15"/>
                <c:pt idx="0">
                  <c:v>0.5</c:v>
                </c:pt>
                <c:pt idx="1">
                  <c:v>0.4</c:v>
                </c:pt>
                <c:pt idx="2">
                  <c:v>0.3</c:v>
                </c:pt>
                <c:pt idx="3">
                  <c:v>0.2</c:v>
                </c:pt>
                <c:pt idx="4">
                  <c:v>0.1</c:v>
                </c:pt>
                <c:pt idx="5">
                  <c:v>0.05</c:v>
                </c:pt>
                <c:pt idx="6">
                  <c:v>0.01</c:v>
                </c:pt>
                <c:pt idx="7">
                  <c:v>8.0000000000000002E-3</c:v>
                </c:pt>
                <c:pt idx="8">
                  <c:v>6.0000000000000001E-3</c:v>
                </c:pt>
                <c:pt idx="9">
                  <c:v>4.0000000000000001E-3</c:v>
                </c:pt>
                <c:pt idx="10">
                  <c:v>2E-3</c:v>
                </c:pt>
                <c:pt idx="11">
                  <c:v>1E-3</c:v>
                </c:pt>
                <c:pt idx="12">
                  <c:v>1E-4</c:v>
                </c:pt>
                <c:pt idx="13" formatCode="0.00E+00">
                  <c:v>1.0000000000000001E-5</c:v>
                </c:pt>
                <c:pt idx="14">
                  <c:v>0</c:v>
                </c:pt>
              </c:numCache>
            </c:numRef>
          </c:xVal>
          <c:yVal>
            <c:numRef>
              <c:f>Pop_100k!$I$31:$I$45</c:f>
              <c:numCache>
                <c:formatCode>#,##0</c:formatCode>
                <c:ptCount val="15"/>
                <c:pt idx="0">
                  <c:v>60.12</c:v>
                </c:pt>
                <c:pt idx="1">
                  <c:v>71.66</c:v>
                </c:pt>
                <c:pt idx="2">
                  <c:v>90.47</c:v>
                </c:pt>
                <c:pt idx="3">
                  <c:v>126.97</c:v>
                </c:pt>
                <c:pt idx="4">
                  <c:v>231.06</c:v>
                </c:pt>
                <c:pt idx="5">
                  <c:v>425.96</c:v>
                </c:pt>
                <c:pt idx="6">
                  <c:v>1779.36</c:v>
                </c:pt>
                <c:pt idx="7">
                  <c:v>2166.46</c:v>
                </c:pt>
                <c:pt idx="8">
                  <c:v>2789.82</c:v>
                </c:pt>
                <c:pt idx="9">
                  <c:v>3980.53</c:v>
                </c:pt>
                <c:pt idx="10">
                  <c:v>7264.01</c:v>
                </c:pt>
                <c:pt idx="11">
                  <c:v>13119.02</c:v>
                </c:pt>
                <c:pt idx="12">
                  <c:v>84992.66</c:v>
                </c:pt>
                <c:pt idx="13">
                  <c:v>334745.42</c:v>
                </c:pt>
                <c:pt idx="14">
                  <c:v>402390.74</c:v>
                </c:pt>
              </c:numCache>
            </c:numRef>
          </c:yVal>
          <c:smooth val="0"/>
          <c:extLst>
            <c:ext xmlns:c16="http://schemas.microsoft.com/office/drawing/2014/chart" uri="{C3380CC4-5D6E-409C-BE32-E72D297353CC}">
              <c16:uniqueId val="{00000000-9005-49C9-94BF-87F88D9E75D5}"/>
            </c:ext>
          </c:extLst>
        </c:ser>
        <c:dLbls>
          <c:showLegendKey val="0"/>
          <c:showVal val="0"/>
          <c:showCatName val="0"/>
          <c:showSerName val="0"/>
          <c:showPercent val="0"/>
          <c:showBubbleSize val="0"/>
        </c:dLbls>
        <c:axId val="1012816576"/>
        <c:axId val="1012818016"/>
      </c:scatterChart>
      <c:valAx>
        <c:axId val="1012816576"/>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012818016"/>
        <c:crosses val="autoZero"/>
        <c:crossBetween val="midCat"/>
      </c:valAx>
      <c:valAx>
        <c:axId val="1012818016"/>
        <c:scaling>
          <c:orientation val="minMax"/>
          <c:max val="40000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Generations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816576"/>
        <c:crosses val="autoZero"/>
        <c:crossBetween val="midCat"/>
        <c:majorUnit val="100000"/>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N=10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 attempts=10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a:t>
            </a:r>
          </a:p>
          <a:p>
            <a:pPr>
              <a:defRPr/>
            </a:pPr>
            <a:r>
              <a:rPr lang="en-US" sz="13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1493663684496353"/>
          <c:y val="4.0685331000291633E-2"/>
          <c:w val="0.73521948016465088"/>
          <c:h val="0.70390772206105812"/>
        </c:manualLayout>
      </c:layout>
      <c:scatterChart>
        <c:scatterStyle val="lineMarker"/>
        <c:varyColors val="0"/>
        <c:ser>
          <c:idx val="0"/>
          <c:order val="0"/>
          <c:tx>
            <c:strRef>
              <c:f>Pop_100k!$I$53</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(Pop_100k!$D$60:$D$66,Pop_100k!$D$69)</c:f>
              <c:numCache>
                <c:formatCode>General</c:formatCode>
                <c:ptCount val="8"/>
                <c:pt idx="0">
                  <c:v>0.01</c:v>
                </c:pt>
                <c:pt idx="1">
                  <c:v>8.0000000000000002E-3</c:v>
                </c:pt>
                <c:pt idx="2">
                  <c:v>6.0000000000000001E-3</c:v>
                </c:pt>
                <c:pt idx="3">
                  <c:v>4.0000000000000001E-3</c:v>
                </c:pt>
                <c:pt idx="4">
                  <c:v>2E-3</c:v>
                </c:pt>
                <c:pt idx="5">
                  <c:v>1E-3</c:v>
                </c:pt>
                <c:pt idx="6">
                  <c:v>1E-4</c:v>
                </c:pt>
                <c:pt idx="7">
                  <c:v>0</c:v>
                </c:pt>
              </c:numCache>
            </c:numRef>
          </c:xVal>
          <c:yVal>
            <c:numRef>
              <c:f>(Pop_100k!$I$60:$I$66,Pop_100k!$I$69)</c:f>
              <c:numCache>
                <c:formatCode>#,##0</c:formatCode>
                <c:ptCount val="8"/>
                <c:pt idx="0">
                  <c:v>1779.68</c:v>
                </c:pt>
                <c:pt idx="1">
                  <c:v>2164.9699999999998</c:v>
                </c:pt>
                <c:pt idx="2">
                  <c:v>2787.32</c:v>
                </c:pt>
                <c:pt idx="3">
                  <c:v>3978.22</c:v>
                </c:pt>
                <c:pt idx="4">
                  <c:v>7265.13</c:v>
                </c:pt>
                <c:pt idx="5">
                  <c:v>13098.19</c:v>
                </c:pt>
                <c:pt idx="6">
                  <c:v>83702.11</c:v>
                </c:pt>
                <c:pt idx="7">
                  <c:v>400000</c:v>
                </c:pt>
              </c:numCache>
            </c:numRef>
          </c:yVal>
          <c:smooth val="0"/>
          <c:extLst>
            <c:ext xmlns:c16="http://schemas.microsoft.com/office/drawing/2014/chart" uri="{C3380CC4-5D6E-409C-BE32-E72D297353CC}">
              <c16:uniqueId val="{00000000-2B91-4DC5-818E-04FE281EA8D1}"/>
            </c:ext>
          </c:extLst>
        </c:ser>
        <c:dLbls>
          <c:showLegendKey val="0"/>
          <c:showVal val="0"/>
          <c:showCatName val="0"/>
          <c:showSerName val="0"/>
          <c:showPercent val="0"/>
          <c:showBubbleSize val="0"/>
        </c:dLbls>
        <c:axId val="1009456192"/>
        <c:axId val="1009458112"/>
      </c:scatterChart>
      <c:valAx>
        <c:axId val="1009456192"/>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09458112"/>
        <c:crosses val="autoZero"/>
        <c:crossBetween val="midCat"/>
      </c:valAx>
      <c:valAx>
        <c:axId val="1009458112"/>
        <c:scaling>
          <c:orientation val="minMax"/>
          <c:max val="4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Generatoins</a:t>
                </a:r>
              </a:p>
            </c:rich>
          </c:tx>
          <c:layout>
            <c:manualLayout>
              <c:xMode val="edge"/>
              <c:yMode val="edge"/>
              <c:x val="9.9775465849333868E-3"/>
              <c:y val="0.1965862688216604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09456192"/>
        <c:crosses val="autoZero"/>
        <c:crossBetween val="midCat"/>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N=10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 attempts=10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a:t>
            </a:r>
          </a:p>
          <a:p>
            <a:pPr>
              <a:defRPr/>
            </a:pPr>
            <a:r>
              <a:rPr lang="en-US" sz="13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3056524080885824"/>
          <c:y val="3.7749276185837594E-2"/>
          <c:w val="0.70155997793725755"/>
          <c:h val="0.66224531211949023"/>
        </c:manualLayout>
      </c:layout>
      <c:scatterChart>
        <c:scatterStyle val="lineMarker"/>
        <c:varyColors val="0"/>
        <c:ser>
          <c:idx val="0"/>
          <c:order val="0"/>
          <c:tx>
            <c:strRef>
              <c:f>Pop_100k!$I$53</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(Pop_100k!$D$58:$D$66,Pop_100k!$D$69)</c:f>
              <c:numCache>
                <c:formatCode>General</c:formatCode>
                <c:ptCount val="10"/>
                <c:pt idx="0">
                  <c:v>0.1</c:v>
                </c:pt>
                <c:pt idx="1">
                  <c:v>0.05</c:v>
                </c:pt>
                <c:pt idx="2">
                  <c:v>0.01</c:v>
                </c:pt>
                <c:pt idx="3">
                  <c:v>8.0000000000000002E-3</c:v>
                </c:pt>
                <c:pt idx="4">
                  <c:v>6.0000000000000001E-3</c:v>
                </c:pt>
                <c:pt idx="5">
                  <c:v>4.0000000000000001E-3</c:v>
                </c:pt>
                <c:pt idx="6">
                  <c:v>2E-3</c:v>
                </c:pt>
                <c:pt idx="7">
                  <c:v>1E-3</c:v>
                </c:pt>
                <c:pt idx="8">
                  <c:v>1E-4</c:v>
                </c:pt>
                <c:pt idx="9">
                  <c:v>0</c:v>
                </c:pt>
              </c:numCache>
            </c:numRef>
          </c:xVal>
          <c:yVal>
            <c:numRef>
              <c:f>(Pop_100k!$I$58:$I$66,Pop_100k!$I$69)</c:f>
              <c:numCache>
                <c:formatCode>#,##0</c:formatCode>
                <c:ptCount val="10"/>
                <c:pt idx="0">
                  <c:v>231.05</c:v>
                </c:pt>
                <c:pt idx="1">
                  <c:v>425.98</c:v>
                </c:pt>
                <c:pt idx="2">
                  <c:v>1779.68</c:v>
                </c:pt>
                <c:pt idx="3">
                  <c:v>2164.9699999999998</c:v>
                </c:pt>
                <c:pt idx="4">
                  <c:v>2787.32</c:v>
                </c:pt>
                <c:pt idx="5">
                  <c:v>3978.22</c:v>
                </c:pt>
                <c:pt idx="6">
                  <c:v>7265.13</c:v>
                </c:pt>
                <c:pt idx="7">
                  <c:v>13098.19</c:v>
                </c:pt>
                <c:pt idx="8">
                  <c:v>83702.11</c:v>
                </c:pt>
                <c:pt idx="9">
                  <c:v>400000</c:v>
                </c:pt>
              </c:numCache>
            </c:numRef>
          </c:yVal>
          <c:smooth val="0"/>
          <c:extLst>
            <c:ext xmlns:c16="http://schemas.microsoft.com/office/drawing/2014/chart" uri="{C3380CC4-5D6E-409C-BE32-E72D297353CC}">
              <c16:uniqueId val="{00000000-D5BC-4E5A-86CE-BA2B977009B3}"/>
            </c:ext>
          </c:extLst>
        </c:ser>
        <c:dLbls>
          <c:showLegendKey val="0"/>
          <c:showVal val="0"/>
          <c:showCatName val="0"/>
          <c:showSerName val="0"/>
          <c:showPercent val="0"/>
          <c:showBubbleSize val="0"/>
        </c:dLbls>
        <c:axId val="1085063408"/>
        <c:axId val="1085069648"/>
      </c:scatterChart>
      <c:valAx>
        <c:axId val="1085063408"/>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85069648"/>
        <c:crosses val="autoZero"/>
        <c:crossBetween val="midCat"/>
        <c:minorUnit val="5.000000000000001E-3"/>
      </c:valAx>
      <c:valAx>
        <c:axId val="1085069648"/>
        <c:scaling>
          <c:orientation val="minMax"/>
          <c:max val="4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85063408"/>
        <c:crosses val="autoZero"/>
        <c:crossBetween val="midCat"/>
        <c:min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N=10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 attempts=10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a:t>
            </a:r>
          </a:p>
          <a:p>
            <a:pPr>
              <a:defRPr/>
            </a:pPr>
            <a:r>
              <a:rPr lang="en-US" sz="1300" b="0" i="0" u="none" strike="noStrike" kern="1200" spc="0" baseline="0">
                <a:solidFill>
                  <a:sysClr val="windowText" lastClr="000000">
                    <a:lumMod val="65000"/>
                    <a:lumOff val="35000"/>
                  </a:sysClr>
                </a:solidFill>
              </a:rPr>
              <a:t>reps=20, s=0 - 0.5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459311460929526"/>
          <c:y val="2.5428331875182269E-2"/>
          <c:w val="0.76906667102585269"/>
          <c:h val="0.76417468649752118"/>
        </c:manualLayout>
      </c:layout>
      <c:scatterChart>
        <c:scatterStyle val="lineMarker"/>
        <c:varyColors val="0"/>
        <c:ser>
          <c:idx val="0"/>
          <c:order val="0"/>
          <c:tx>
            <c:strRef>
              <c:f>Pop_100k!$I$53</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(Pop_100k!$D$54:$D$66,Pop_100k!$D$69)</c:f>
              <c:numCache>
                <c:formatCode>General</c:formatCode>
                <c:ptCount val="14"/>
                <c:pt idx="0">
                  <c:v>0.5</c:v>
                </c:pt>
                <c:pt idx="1">
                  <c:v>0.4</c:v>
                </c:pt>
                <c:pt idx="2">
                  <c:v>0.3</c:v>
                </c:pt>
                <c:pt idx="3">
                  <c:v>0.2</c:v>
                </c:pt>
                <c:pt idx="4">
                  <c:v>0.1</c:v>
                </c:pt>
                <c:pt idx="5">
                  <c:v>0.05</c:v>
                </c:pt>
                <c:pt idx="6">
                  <c:v>0.01</c:v>
                </c:pt>
                <c:pt idx="7">
                  <c:v>8.0000000000000002E-3</c:v>
                </c:pt>
                <c:pt idx="8">
                  <c:v>6.0000000000000001E-3</c:v>
                </c:pt>
                <c:pt idx="9">
                  <c:v>4.0000000000000001E-3</c:v>
                </c:pt>
                <c:pt idx="10">
                  <c:v>2E-3</c:v>
                </c:pt>
                <c:pt idx="11">
                  <c:v>1E-3</c:v>
                </c:pt>
                <c:pt idx="12">
                  <c:v>1E-4</c:v>
                </c:pt>
                <c:pt idx="13">
                  <c:v>0</c:v>
                </c:pt>
              </c:numCache>
            </c:numRef>
          </c:xVal>
          <c:yVal>
            <c:numRef>
              <c:f>(Pop_100k!$I$54:$I$66,Pop_100k!$I$69)</c:f>
              <c:numCache>
                <c:formatCode>#,##0</c:formatCode>
                <c:ptCount val="14"/>
                <c:pt idx="0">
                  <c:v>60.12</c:v>
                </c:pt>
                <c:pt idx="1">
                  <c:v>71.67</c:v>
                </c:pt>
                <c:pt idx="2">
                  <c:v>90.47</c:v>
                </c:pt>
                <c:pt idx="3">
                  <c:v>126.98</c:v>
                </c:pt>
                <c:pt idx="4">
                  <c:v>231.05</c:v>
                </c:pt>
                <c:pt idx="5">
                  <c:v>425.98</c:v>
                </c:pt>
                <c:pt idx="6">
                  <c:v>1779.68</c:v>
                </c:pt>
                <c:pt idx="7">
                  <c:v>2164.9699999999998</c:v>
                </c:pt>
                <c:pt idx="8">
                  <c:v>2787.32</c:v>
                </c:pt>
                <c:pt idx="9">
                  <c:v>3978.22</c:v>
                </c:pt>
                <c:pt idx="10">
                  <c:v>7265.13</c:v>
                </c:pt>
                <c:pt idx="11">
                  <c:v>13098.19</c:v>
                </c:pt>
                <c:pt idx="12">
                  <c:v>83702.11</c:v>
                </c:pt>
                <c:pt idx="13">
                  <c:v>400000</c:v>
                </c:pt>
              </c:numCache>
            </c:numRef>
          </c:yVal>
          <c:smooth val="0"/>
          <c:extLst>
            <c:ext xmlns:c16="http://schemas.microsoft.com/office/drawing/2014/chart" uri="{C3380CC4-5D6E-409C-BE32-E72D297353CC}">
              <c16:uniqueId val="{00000000-C30B-45E0-B866-DB9064F14F09}"/>
            </c:ext>
          </c:extLst>
        </c:ser>
        <c:dLbls>
          <c:showLegendKey val="0"/>
          <c:showVal val="0"/>
          <c:showCatName val="0"/>
          <c:showSerName val="0"/>
          <c:showPercent val="0"/>
          <c:showBubbleSize val="0"/>
        </c:dLbls>
        <c:axId val="1084060816"/>
        <c:axId val="764552016"/>
      </c:scatterChart>
      <c:valAx>
        <c:axId val="1084060816"/>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64552016"/>
        <c:crosses val="autoZero"/>
        <c:crossBetween val="midCat"/>
      </c:valAx>
      <c:valAx>
        <c:axId val="764552016"/>
        <c:scaling>
          <c:orientation val="minMax"/>
          <c:max val="4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84060816"/>
        <c:crosses val="autoZero"/>
        <c:crossBetween val="midCat"/>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7</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layout>
        <c:manualLayout>
          <c:xMode val="edge"/>
          <c:yMode val="edge"/>
          <c:x val="0.20143219936961798"/>
          <c:y val="6.9444465783240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631725963841314"/>
          <c:y val="3.5723705268548747E-2"/>
          <c:w val="0.76260814438818569"/>
          <c:h val="0.74255681454452338"/>
        </c:manualLayout>
      </c:layout>
      <c:scatterChart>
        <c:scatterStyle val="lineMarker"/>
        <c:varyColors val="0"/>
        <c:ser>
          <c:idx val="0"/>
          <c:order val="0"/>
          <c:tx>
            <c:strRef>
              <c:f>Pop_100k!$G$2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21E-6"/>
            <c:dispRSqr val="1"/>
            <c:dispEq val="1"/>
            <c:trendlineLbl>
              <c:layout>
                <c:manualLayout>
                  <c:x val="1.7100329131650644E-3"/>
                  <c:y val="0.3480161321298252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aseline="0"/>
                      <a:t>Prob = 1.9782s + 5E-06</a:t>
                    </a:r>
                    <a:br>
                      <a:rPr lang="en-US" sz="1100" baseline="0"/>
                    </a:br>
                    <a:r>
                      <a:rPr lang="en-US" sz="1100" baseline="0"/>
                      <a:t>R² = 1</a:t>
                    </a:r>
                    <a:endParaRPr lang="en-US" sz="11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Pop_100k!$D$14:$D$24</c:f>
              <c:numCache>
                <c:formatCode>General</c:formatCode>
                <c:ptCount val="11"/>
                <c:pt idx="0" formatCode="0.0E+00">
                  <c:v>0.01</c:v>
                </c:pt>
                <c:pt idx="1">
                  <c:v>8.0000000000000002E-3</c:v>
                </c:pt>
                <c:pt idx="2">
                  <c:v>6.0000000000000001E-3</c:v>
                </c:pt>
                <c:pt idx="3">
                  <c:v>4.0000000000000001E-3</c:v>
                </c:pt>
                <c:pt idx="4">
                  <c:v>2E-3</c:v>
                </c:pt>
                <c:pt idx="5" formatCode="0.0E+00">
                  <c:v>1E-3</c:v>
                </c:pt>
                <c:pt idx="6" formatCode="0.0E+00">
                  <c:v>1E-4</c:v>
                </c:pt>
                <c:pt idx="7" formatCode="0.0E+00">
                  <c:v>1.0000000000000001E-5</c:v>
                </c:pt>
                <c:pt idx="8" formatCode="0.0E+00">
                  <c:v>9.9999999999999995E-7</c:v>
                </c:pt>
                <c:pt idx="9" formatCode="0.0E+00">
                  <c:v>9.9999999999999995E-8</c:v>
                </c:pt>
                <c:pt idx="10">
                  <c:v>0</c:v>
                </c:pt>
              </c:numCache>
            </c:numRef>
          </c:xVal>
          <c:yVal>
            <c:numRef>
              <c:f>Pop_100k!$G$14:$G$24</c:f>
              <c:numCache>
                <c:formatCode>General</c:formatCode>
                <c:ptCount val="11"/>
                <c:pt idx="0">
                  <c:v>1.973159E-2</c:v>
                </c:pt>
                <c:pt idx="1">
                  <c:v>1.5844380000000002E-2</c:v>
                </c:pt>
                <c:pt idx="2">
                  <c:v>1.191188E-2</c:v>
                </c:pt>
                <c:pt idx="3">
                  <c:v>7.9525199999999994E-3</c:v>
                </c:pt>
                <c:pt idx="4">
                  <c:v>3.9929099999999997E-3</c:v>
                </c:pt>
                <c:pt idx="5">
                  <c:v>1.9994600000000002E-3</c:v>
                </c:pt>
                <c:pt idx="6">
                  <c:v>1.9856E-4</c:v>
                </c:pt>
                <c:pt idx="7">
                  <c:v>1.9939999999999999E-5</c:v>
                </c:pt>
                <c:pt idx="8">
                  <c:v>6.2099999999999998E-6</c:v>
                </c:pt>
                <c:pt idx="9" formatCode="0.0000000">
                  <c:v>4.9200000000000003E-6</c:v>
                </c:pt>
                <c:pt idx="10">
                  <c:v>5.0100000000000003E-6</c:v>
                </c:pt>
              </c:numCache>
            </c:numRef>
          </c:yVal>
          <c:smooth val="0"/>
          <c:extLst>
            <c:ext xmlns:c16="http://schemas.microsoft.com/office/drawing/2014/chart" uri="{C3380CC4-5D6E-409C-BE32-E72D297353CC}">
              <c16:uniqueId val="{00000000-4D7E-471E-B2C8-F71E406A615A}"/>
            </c:ext>
          </c:extLst>
        </c:ser>
        <c:dLbls>
          <c:showLegendKey val="0"/>
          <c:showVal val="0"/>
          <c:showCatName val="0"/>
          <c:showSerName val="0"/>
          <c:showPercent val="0"/>
          <c:showBubbleSize val="0"/>
        </c:dLbls>
        <c:axId val="49506975"/>
        <c:axId val="49505535"/>
      </c:scatterChart>
      <c:valAx>
        <c:axId val="49506975"/>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49505535"/>
        <c:crosses val="autoZero"/>
        <c:crossBetween val="midCat"/>
      </c:valAx>
      <c:valAx>
        <c:axId val="49505535"/>
        <c:scaling>
          <c:orientation val="minMax"/>
          <c:max val="2.0000000000000004E-2"/>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9506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7</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layout>
        <c:manualLayout>
          <c:xMode val="edge"/>
          <c:yMode val="edge"/>
          <c:x val="0.19777422092980051"/>
          <c:y val="5.6436335701939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4973747524023845"/>
          <c:y val="3.5723705268548747E-2"/>
          <c:w val="0.80752811962914417"/>
          <c:h val="0.74255681454452338"/>
        </c:manualLayout>
      </c:layout>
      <c:scatterChart>
        <c:scatterStyle val="lineMarker"/>
        <c:varyColors val="0"/>
        <c:ser>
          <c:idx val="0"/>
          <c:order val="0"/>
          <c:tx>
            <c:strRef>
              <c:f>Pop_100k!$G$2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21E-6"/>
            <c:dispRSqr val="1"/>
            <c:dispEq val="1"/>
            <c:trendlineLbl>
              <c:layout>
                <c:manualLayout>
                  <c:x val="3.0553336926025087E-2"/>
                  <c:y val="0.42888274100872525"/>
                </c:manualLayout>
              </c:layout>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aseline="0"/>
                      <a:t>Prob = 1.7875s + 5E-06Prob</a:t>
                    </a:r>
                    <a:br>
                      <a:rPr lang="en-US" sz="1100" baseline="0"/>
                    </a:br>
                    <a:r>
                      <a:rPr lang="en-US" sz="1100" baseline="0"/>
                      <a:t>R² = 0.9991</a:t>
                    </a:r>
                    <a:endParaRPr lang="en-US" sz="1100"/>
                  </a:p>
                </c:rich>
              </c:tx>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Pop_100k!$D$12:$D$24</c:f>
              <c:numCache>
                <c:formatCode>General</c:formatCode>
                <c:ptCount val="13"/>
                <c:pt idx="0">
                  <c:v>0.1</c:v>
                </c:pt>
                <c:pt idx="1">
                  <c:v>0.05</c:v>
                </c:pt>
                <c:pt idx="2" formatCode="0.0E+00">
                  <c:v>0.01</c:v>
                </c:pt>
                <c:pt idx="3">
                  <c:v>8.0000000000000002E-3</c:v>
                </c:pt>
                <c:pt idx="4">
                  <c:v>6.0000000000000001E-3</c:v>
                </c:pt>
                <c:pt idx="5">
                  <c:v>4.0000000000000001E-3</c:v>
                </c:pt>
                <c:pt idx="6">
                  <c:v>2E-3</c:v>
                </c:pt>
                <c:pt idx="7" formatCode="0.0E+00">
                  <c:v>1E-3</c:v>
                </c:pt>
                <c:pt idx="8" formatCode="0.0E+00">
                  <c:v>1E-4</c:v>
                </c:pt>
                <c:pt idx="9" formatCode="0.0E+00">
                  <c:v>1.0000000000000001E-5</c:v>
                </c:pt>
                <c:pt idx="10" formatCode="0.0E+00">
                  <c:v>9.9999999999999995E-7</c:v>
                </c:pt>
                <c:pt idx="11" formatCode="0.0E+00">
                  <c:v>9.9999999999999995E-8</c:v>
                </c:pt>
                <c:pt idx="12">
                  <c:v>0</c:v>
                </c:pt>
              </c:numCache>
            </c:numRef>
          </c:xVal>
          <c:yVal>
            <c:numRef>
              <c:f>Pop_100k!$G$12:$G$24</c:f>
              <c:numCache>
                <c:formatCode>General</c:formatCode>
                <c:ptCount val="13"/>
                <c:pt idx="0">
                  <c:v>0.17617331</c:v>
                </c:pt>
                <c:pt idx="1">
                  <c:v>9.3706200000000003E-2</c:v>
                </c:pt>
                <c:pt idx="2">
                  <c:v>1.973159E-2</c:v>
                </c:pt>
                <c:pt idx="3">
                  <c:v>1.5844380000000002E-2</c:v>
                </c:pt>
                <c:pt idx="4">
                  <c:v>1.191188E-2</c:v>
                </c:pt>
                <c:pt idx="5">
                  <c:v>7.9525199999999994E-3</c:v>
                </c:pt>
                <c:pt idx="6">
                  <c:v>3.9929099999999997E-3</c:v>
                </c:pt>
                <c:pt idx="7">
                  <c:v>1.9994600000000002E-3</c:v>
                </c:pt>
                <c:pt idx="8">
                  <c:v>1.9856E-4</c:v>
                </c:pt>
                <c:pt idx="9">
                  <c:v>1.9939999999999999E-5</c:v>
                </c:pt>
                <c:pt idx="10">
                  <c:v>6.2099999999999998E-6</c:v>
                </c:pt>
                <c:pt idx="11" formatCode="0.0000000">
                  <c:v>4.9200000000000003E-6</c:v>
                </c:pt>
                <c:pt idx="12">
                  <c:v>5.0100000000000003E-6</c:v>
                </c:pt>
              </c:numCache>
            </c:numRef>
          </c:yVal>
          <c:smooth val="0"/>
          <c:extLst>
            <c:ext xmlns:c16="http://schemas.microsoft.com/office/drawing/2014/chart" uri="{C3380CC4-5D6E-409C-BE32-E72D297353CC}">
              <c16:uniqueId val="{00000002-E50E-43CD-800E-C6AA2B8848CA}"/>
            </c:ext>
          </c:extLst>
        </c:ser>
        <c:dLbls>
          <c:showLegendKey val="0"/>
          <c:showVal val="0"/>
          <c:showCatName val="0"/>
          <c:showSerName val="0"/>
          <c:showPercent val="0"/>
          <c:showBubbleSize val="0"/>
        </c:dLbls>
        <c:axId val="49506975"/>
        <c:axId val="49505535"/>
      </c:scatterChart>
      <c:valAx>
        <c:axId val="49506975"/>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49505535"/>
        <c:crosses val="autoZero"/>
        <c:crossBetween val="midCat"/>
        <c:minorUnit val="5.000000000000001E-3"/>
      </c:valAx>
      <c:valAx>
        <c:axId val="49505535"/>
        <c:scaling>
          <c:orientation val="minMax"/>
          <c:max val="0.2"/>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9506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N=10</a:t>
            </a:r>
            <a:r>
              <a:rPr lang="en-US" sz="1300" b="0" i="0" u="none" strike="noStrike" kern="1200" spc="0" baseline="30000">
                <a:solidFill>
                  <a:sysClr val="windowText" lastClr="000000">
                    <a:lumMod val="65000"/>
                    <a:lumOff val="35000"/>
                  </a:sysClr>
                </a:solidFill>
              </a:rPr>
              <a:t>5</a:t>
            </a:r>
            <a:r>
              <a:rPr lang="en-US" sz="1300" b="0" i="0" u="none" strike="noStrike" kern="1200" spc="0" baseline="0">
                <a:solidFill>
                  <a:sysClr val="windowText" lastClr="000000">
                    <a:lumMod val="65000"/>
                    <a:lumOff val="35000"/>
                  </a:sysClr>
                </a:solidFill>
              </a:rPr>
              <a:t>, attempts=10</a:t>
            </a:r>
            <a:r>
              <a:rPr lang="en-US" sz="1300" b="0" i="0" u="none" strike="noStrike" kern="1200" spc="0" baseline="30000">
                <a:solidFill>
                  <a:sysClr val="windowText" lastClr="000000">
                    <a:lumMod val="65000"/>
                    <a:lumOff val="35000"/>
                  </a:sysClr>
                </a:solidFill>
              </a:rPr>
              <a:t>7</a:t>
            </a:r>
            <a:r>
              <a:rPr lang="en-US" sz="1300" b="0" i="0" u="none" strike="noStrike" kern="1200" spc="0" baseline="0">
                <a:solidFill>
                  <a:sysClr val="windowText" lastClr="000000">
                    <a:lumMod val="65000"/>
                    <a:lumOff val="35000"/>
                  </a:sysClr>
                </a:solidFill>
              </a:rPr>
              <a:t>,</a:t>
            </a:r>
          </a:p>
          <a:p>
            <a:pPr>
              <a:defRPr sz="1300"/>
            </a:pPr>
            <a:r>
              <a:rPr lang="en-US" sz="1300" b="0" i="0" u="none" strike="noStrike" kern="1200" spc="0" baseline="0">
                <a:solidFill>
                  <a:sysClr val="windowText" lastClr="000000">
                    <a:lumMod val="65000"/>
                    <a:lumOff val="35000"/>
                  </a:sysClr>
                </a:solidFill>
              </a:rPr>
              <a:t>reps=20, s=0 - 0.5</a:t>
            </a:r>
          </a:p>
        </c:rich>
      </c:tx>
      <c:layout>
        <c:manualLayout>
          <c:xMode val="edge"/>
          <c:yMode val="edge"/>
          <c:x val="0.18314230717053068"/>
          <c:y val="4.3428205620638885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4973747524023845"/>
          <c:y val="3.5723705268548747E-2"/>
          <c:w val="0.80752811962914417"/>
          <c:h val="0.74906087958517376"/>
        </c:manualLayout>
      </c:layout>
      <c:scatterChart>
        <c:scatterStyle val="lineMarker"/>
        <c:varyColors val="0"/>
        <c:ser>
          <c:idx val="0"/>
          <c:order val="0"/>
          <c:tx>
            <c:strRef>
              <c:f>Pop_100k!$G$2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5.0000000000000021E-6"/>
            <c:dispRSqr val="1"/>
            <c:dispEq val="1"/>
            <c:trendlineLbl>
              <c:layout>
                <c:manualLayout>
                  <c:x val="2.4279759886838854E-2"/>
                  <c:y val="0.47159336790218298"/>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-1.3474s</a:t>
                    </a:r>
                    <a:r>
                      <a:rPr lang="en-US" sz="1200" baseline="30000"/>
                      <a:t>2</a:t>
                    </a:r>
                    <a:r>
                      <a:rPr lang="en-US" sz="1200" baseline="0"/>
                      <a:t> + 1.8301s + 5E-06</a:t>
                    </a:r>
                    <a:br>
                      <a:rPr lang="en-US" sz="1200" baseline="0"/>
                    </a:br>
                    <a:r>
                      <a:rPr lang="en-US" sz="1200" baseline="0"/>
                      <a:t>R² = 0.9998</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Pop_100k!$D$8:$D$24</c:f>
              <c:numCache>
                <c:formatCode>General</c:formatCode>
                <c:ptCount val="17"/>
                <c:pt idx="0">
                  <c:v>0.5</c:v>
                </c:pt>
                <c:pt idx="1">
                  <c:v>0.4</c:v>
                </c:pt>
                <c:pt idx="2">
                  <c:v>0.3</c:v>
                </c:pt>
                <c:pt idx="3">
                  <c:v>0.2</c:v>
                </c:pt>
                <c:pt idx="4">
                  <c:v>0.1</c:v>
                </c:pt>
                <c:pt idx="5">
                  <c:v>0.05</c:v>
                </c:pt>
                <c:pt idx="6" formatCode="0.0E+00">
                  <c:v>0.01</c:v>
                </c:pt>
                <c:pt idx="7">
                  <c:v>8.0000000000000002E-3</c:v>
                </c:pt>
                <c:pt idx="8">
                  <c:v>6.0000000000000001E-3</c:v>
                </c:pt>
                <c:pt idx="9">
                  <c:v>4.0000000000000001E-3</c:v>
                </c:pt>
                <c:pt idx="10">
                  <c:v>2E-3</c:v>
                </c:pt>
                <c:pt idx="11" formatCode="0.0E+00">
                  <c:v>1E-3</c:v>
                </c:pt>
                <c:pt idx="12" formatCode="0.0E+00">
                  <c:v>1E-4</c:v>
                </c:pt>
                <c:pt idx="13" formatCode="0.0E+00">
                  <c:v>1.0000000000000001E-5</c:v>
                </c:pt>
                <c:pt idx="14" formatCode="0.0E+00">
                  <c:v>9.9999999999999995E-7</c:v>
                </c:pt>
                <c:pt idx="15" formatCode="0.0E+00">
                  <c:v>9.9999999999999995E-8</c:v>
                </c:pt>
                <c:pt idx="16">
                  <c:v>0</c:v>
                </c:pt>
              </c:numCache>
            </c:numRef>
          </c:xVal>
          <c:yVal>
            <c:numRef>
              <c:f>Pop_100k!$G$8:$G$24</c:f>
              <c:numCache>
                <c:formatCode>General</c:formatCode>
                <c:ptCount val="17"/>
                <c:pt idx="0">
                  <c:v>0.5827985</c:v>
                </c:pt>
                <c:pt idx="1">
                  <c:v>0.51105230999999995</c:v>
                </c:pt>
                <c:pt idx="2">
                  <c:v>0.42299419999999999</c:v>
                </c:pt>
                <c:pt idx="3">
                  <c:v>0.31370263999999998</c:v>
                </c:pt>
                <c:pt idx="4">
                  <c:v>0.17617331</c:v>
                </c:pt>
                <c:pt idx="5">
                  <c:v>9.3706200000000003E-2</c:v>
                </c:pt>
                <c:pt idx="6">
                  <c:v>1.973159E-2</c:v>
                </c:pt>
                <c:pt idx="7">
                  <c:v>1.5844380000000002E-2</c:v>
                </c:pt>
                <c:pt idx="8">
                  <c:v>1.191188E-2</c:v>
                </c:pt>
                <c:pt idx="9">
                  <c:v>7.9525199999999994E-3</c:v>
                </c:pt>
                <c:pt idx="10">
                  <c:v>3.9929099999999997E-3</c:v>
                </c:pt>
                <c:pt idx="11">
                  <c:v>1.9994600000000002E-3</c:v>
                </c:pt>
                <c:pt idx="12">
                  <c:v>1.9856E-4</c:v>
                </c:pt>
                <c:pt idx="13">
                  <c:v>1.9939999999999999E-5</c:v>
                </c:pt>
                <c:pt idx="14">
                  <c:v>6.2099999999999998E-6</c:v>
                </c:pt>
                <c:pt idx="15" formatCode="0.0000000">
                  <c:v>4.9200000000000003E-6</c:v>
                </c:pt>
                <c:pt idx="16">
                  <c:v>5.0100000000000003E-6</c:v>
                </c:pt>
              </c:numCache>
            </c:numRef>
          </c:yVal>
          <c:smooth val="0"/>
          <c:extLst>
            <c:ext xmlns:c16="http://schemas.microsoft.com/office/drawing/2014/chart" uri="{C3380CC4-5D6E-409C-BE32-E72D297353CC}">
              <c16:uniqueId val="{00000001-7130-411D-A35F-FC81F3684DAC}"/>
            </c:ext>
          </c:extLst>
        </c:ser>
        <c:dLbls>
          <c:showLegendKey val="0"/>
          <c:showVal val="0"/>
          <c:showCatName val="0"/>
          <c:showSerName val="0"/>
          <c:showPercent val="0"/>
          <c:showBubbleSize val="0"/>
        </c:dLbls>
        <c:axId val="49506975"/>
        <c:axId val="49505535"/>
      </c:scatterChart>
      <c:valAx>
        <c:axId val="49506975"/>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49505535"/>
        <c:crosses val="autoZero"/>
        <c:crossBetween val="midCat"/>
        <c:minorUnit val="5.000000000000001E-2"/>
      </c:valAx>
      <c:valAx>
        <c:axId val="49505535"/>
        <c:scaling>
          <c:orientation val="minMax"/>
          <c:max val="0.60000000000000009"/>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9506975"/>
        <c:crosses val="autoZero"/>
        <c:crossBetween val="midCat"/>
        <c:majorUnit val="0.1"/>
        <c:min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 attempts=10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s=0 - 1</a:t>
            </a:r>
          </a:p>
        </c:rich>
      </c:tx>
      <c:layout>
        <c:manualLayout>
          <c:xMode val="edge"/>
          <c:yMode val="edge"/>
          <c:x val="0.2034999035486535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5124759405074364"/>
          <c:y val="2.5428331875182269E-2"/>
          <c:w val="0.7960441819772528"/>
          <c:h val="0.78227653834937294"/>
        </c:manualLayout>
      </c:layout>
      <c:scatterChart>
        <c:scatterStyle val="lineMarker"/>
        <c:varyColors val="0"/>
        <c:ser>
          <c:idx val="0"/>
          <c:order val="0"/>
          <c:tx>
            <c:strRef>
              <c:f>Pop_10!$G$2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5.000000000000001E-2"/>
            <c:dispRSqr val="1"/>
            <c:dispEq val="1"/>
            <c:trendlineLbl>
              <c:layout>
                <c:manualLayout>
                  <c:x val="-7.7559320016788141E-2"/>
                  <c:y val="0.40512722368037329"/>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-0.658s</a:t>
                    </a:r>
                    <a:r>
                      <a:rPr lang="en-US" sz="1200" baseline="30000"/>
                      <a:t>2</a:t>
                    </a:r>
                    <a:r>
                      <a:rPr lang="en-US" sz="1200" baseline="0"/>
                      <a:t> + 1.3839s + 0.05</a:t>
                    </a:r>
                    <a:br>
                      <a:rPr lang="en-US" sz="1200" baseline="0"/>
                    </a:br>
                    <a:r>
                      <a:rPr lang="en-US" sz="1200" baseline="0"/>
                      <a:t>R² = 0.9992</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Pop_10!$D$3:$D$25</c:f>
              <c:numCache>
                <c:formatCode>General</c:formatCode>
                <c:ptCount val="23"/>
                <c:pt idx="0">
                  <c:v>1</c:v>
                </c:pt>
                <c:pt idx="1">
                  <c:v>0.9</c:v>
                </c:pt>
                <c:pt idx="2">
                  <c:v>0.8</c:v>
                </c:pt>
                <c:pt idx="3">
                  <c:v>0.7</c:v>
                </c:pt>
                <c:pt idx="4">
                  <c:v>0.6</c:v>
                </c:pt>
                <c:pt idx="5">
                  <c:v>0.5</c:v>
                </c:pt>
                <c:pt idx="6">
                  <c:v>0.4</c:v>
                </c:pt>
                <c:pt idx="7">
                  <c:v>0.3</c:v>
                </c:pt>
                <c:pt idx="8">
                  <c:v>0.2</c:v>
                </c:pt>
                <c:pt idx="9">
                  <c:v>0.1</c:v>
                </c:pt>
                <c:pt idx="10">
                  <c:v>0.05</c:v>
                </c:pt>
                <c:pt idx="11" formatCode="0.0E+00">
                  <c:v>0.01</c:v>
                </c:pt>
                <c:pt idx="12">
                  <c:v>5.0000000000000001E-3</c:v>
                </c:pt>
                <c:pt idx="13" formatCode="0.0E+00">
                  <c:v>1E-3</c:v>
                </c:pt>
                <c:pt idx="14">
                  <c:v>5.0000000000000001E-4</c:v>
                </c:pt>
                <c:pt idx="15" formatCode="0.0E+00">
                  <c:v>1E-4</c:v>
                </c:pt>
                <c:pt idx="16" formatCode="0.00E+00">
                  <c:v>5.0000000000000002E-5</c:v>
                </c:pt>
                <c:pt idx="17" formatCode="0.0E+00">
                  <c:v>1.0000000000000001E-5</c:v>
                </c:pt>
                <c:pt idx="18" formatCode="0.00E+00">
                  <c:v>5.0000000000000004E-6</c:v>
                </c:pt>
                <c:pt idx="19" formatCode="0.0E+00">
                  <c:v>9.9999999999999995E-7</c:v>
                </c:pt>
                <c:pt idx="20" formatCode="0.00E+00">
                  <c:v>4.9999999999999998E-7</c:v>
                </c:pt>
                <c:pt idx="21" formatCode="0.0E+00">
                  <c:v>9.9999999999999995E-8</c:v>
                </c:pt>
                <c:pt idx="22">
                  <c:v>0</c:v>
                </c:pt>
              </c:numCache>
            </c:numRef>
          </c:xVal>
          <c:yVal>
            <c:numRef>
              <c:f>Pop_10!$G$3:$G$25</c:f>
              <c:numCache>
                <c:formatCode>0.00000</c:formatCode>
                <c:ptCount val="23"/>
                <c:pt idx="0">
                  <c:v>0.79285000000000005</c:v>
                </c:pt>
                <c:pt idx="1">
                  <c:v>0.75849999999999995</c:v>
                </c:pt>
                <c:pt idx="2">
                  <c:v>0.72035000000000005</c:v>
                </c:pt>
                <c:pt idx="3">
                  <c:v>0.68200000000000005</c:v>
                </c:pt>
                <c:pt idx="4">
                  <c:v>0.64134999999999998</c:v>
                </c:pt>
                <c:pt idx="5">
                  <c:v>0.5806</c:v>
                </c:pt>
                <c:pt idx="6">
                  <c:v>0.50880000000000003</c:v>
                </c:pt>
                <c:pt idx="7">
                  <c:v>0.42144999999999999</c:v>
                </c:pt>
                <c:pt idx="8">
                  <c:v>0.30559999999999998</c:v>
                </c:pt>
                <c:pt idx="9">
                  <c:v>0.17874999999999999</c:v>
                </c:pt>
                <c:pt idx="10">
                  <c:v>0.10274999999999999</c:v>
                </c:pt>
                <c:pt idx="11">
                  <c:v>6.0199999999999997E-2</c:v>
                </c:pt>
                <c:pt idx="12">
                  <c:v>5.3150000000000003E-2</c:v>
                </c:pt>
                <c:pt idx="13">
                  <c:v>5.04E-2</c:v>
                </c:pt>
                <c:pt idx="14">
                  <c:v>5.0049999999999997E-2</c:v>
                </c:pt>
                <c:pt idx="15">
                  <c:v>4.9349999999999998E-2</c:v>
                </c:pt>
                <c:pt idx="16">
                  <c:v>4.7300000000000002E-2</c:v>
                </c:pt>
                <c:pt idx="17">
                  <c:v>5.2400000000000002E-2</c:v>
                </c:pt>
                <c:pt idx="18">
                  <c:v>5.0750000000000003E-2</c:v>
                </c:pt>
                <c:pt idx="19">
                  <c:v>4.99E-2</c:v>
                </c:pt>
                <c:pt idx="20">
                  <c:v>4.8050000000000002E-2</c:v>
                </c:pt>
                <c:pt idx="21">
                  <c:v>4.99E-2</c:v>
                </c:pt>
                <c:pt idx="22">
                  <c:v>5.1400000000000001E-2</c:v>
                </c:pt>
              </c:numCache>
            </c:numRef>
          </c:yVal>
          <c:smooth val="0"/>
          <c:extLst>
            <c:ext xmlns:c16="http://schemas.microsoft.com/office/drawing/2014/chart" uri="{C3380CC4-5D6E-409C-BE32-E72D297353CC}">
              <c16:uniqueId val="{00000002-27C8-4C7B-8FFF-61F2398145E2}"/>
            </c:ext>
          </c:extLst>
        </c:ser>
        <c:dLbls>
          <c:showLegendKey val="0"/>
          <c:showVal val="0"/>
          <c:showCatName val="0"/>
          <c:showSerName val="0"/>
          <c:showPercent val="0"/>
          <c:showBubbleSize val="0"/>
        </c:dLbls>
        <c:axId val="1111248784"/>
        <c:axId val="1111255504"/>
      </c:scatterChart>
      <c:valAx>
        <c:axId val="1111248784"/>
        <c:scaling>
          <c:orientation val="minMax"/>
          <c:max val="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55504"/>
        <c:crosses val="autoZero"/>
        <c:crossBetween val="midCat"/>
        <c:majorUnit val="0.25"/>
      </c:valAx>
      <c:valAx>
        <c:axId val="1111255504"/>
        <c:scaling>
          <c:orientation val="minMax"/>
          <c:max val="0.8"/>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48784"/>
        <c:crosses val="autoZero"/>
        <c:crossBetween val="midCat"/>
        <c:min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7</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5444745636303656"/>
          <c:y val="4.5235972861882835E-2"/>
          <c:w val="0.67323006755303128"/>
          <c:h val="0.73651463378398452"/>
        </c:manualLayout>
      </c:layout>
      <c:scatterChart>
        <c:scatterStyle val="lineMarker"/>
        <c:varyColors val="0"/>
        <c:ser>
          <c:idx val="0"/>
          <c:order val="0"/>
          <c:tx>
            <c:strRef>
              <c:f>Pop_100k!$I$2</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Pop_100k!$D$14:$D$24</c:f>
              <c:numCache>
                <c:formatCode>General</c:formatCode>
                <c:ptCount val="11"/>
                <c:pt idx="0" formatCode="0.0E+00">
                  <c:v>0.01</c:v>
                </c:pt>
                <c:pt idx="1">
                  <c:v>8.0000000000000002E-3</c:v>
                </c:pt>
                <c:pt idx="2">
                  <c:v>6.0000000000000001E-3</c:v>
                </c:pt>
                <c:pt idx="3">
                  <c:v>4.0000000000000001E-3</c:v>
                </c:pt>
                <c:pt idx="4">
                  <c:v>2E-3</c:v>
                </c:pt>
                <c:pt idx="5" formatCode="0.0E+00">
                  <c:v>1E-3</c:v>
                </c:pt>
                <c:pt idx="6" formatCode="0.0E+00">
                  <c:v>1E-4</c:v>
                </c:pt>
                <c:pt idx="7" formatCode="0.0E+00">
                  <c:v>1.0000000000000001E-5</c:v>
                </c:pt>
                <c:pt idx="8" formatCode="0.0E+00">
                  <c:v>9.9999999999999995E-7</c:v>
                </c:pt>
                <c:pt idx="9" formatCode="0.0E+00">
                  <c:v>9.9999999999999995E-8</c:v>
                </c:pt>
                <c:pt idx="10">
                  <c:v>0</c:v>
                </c:pt>
              </c:numCache>
            </c:numRef>
          </c:xVal>
          <c:yVal>
            <c:numRef>
              <c:f>Pop_100k!$I$14:$I$24</c:f>
              <c:numCache>
                <c:formatCode>#,##0</c:formatCode>
                <c:ptCount val="11"/>
                <c:pt idx="0">
                  <c:v>1778.82</c:v>
                </c:pt>
                <c:pt idx="1">
                  <c:v>2166.2600000000002</c:v>
                </c:pt>
                <c:pt idx="2">
                  <c:v>2790.95</c:v>
                </c:pt>
                <c:pt idx="3">
                  <c:v>3980.53</c:v>
                </c:pt>
                <c:pt idx="4">
                  <c:v>7262.03</c:v>
                </c:pt>
                <c:pt idx="5">
                  <c:v>13133.66</c:v>
                </c:pt>
                <c:pt idx="6">
                  <c:v>84842.01</c:v>
                </c:pt>
                <c:pt idx="7">
                  <c:v>339954.7</c:v>
                </c:pt>
                <c:pt idx="8">
                  <c:v>395547.62</c:v>
                </c:pt>
                <c:pt idx="9">
                  <c:v>397261.78</c:v>
                </c:pt>
                <c:pt idx="10">
                  <c:v>396826.5</c:v>
                </c:pt>
              </c:numCache>
            </c:numRef>
          </c:yVal>
          <c:smooth val="0"/>
          <c:extLst>
            <c:ext xmlns:c16="http://schemas.microsoft.com/office/drawing/2014/chart" uri="{C3380CC4-5D6E-409C-BE32-E72D297353CC}">
              <c16:uniqueId val="{00000000-6AB0-4DDA-9953-9CD94A692F8E}"/>
            </c:ext>
          </c:extLst>
        </c:ser>
        <c:dLbls>
          <c:showLegendKey val="0"/>
          <c:showVal val="0"/>
          <c:showCatName val="0"/>
          <c:showSerName val="0"/>
          <c:showPercent val="0"/>
          <c:showBubbleSize val="0"/>
        </c:dLbls>
        <c:axId val="1568283167"/>
        <c:axId val="1568283647"/>
      </c:scatterChart>
      <c:valAx>
        <c:axId val="1568283167"/>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layout>
            <c:manualLayout>
              <c:xMode val="edge"/>
              <c:yMode val="edge"/>
              <c:x val="0.38166343961103222"/>
              <c:y val="0.8701257861635219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568283647"/>
        <c:crosses val="autoZero"/>
        <c:crossBetween val="midCat"/>
        <c:minorUnit val="5.0000000000000012E-4"/>
      </c:valAx>
      <c:valAx>
        <c:axId val="1568283647"/>
        <c:scaling>
          <c:orientation val="minMax"/>
          <c:max val="4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Generations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568283167"/>
        <c:crosses val="autoZero"/>
        <c:crossBetween val="midCat"/>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7</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5444745636303656"/>
          <c:y val="4.5235972861882835E-2"/>
          <c:w val="0.67323006755303128"/>
          <c:h val="0.73651463378398452"/>
        </c:manualLayout>
      </c:layout>
      <c:scatterChart>
        <c:scatterStyle val="lineMarker"/>
        <c:varyColors val="0"/>
        <c:ser>
          <c:idx val="0"/>
          <c:order val="0"/>
          <c:tx>
            <c:strRef>
              <c:f>Pop_100k!$I$2</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Pop_100k!$D$12:$D$24</c:f>
              <c:numCache>
                <c:formatCode>General</c:formatCode>
                <c:ptCount val="13"/>
                <c:pt idx="0">
                  <c:v>0.1</c:v>
                </c:pt>
                <c:pt idx="1">
                  <c:v>0.05</c:v>
                </c:pt>
                <c:pt idx="2" formatCode="0.0E+00">
                  <c:v>0.01</c:v>
                </c:pt>
                <c:pt idx="3">
                  <c:v>8.0000000000000002E-3</c:v>
                </c:pt>
                <c:pt idx="4">
                  <c:v>6.0000000000000001E-3</c:v>
                </c:pt>
                <c:pt idx="5">
                  <c:v>4.0000000000000001E-3</c:v>
                </c:pt>
                <c:pt idx="6">
                  <c:v>2E-3</c:v>
                </c:pt>
                <c:pt idx="7" formatCode="0.0E+00">
                  <c:v>1E-3</c:v>
                </c:pt>
                <c:pt idx="8" formatCode="0.0E+00">
                  <c:v>1E-4</c:v>
                </c:pt>
                <c:pt idx="9" formatCode="0.0E+00">
                  <c:v>1.0000000000000001E-5</c:v>
                </c:pt>
                <c:pt idx="10" formatCode="0.0E+00">
                  <c:v>9.9999999999999995E-7</c:v>
                </c:pt>
                <c:pt idx="11" formatCode="0.0E+00">
                  <c:v>9.9999999999999995E-8</c:v>
                </c:pt>
                <c:pt idx="12">
                  <c:v>0</c:v>
                </c:pt>
              </c:numCache>
            </c:numRef>
          </c:xVal>
          <c:yVal>
            <c:numRef>
              <c:f>Pop_100k!$I$12:$I$24</c:f>
              <c:numCache>
                <c:formatCode>#,##0</c:formatCode>
                <c:ptCount val="13"/>
                <c:pt idx="0">
                  <c:v>231.05</c:v>
                </c:pt>
                <c:pt idx="1">
                  <c:v>425.98</c:v>
                </c:pt>
                <c:pt idx="2">
                  <c:v>1778.82</c:v>
                </c:pt>
                <c:pt idx="3">
                  <c:v>2166.2600000000002</c:v>
                </c:pt>
                <c:pt idx="4">
                  <c:v>2790.95</c:v>
                </c:pt>
                <c:pt idx="5">
                  <c:v>3980.53</c:v>
                </c:pt>
                <c:pt idx="6">
                  <c:v>7262.03</c:v>
                </c:pt>
                <c:pt idx="7">
                  <c:v>13133.66</c:v>
                </c:pt>
                <c:pt idx="8">
                  <c:v>84842.01</c:v>
                </c:pt>
                <c:pt idx="9">
                  <c:v>339954.7</c:v>
                </c:pt>
                <c:pt idx="10">
                  <c:v>395547.62</c:v>
                </c:pt>
                <c:pt idx="11">
                  <c:v>397261.78</c:v>
                </c:pt>
                <c:pt idx="12">
                  <c:v>396826.5</c:v>
                </c:pt>
              </c:numCache>
            </c:numRef>
          </c:yVal>
          <c:smooth val="0"/>
          <c:extLst>
            <c:ext xmlns:c16="http://schemas.microsoft.com/office/drawing/2014/chart" uri="{C3380CC4-5D6E-409C-BE32-E72D297353CC}">
              <c16:uniqueId val="{00000000-3D79-4340-8F7B-BC5685AB6F37}"/>
            </c:ext>
          </c:extLst>
        </c:ser>
        <c:dLbls>
          <c:showLegendKey val="0"/>
          <c:showVal val="0"/>
          <c:showCatName val="0"/>
          <c:showSerName val="0"/>
          <c:showPercent val="0"/>
          <c:showBubbleSize val="0"/>
        </c:dLbls>
        <c:axId val="1568283167"/>
        <c:axId val="1568283647"/>
      </c:scatterChart>
      <c:valAx>
        <c:axId val="1568283167"/>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layout>
            <c:manualLayout>
              <c:xMode val="edge"/>
              <c:yMode val="edge"/>
              <c:x val="0.38166343961103222"/>
              <c:y val="0.8701257861635219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568283647"/>
        <c:crosses val="autoZero"/>
        <c:crossBetween val="midCat"/>
        <c:majorUnit val="2.0000000000000004E-2"/>
      </c:valAx>
      <c:valAx>
        <c:axId val="1568283647"/>
        <c:scaling>
          <c:orientation val="minMax"/>
          <c:max val="40000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Generations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568283167"/>
        <c:crosses val="autoZero"/>
        <c:crossBetween val="midCat"/>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7</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25444745636303656"/>
          <c:y val="4.5235972861882835E-2"/>
          <c:w val="0.67323006755303128"/>
          <c:h val="0.73651463378398452"/>
        </c:manualLayout>
      </c:layout>
      <c:scatterChart>
        <c:scatterStyle val="lineMarker"/>
        <c:varyColors val="0"/>
        <c:ser>
          <c:idx val="0"/>
          <c:order val="0"/>
          <c:tx>
            <c:strRef>
              <c:f>Pop_100k!$I$2</c:f>
              <c:strCache>
                <c:ptCount val="1"/>
                <c:pt idx="0">
                  <c:v>Gen</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Pop_100k!$D$8:$D$24</c:f>
              <c:numCache>
                <c:formatCode>General</c:formatCode>
                <c:ptCount val="17"/>
                <c:pt idx="0">
                  <c:v>0.5</c:v>
                </c:pt>
                <c:pt idx="1">
                  <c:v>0.4</c:v>
                </c:pt>
                <c:pt idx="2">
                  <c:v>0.3</c:v>
                </c:pt>
                <c:pt idx="3">
                  <c:v>0.2</c:v>
                </c:pt>
                <c:pt idx="4">
                  <c:v>0.1</c:v>
                </c:pt>
                <c:pt idx="5">
                  <c:v>0.05</c:v>
                </c:pt>
                <c:pt idx="6" formatCode="0.0E+00">
                  <c:v>0.01</c:v>
                </c:pt>
                <c:pt idx="7">
                  <c:v>8.0000000000000002E-3</c:v>
                </c:pt>
                <c:pt idx="8">
                  <c:v>6.0000000000000001E-3</c:v>
                </c:pt>
                <c:pt idx="9">
                  <c:v>4.0000000000000001E-3</c:v>
                </c:pt>
                <c:pt idx="10">
                  <c:v>2E-3</c:v>
                </c:pt>
                <c:pt idx="11" formatCode="0.0E+00">
                  <c:v>1E-3</c:v>
                </c:pt>
                <c:pt idx="12" formatCode="0.0E+00">
                  <c:v>1E-4</c:v>
                </c:pt>
                <c:pt idx="13" formatCode="0.0E+00">
                  <c:v>1.0000000000000001E-5</c:v>
                </c:pt>
                <c:pt idx="14" formatCode="0.0E+00">
                  <c:v>9.9999999999999995E-7</c:v>
                </c:pt>
                <c:pt idx="15" formatCode="0.0E+00">
                  <c:v>9.9999999999999995E-8</c:v>
                </c:pt>
                <c:pt idx="16">
                  <c:v>0</c:v>
                </c:pt>
              </c:numCache>
            </c:numRef>
          </c:xVal>
          <c:yVal>
            <c:numRef>
              <c:f>Pop_100k!$I$8:$I$24</c:f>
              <c:numCache>
                <c:formatCode>#,##0</c:formatCode>
                <c:ptCount val="17"/>
                <c:pt idx="0">
                  <c:v>60.12</c:v>
                </c:pt>
                <c:pt idx="1">
                  <c:v>71.66</c:v>
                </c:pt>
                <c:pt idx="2">
                  <c:v>90.48</c:v>
                </c:pt>
                <c:pt idx="3">
                  <c:v>126.98</c:v>
                </c:pt>
                <c:pt idx="4">
                  <c:v>231.05</c:v>
                </c:pt>
                <c:pt idx="5">
                  <c:v>425.98</c:v>
                </c:pt>
                <c:pt idx="6">
                  <c:v>1778.82</c:v>
                </c:pt>
                <c:pt idx="7">
                  <c:v>2166.2600000000002</c:v>
                </c:pt>
                <c:pt idx="8">
                  <c:v>2790.95</c:v>
                </c:pt>
                <c:pt idx="9">
                  <c:v>3980.53</c:v>
                </c:pt>
                <c:pt idx="10">
                  <c:v>7262.03</c:v>
                </c:pt>
                <c:pt idx="11">
                  <c:v>13133.66</c:v>
                </c:pt>
                <c:pt idx="12">
                  <c:v>84842.01</c:v>
                </c:pt>
                <c:pt idx="13">
                  <c:v>339954.7</c:v>
                </c:pt>
                <c:pt idx="14">
                  <c:v>395547.62</c:v>
                </c:pt>
                <c:pt idx="15">
                  <c:v>397261.78</c:v>
                </c:pt>
                <c:pt idx="16">
                  <c:v>396826.5</c:v>
                </c:pt>
              </c:numCache>
            </c:numRef>
          </c:yVal>
          <c:smooth val="0"/>
          <c:extLst>
            <c:ext xmlns:c16="http://schemas.microsoft.com/office/drawing/2014/chart" uri="{C3380CC4-5D6E-409C-BE32-E72D297353CC}">
              <c16:uniqueId val="{00000000-8A38-4230-A78D-23BF413C95F1}"/>
            </c:ext>
          </c:extLst>
        </c:ser>
        <c:dLbls>
          <c:showLegendKey val="0"/>
          <c:showVal val="0"/>
          <c:showCatName val="0"/>
          <c:showSerName val="0"/>
          <c:showPercent val="0"/>
          <c:showBubbleSize val="0"/>
        </c:dLbls>
        <c:axId val="1568283167"/>
        <c:axId val="1568283647"/>
      </c:scatterChart>
      <c:valAx>
        <c:axId val="1568283167"/>
        <c:scaling>
          <c:orientation val="minMax"/>
          <c:max val="0.5"/>
          <c:min val="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layout>
            <c:manualLayout>
              <c:xMode val="edge"/>
              <c:yMode val="edge"/>
              <c:x val="0.38166343961103222"/>
              <c:y val="0.8701257861635219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568283647"/>
        <c:crosses val="autoZero"/>
        <c:crossBetween val="midCat"/>
        <c:minorUnit val="5.000000000000001E-2"/>
      </c:valAx>
      <c:valAx>
        <c:axId val="1568283647"/>
        <c:scaling>
          <c:orientation val="minMax"/>
          <c:max val="40000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Generations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568283167"/>
        <c:crosses val="autoZero"/>
        <c:crossBetween val="midCat"/>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N=10</a:t>
            </a:r>
            <a:r>
              <a:rPr lang="en-US" sz="1200" b="0" i="0" u="none" strike="noStrike" kern="1200" spc="0" baseline="30000">
                <a:solidFill>
                  <a:sysClr val="windowText" lastClr="000000">
                    <a:lumMod val="65000"/>
                    <a:lumOff val="35000"/>
                  </a:sysClr>
                </a:solidFill>
              </a:rPr>
              <a:t>5</a:t>
            </a:r>
            <a:r>
              <a:rPr lang="en-US" sz="1200" b="0" i="0" u="none" strike="noStrike" kern="1200" spc="0" baseline="0">
                <a:solidFill>
                  <a:sysClr val="windowText" lastClr="000000">
                    <a:lumMod val="65000"/>
                    <a:lumOff val="35000"/>
                  </a:sysClr>
                </a:solidFill>
              </a:rPr>
              <a:t>, attempts=10</a:t>
            </a:r>
            <a:r>
              <a:rPr lang="en-US" sz="1200" b="0" i="0" u="none" strike="noStrike" kern="1200" spc="0" baseline="30000">
                <a:solidFill>
                  <a:sysClr val="windowText" lastClr="000000">
                    <a:lumMod val="65000"/>
                    <a:lumOff val="35000"/>
                  </a:sysClr>
                </a:solidFill>
              </a:rPr>
              <a:t>6</a:t>
            </a:r>
            <a:r>
              <a:rPr lang="en-US" sz="1200" b="0" i="0" u="none" strike="noStrike" kern="1200" spc="0" baseline="0">
                <a:solidFill>
                  <a:sysClr val="windowText" lastClr="000000">
                    <a:lumMod val="65000"/>
                    <a:lumOff val="35000"/>
                  </a:sysClr>
                </a:solidFill>
              </a:rPr>
              <a:t>,</a:t>
            </a:r>
          </a:p>
          <a:p>
            <a:pPr>
              <a:defRPr/>
            </a:pPr>
            <a:r>
              <a:rPr lang="en-US" sz="1200" b="0" i="0" u="none" strike="noStrike" kern="1200" spc="0" baseline="0">
                <a:solidFill>
                  <a:sysClr val="windowText" lastClr="000000">
                    <a:lumMod val="65000"/>
                    <a:lumOff val="35000"/>
                  </a:sysClr>
                </a:solidFill>
              </a:rPr>
              <a:t>reps=20, s=0 - 0.1</a:t>
            </a:r>
          </a:p>
        </c:rich>
      </c:tx>
      <c:layout>
        <c:manualLayout>
          <c:xMode val="edge"/>
          <c:yMode val="edge"/>
          <c:x val="0.18686365817176079"/>
          <c:y val="0.155844155844155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960658143538509"/>
          <c:y val="3.1702855324902572E-2"/>
          <c:w val="0.74216239099144865"/>
          <c:h val="0.76050039199645514"/>
        </c:manualLayout>
      </c:layout>
      <c:scatterChart>
        <c:scatterStyle val="lineMarker"/>
        <c:varyColors val="0"/>
        <c:ser>
          <c:idx val="0"/>
          <c:order val="0"/>
          <c:tx>
            <c:strRef>
              <c:f>Pop_100k!$G$30</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21E-6"/>
            <c:dispRSqr val="1"/>
            <c:dispEq val="1"/>
            <c:trendlineLbl>
              <c:layout>
                <c:manualLayout>
                  <c:x val="1.7962069257471847E-2"/>
                  <c:y val="0.30020524685599137"/>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Prob = 1.9799s + 5E-06</a:t>
                    </a:r>
                    <a:br>
                      <a:rPr lang="en-US" baseline="0"/>
                    </a:br>
                    <a:r>
                      <a:rPr lang="en-US" baseline="0"/>
                      <a:t>R² = 1</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Pop_100k!$D$37:$D$45</c:f>
              <c:numCache>
                <c:formatCode>General</c:formatCode>
                <c:ptCount val="9"/>
                <c:pt idx="0">
                  <c:v>0.01</c:v>
                </c:pt>
                <c:pt idx="1">
                  <c:v>8.0000000000000002E-3</c:v>
                </c:pt>
                <c:pt idx="2">
                  <c:v>6.0000000000000001E-3</c:v>
                </c:pt>
                <c:pt idx="3">
                  <c:v>4.0000000000000001E-3</c:v>
                </c:pt>
                <c:pt idx="4">
                  <c:v>2E-3</c:v>
                </c:pt>
                <c:pt idx="5">
                  <c:v>1E-3</c:v>
                </c:pt>
                <c:pt idx="6">
                  <c:v>1E-4</c:v>
                </c:pt>
                <c:pt idx="7" formatCode="0.00E+00">
                  <c:v>1.0000000000000001E-5</c:v>
                </c:pt>
                <c:pt idx="8">
                  <c:v>0</c:v>
                </c:pt>
              </c:numCache>
            </c:numRef>
          </c:xVal>
          <c:yVal>
            <c:numRef>
              <c:f>Pop_100k!$G$37:$G$45</c:f>
              <c:numCache>
                <c:formatCode>General</c:formatCode>
                <c:ptCount val="9"/>
                <c:pt idx="0">
                  <c:v>1.9758999999999999E-2</c:v>
                </c:pt>
                <c:pt idx="1">
                  <c:v>1.58744E-2</c:v>
                </c:pt>
                <c:pt idx="2">
                  <c:v>1.1915149999999999E-2</c:v>
                </c:pt>
                <c:pt idx="3">
                  <c:v>7.9269500000000003E-3</c:v>
                </c:pt>
                <c:pt idx="4">
                  <c:v>3.9771499999999996E-3</c:v>
                </c:pt>
                <c:pt idx="5">
                  <c:v>1.9797999999999999E-3</c:v>
                </c:pt>
                <c:pt idx="6">
                  <c:v>1.9934999999999999E-4</c:v>
                </c:pt>
                <c:pt idx="7">
                  <c:v>2.09E-5</c:v>
                </c:pt>
                <c:pt idx="8">
                  <c:v>5.1499999999999998E-6</c:v>
                </c:pt>
              </c:numCache>
            </c:numRef>
          </c:yVal>
          <c:smooth val="0"/>
          <c:extLst>
            <c:ext xmlns:c16="http://schemas.microsoft.com/office/drawing/2014/chart" uri="{C3380CC4-5D6E-409C-BE32-E72D297353CC}">
              <c16:uniqueId val="{00000001-1C39-455E-8D5D-A0CE32124322}"/>
            </c:ext>
          </c:extLst>
        </c:ser>
        <c:dLbls>
          <c:showLegendKey val="0"/>
          <c:showVal val="0"/>
          <c:showCatName val="0"/>
          <c:showSerName val="0"/>
          <c:showPercent val="0"/>
          <c:showBubbleSize val="0"/>
        </c:dLbls>
        <c:axId val="794061552"/>
        <c:axId val="794054832"/>
      </c:scatterChart>
      <c:valAx>
        <c:axId val="794061552"/>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4054832"/>
        <c:crosses val="autoZero"/>
        <c:crossBetween val="midCat"/>
      </c:valAx>
      <c:valAx>
        <c:axId val="794054832"/>
        <c:scaling>
          <c:orientation val="minMax"/>
          <c:max val="2.0000000000000004E-2"/>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1.5860356165156776E-2"/>
              <c:y val="0.3087318630625716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4061552"/>
        <c:crosses val="autoZero"/>
        <c:crossBetween val="midCat"/>
        <c:majorUnit val="5.000000000000001E-3"/>
        <c:minorUnit val="2.0000000000000005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 attempts=10</a:t>
            </a:r>
            <a:r>
              <a:rPr lang="en-US" sz="1100" b="0" i="0" u="none" strike="noStrike" kern="1200" spc="0" baseline="30000">
                <a:solidFill>
                  <a:sysClr val="windowText" lastClr="000000">
                    <a:lumMod val="65000"/>
                    <a:lumOff val="35000"/>
                  </a:sysClr>
                </a:solidFill>
              </a:rPr>
              <a:t>7</a:t>
            </a:r>
            <a:r>
              <a:rPr lang="en-US" sz="1100" b="0" i="0" u="none" strike="noStrike" kern="1200" spc="0" baseline="0">
                <a:solidFill>
                  <a:sysClr val="windowText" lastClr="000000">
                    <a:lumMod val="65000"/>
                    <a:lumOff val="35000"/>
                  </a:sysClr>
                </a:solidFill>
              </a:rPr>
              <a:t>,</a:t>
            </a:r>
          </a:p>
          <a:p>
            <a:pPr algn="l">
              <a:defRPr sz="1100"/>
            </a:pPr>
            <a:r>
              <a:rPr lang="en-US" sz="1100" b="0" i="0" u="none" strike="noStrike" kern="1200" spc="0" baseline="0">
                <a:solidFill>
                  <a:sysClr val="windowText" lastClr="000000">
                    <a:lumMod val="65000"/>
                    <a:lumOff val="35000"/>
                  </a:sysClr>
                </a:solidFill>
              </a:rPr>
              <a:t>reps=20, s=0 - 0.01</a:t>
            </a:r>
          </a:p>
        </c:rich>
      </c:tx>
      <c:layout>
        <c:manualLayout>
          <c:xMode val="edge"/>
          <c:yMode val="edge"/>
          <c:x val="0.31203444444444445"/>
          <c:y val="3.1962777777777771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426286198904805"/>
          <c:y val="2.5428331875182269E-2"/>
          <c:w val="0.75302875441405481"/>
          <c:h val="0.69283666666666666"/>
        </c:manualLayout>
      </c:layout>
      <c:scatterChart>
        <c:scatterStyle val="lineMarker"/>
        <c:varyColors val="0"/>
        <c:ser>
          <c:idx val="0"/>
          <c:order val="0"/>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olid"/>
              </a:ln>
              <a:effectLst/>
            </c:spPr>
            <c:trendlineType val="linear"/>
            <c:dispRSqr val="0"/>
            <c:dispEq val="0"/>
          </c:trendline>
          <c:trendline>
            <c:spPr>
              <a:ln w="19050" cap="rnd">
                <a:noFill/>
                <a:prstDash val="sysDot"/>
              </a:ln>
              <a:effectLst/>
            </c:spPr>
            <c:trendlineType val="linear"/>
            <c:intercept val="5.000000000000003E-7"/>
            <c:dispRSqr val="1"/>
            <c:dispEq val="1"/>
            <c:trendlineLbl>
              <c:layout>
                <c:manualLayout>
                  <c:x val="1.7746111111111112E-2"/>
                  <c:y val="0.36341388888888887"/>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1.9789s + 5E-07</a:t>
                    </a:r>
                    <a:br>
                      <a:rPr lang="en-US" sz="1000" baseline="0"/>
                    </a:br>
                    <a:r>
                      <a:rPr lang="en-US" sz="1000" baseline="0"/>
                      <a:t>R² = 1</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Pop_1M!$D$14:$D$25</c:f>
              <c:numCache>
                <c:formatCode>General</c:formatCode>
                <c:ptCount val="12"/>
                <c:pt idx="0" formatCode="0.0E+00">
                  <c:v>0.01</c:v>
                </c:pt>
                <c:pt idx="1">
                  <c:v>8.0000000000000002E-3</c:v>
                </c:pt>
                <c:pt idx="2">
                  <c:v>6.0000000000000001E-3</c:v>
                </c:pt>
                <c:pt idx="3">
                  <c:v>4.0000000000000001E-3</c:v>
                </c:pt>
                <c:pt idx="4">
                  <c:v>2E-3</c:v>
                </c:pt>
                <c:pt idx="5" formatCode="0.0E+00">
                  <c:v>1E-3</c:v>
                </c:pt>
                <c:pt idx="6" formatCode="0.0E+00">
                  <c:v>1E-4</c:v>
                </c:pt>
                <c:pt idx="7" formatCode="0.0E+00">
                  <c:v>1.0000000000000001E-5</c:v>
                </c:pt>
                <c:pt idx="8" formatCode="0.0E+00">
                  <c:v>9.9999999999999995E-7</c:v>
                </c:pt>
                <c:pt idx="9" formatCode="0.0E+00">
                  <c:v>9.9999999999999995E-8</c:v>
                </c:pt>
                <c:pt idx="10" formatCode="0.0E+00">
                  <c:v>1E-8</c:v>
                </c:pt>
                <c:pt idx="11">
                  <c:v>0</c:v>
                </c:pt>
              </c:numCache>
            </c:numRef>
          </c:xVal>
          <c:yVal>
            <c:numRef>
              <c:f>Pop_1M!$G$14:$G$25</c:f>
              <c:numCache>
                <c:formatCode>#,##0.00000</c:formatCode>
                <c:ptCount val="12"/>
                <c:pt idx="0">
                  <c:v>1.9747009999999999E-2</c:v>
                </c:pt>
                <c:pt idx="1">
                  <c:v>1.5831310000000001E-2</c:v>
                </c:pt>
                <c:pt idx="2">
                  <c:v>1.190359E-2</c:v>
                </c:pt>
                <c:pt idx="3">
                  <c:v>7.9620799999999999E-3</c:v>
                </c:pt>
                <c:pt idx="4">
                  <c:v>3.9818800000000001E-3</c:v>
                </c:pt>
                <c:pt idx="5">
                  <c:v>1.9924399999999998E-3</c:v>
                </c:pt>
                <c:pt idx="6" formatCode="#,##0.000000">
                  <c:v>2.0053000000000001E-4</c:v>
                </c:pt>
                <c:pt idx="7" formatCode="#,##0.000000">
                  <c:v>1.9850000000000001E-5</c:v>
                </c:pt>
                <c:pt idx="8" formatCode="#,##0.000000">
                  <c:v>2.0099999999999998E-6</c:v>
                </c:pt>
                <c:pt idx="9" formatCode="#,##0.000000">
                  <c:v>5.5000000000000003E-7</c:v>
                </c:pt>
                <c:pt idx="10" formatCode="#,##0.000000">
                  <c:v>4.9999999999999998E-7</c:v>
                </c:pt>
                <c:pt idx="11" formatCode="0.0E+00">
                  <c:v>4.9999999999999998E-7</c:v>
                </c:pt>
              </c:numCache>
            </c:numRef>
          </c:yVal>
          <c:smooth val="0"/>
          <c:extLst>
            <c:ext xmlns:c16="http://schemas.microsoft.com/office/drawing/2014/chart" uri="{C3380CC4-5D6E-409C-BE32-E72D297353CC}">
              <c16:uniqueId val="{00000000-1DE7-4ED0-A296-1E90BA0F8F09}"/>
            </c:ext>
          </c:extLst>
        </c:ser>
        <c:dLbls>
          <c:showLegendKey val="0"/>
          <c:showVal val="0"/>
          <c:showCatName val="0"/>
          <c:showSerName val="0"/>
          <c:showPercent val="0"/>
          <c:showBubbleSize val="0"/>
        </c:dLbls>
        <c:axId val="78301120"/>
        <c:axId val="78301600"/>
      </c:scatterChart>
      <c:valAx>
        <c:axId val="78301120"/>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78301600"/>
        <c:crosses val="autoZero"/>
        <c:crossBetween val="midCat"/>
        <c:majorUnit val="2.0000000000000005E-3"/>
        <c:minorUnit val="5.0000000000000012E-4"/>
      </c:valAx>
      <c:valAx>
        <c:axId val="78301600"/>
        <c:scaling>
          <c:orientation val="minMax"/>
          <c:max val="2.0000000000000004E-2"/>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301120"/>
        <c:crosses val="autoZero"/>
        <c:crossBetween val="midCat"/>
        <c:majorUnit val="1.0000000000000002E-2"/>
        <c:min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 attempts=10</a:t>
            </a:r>
            <a:r>
              <a:rPr lang="en-US" sz="1100" b="0" i="0" u="none" strike="noStrike" kern="1200" spc="0" baseline="30000">
                <a:solidFill>
                  <a:sysClr val="windowText" lastClr="000000">
                    <a:lumMod val="65000"/>
                    <a:lumOff val="35000"/>
                  </a:sysClr>
                </a:solidFill>
              </a:rPr>
              <a:t>7</a:t>
            </a:r>
            <a:r>
              <a:rPr lang="en-US" sz="1100" b="0" i="0" u="none" strike="noStrike" kern="1200" spc="0" baseline="0">
                <a:solidFill>
                  <a:sysClr val="windowText" lastClr="000000">
                    <a:lumMod val="65000"/>
                    <a:lumOff val="35000"/>
                  </a:sysClr>
                </a:solidFill>
              </a:rPr>
              <a:t>,</a:t>
            </a:r>
          </a:p>
          <a:p>
            <a:pPr algn="l">
              <a:defRPr sz="1100"/>
            </a:pPr>
            <a:r>
              <a:rPr lang="en-US" sz="1100" b="0" i="0" u="none" strike="noStrike" kern="1200" spc="0" baseline="0">
                <a:solidFill>
                  <a:sysClr val="windowText" lastClr="000000">
                    <a:lumMod val="65000"/>
                    <a:lumOff val="35000"/>
                  </a:sysClr>
                </a:solidFill>
              </a:rPr>
              <a:t>reps=20, s=0 - 0.1</a:t>
            </a:r>
          </a:p>
        </c:rich>
      </c:tx>
      <c:layout>
        <c:manualLayout>
          <c:xMode val="edge"/>
          <c:yMode val="edge"/>
          <c:x val="0.33672888888888891"/>
          <c:y val="3.1962777777777771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054888888888888"/>
          <c:y val="3.8752777777777775E-2"/>
          <c:w val="0.75674277484116714"/>
          <c:h val="0.70694777777777795"/>
        </c:manualLayout>
      </c:layout>
      <c:scatterChart>
        <c:scatterStyle val="lineMarker"/>
        <c:varyColors val="0"/>
        <c:ser>
          <c:idx val="0"/>
          <c:order val="0"/>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olid"/>
              </a:ln>
              <a:effectLst/>
            </c:spPr>
            <c:trendlineType val="linear"/>
            <c:intercept val="5.000000000000003E-7"/>
            <c:dispRSqr val="1"/>
            <c:dispEq val="1"/>
            <c:trendlineLbl>
              <c:layout>
                <c:manualLayout>
                  <c:x val="2.3270555555555555E-2"/>
                  <c:y val="0.42691388888888887"/>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1.7869s + 5E-07</a:t>
                    </a:r>
                    <a:br>
                      <a:rPr lang="en-US" sz="1000" baseline="0"/>
                    </a:br>
                    <a:r>
                      <a:rPr lang="en-US" sz="1000" baseline="0"/>
                      <a:t>R² = 0.9991</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Pop_1M!$D$12:$D$25</c:f>
              <c:numCache>
                <c:formatCode>General</c:formatCode>
                <c:ptCount val="14"/>
                <c:pt idx="0">
                  <c:v>0.1</c:v>
                </c:pt>
                <c:pt idx="1">
                  <c:v>0.05</c:v>
                </c:pt>
                <c:pt idx="2" formatCode="0.0E+00">
                  <c:v>0.01</c:v>
                </c:pt>
                <c:pt idx="3">
                  <c:v>8.0000000000000002E-3</c:v>
                </c:pt>
                <c:pt idx="4">
                  <c:v>6.0000000000000001E-3</c:v>
                </c:pt>
                <c:pt idx="5">
                  <c:v>4.0000000000000001E-3</c:v>
                </c:pt>
                <c:pt idx="6">
                  <c:v>2E-3</c:v>
                </c:pt>
                <c:pt idx="7" formatCode="0.0E+00">
                  <c:v>1E-3</c:v>
                </c:pt>
                <c:pt idx="8" formatCode="0.0E+00">
                  <c:v>1E-4</c:v>
                </c:pt>
                <c:pt idx="9" formatCode="0.0E+00">
                  <c:v>1.0000000000000001E-5</c:v>
                </c:pt>
                <c:pt idx="10" formatCode="0.0E+00">
                  <c:v>9.9999999999999995E-7</c:v>
                </c:pt>
                <c:pt idx="11" formatCode="0.0E+00">
                  <c:v>9.9999999999999995E-8</c:v>
                </c:pt>
                <c:pt idx="12" formatCode="0.0E+00">
                  <c:v>1E-8</c:v>
                </c:pt>
                <c:pt idx="13">
                  <c:v>0</c:v>
                </c:pt>
              </c:numCache>
            </c:numRef>
          </c:xVal>
          <c:yVal>
            <c:numRef>
              <c:f>Pop_1M!$G$12:$G$25</c:f>
              <c:numCache>
                <c:formatCode>#,##0.00000</c:formatCode>
                <c:ptCount val="14"/>
                <c:pt idx="0">
                  <c:v>0.17611080000000001</c:v>
                </c:pt>
                <c:pt idx="1">
                  <c:v>9.3665819999999997E-2</c:v>
                </c:pt>
                <c:pt idx="2">
                  <c:v>1.9747009999999999E-2</c:v>
                </c:pt>
                <c:pt idx="3">
                  <c:v>1.5831310000000001E-2</c:v>
                </c:pt>
                <c:pt idx="4">
                  <c:v>1.190359E-2</c:v>
                </c:pt>
                <c:pt idx="5">
                  <c:v>7.9620799999999999E-3</c:v>
                </c:pt>
                <c:pt idx="6">
                  <c:v>3.9818800000000001E-3</c:v>
                </c:pt>
                <c:pt idx="7">
                  <c:v>1.9924399999999998E-3</c:v>
                </c:pt>
                <c:pt idx="8" formatCode="#,##0.000000">
                  <c:v>2.0053000000000001E-4</c:v>
                </c:pt>
                <c:pt idx="9" formatCode="#,##0.000000">
                  <c:v>1.9850000000000001E-5</c:v>
                </c:pt>
                <c:pt idx="10" formatCode="#,##0.000000">
                  <c:v>2.0099999999999998E-6</c:v>
                </c:pt>
                <c:pt idx="11" formatCode="#,##0.000000">
                  <c:v>5.5000000000000003E-7</c:v>
                </c:pt>
                <c:pt idx="12" formatCode="#,##0.000000">
                  <c:v>4.9999999999999998E-7</c:v>
                </c:pt>
                <c:pt idx="13" formatCode="0.0E+00">
                  <c:v>4.9999999999999998E-7</c:v>
                </c:pt>
              </c:numCache>
            </c:numRef>
          </c:yVal>
          <c:smooth val="0"/>
          <c:extLst>
            <c:ext xmlns:c16="http://schemas.microsoft.com/office/drawing/2014/chart" uri="{C3380CC4-5D6E-409C-BE32-E72D297353CC}">
              <c16:uniqueId val="{00000002-4F90-441D-BA98-6013FD2A3BDB}"/>
            </c:ext>
          </c:extLst>
        </c:ser>
        <c:dLbls>
          <c:showLegendKey val="0"/>
          <c:showVal val="0"/>
          <c:showCatName val="0"/>
          <c:showSerName val="0"/>
          <c:showPercent val="0"/>
          <c:showBubbleSize val="0"/>
        </c:dLbls>
        <c:axId val="78301120"/>
        <c:axId val="78301600"/>
      </c:scatterChart>
      <c:valAx>
        <c:axId val="78301120"/>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78301600"/>
        <c:crosses val="autoZero"/>
        <c:crossBetween val="midCat"/>
        <c:majorUnit val="2.0000000000000004E-2"/>
        <c:minorUnit val="5.000000000000001E-3"/>
      </c:valAx>
      <c:valAx>
        <c:axId val="78301600"/>
        <c:scaling>
          <c:orientation val="minMax"/>
          <c:max val="0.2"/>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3.6605911726215287E-2"/>
              <c:y val="0.2657211292169385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301120"/>
        <c:crosses val="autoZero"/>
        <c:crossBetween val="midCat"/>
        <c:majorUnit val="5.000000000000001E-2"/>
        <c:minorUnit val="2.5000000000000005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N=10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 attempts=10</a:t>
            </a:r>
            <a:r>
              <a:rPr lang="en-US" sz="1100" b="0" i="0" u="none" strike="noStrike" kern="1200" spc="0" baseline="30000">
                <a:solidFill>
                  <a:sysClr val="windowText" lastClr="000000">
                    <a:lumMod val="65000"/>
                    <a:lumOff val="35000"/>
                  </a:sysClr>
                </a:solidFill>
              </a:rPr>
              <a:t>7</a:t>
            </a:r>
            <a:r>
              <a:rPr lang="en-US" sz="1100" b="0" i="0" u="none" strike="noStrike" kern="1200" spc="0" baseline="0">
                <a:solidFill>
                  <a:sysClr val="windowText" lastClr="000000">
                    <a:lumMod val="65000"/>
                    <a:lumOff val="35000"/>
                  </a:sysClr>
                </a:solidFill>
              </a:rPr>
              <a:t>,</a:t>
            </a:r>
          </a:p>
          <a:p>
            <a:pPr algn="l">
              <a:defRPr sz="1100"/>
            </a:pPr>
            <a:r>
              <a:rPr lang="en-US" sz="1100" b="0" i="0" u="none" strike="noStrike" kern="1200" spc="0" baseline="0">
                <a:solidFill>
                  <a:sysClr val="windowText" lastClr="000000">
                    <a:lumMod val="65000"/>
                    <a:lumOff val="35000"/>
                  </a:sysClr>
                </a:solidFill>
              </a:rPr>
              <a:t>reps=20, s=0 - 1</a:t>
            </a:r>
          </a:p>
        </c:rich>
      </c:tx>
      <c:layout>
        <c:manualLayout>
          <c:xMode val="edge"/>
          <c:yMode val="edge"/>
          <c:x val="0.32595305555555559"/>
          <c:y val="2.449666666666667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8274833333333335"/>
          <c:y val="3.8752777777777775E-2"/>
          <c:w val="0.77159885654961657"/>
          <c:h val="0.7281144444444444"/>
        </c:manualLayout>
      </c:layout>
      <c:scatterChart>
        <c:scatterStyle val="lineMarker"/>
        <c:varyColors val="0"/>
        <c:ser>
          <c:idx val="0"/>
          <c:order val="0"/>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olid"/>
              </a:ln>
              <a:effectLst/>
            </c:spPr>
            <c:trendlineType val="poly"/>
            <c:order val="3"/>
            <c:intercept val="5.000000000000003E-7"/>
            <c:dispRSqr val="1"/>
            <c:dispEq val="1"/>
            <c:trendlineLbl>
              <c:layout>
                <c:manualLayout>
                  <c:x val="-5.9747222222222224E-3"/>
                  <c:y val="0.3493027777777778"/>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Prob = 0.6492s</a:t>
                    </a:r>
                    <a:r>
                      <a:rPr lang="en-US" sz="1000" baseline="30000"/>
                      <a:t>3</a:t>
                    </a:r>
                    <a:r>
                      <a:rPr lang="en-US" sz="1000" baseline="0"/>
                      <a:t> - 1.7194s</a:t>
                    </a:r>
                    <a:r>
                      <a:rPr lang="en-US" sz="1000" baseline="30000"/>
                      <a:t>2</a:t>
                    </a:r>
                    <a:r>
                      <a:rPr lang="en-US" sz="1000" baseline="0"/>
                      <a:t> +</a:t>
                    </a:r>
                  </a:p>
                  <a:p>
                    <a:pPr>
                      <a:defRPr sz="1000"/>
                    </a:pPr>
                    <a:r>
                      <a:rPr lang="en-US" sz="1000" baseline="0"/>
                      <a:t>1.8707s + 5E-07</a:t>
                    </a:r>
                    <a:br>
                      <a:rPr lang="en-US" sz="1000" baseline="0"/>
                    </a:br>
                    <a:r>
                      <a:rPr lang="en-US" sz="1000" baseline="0"/>
                      <a:t>R² = 0.9999</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rendlineLbl>
          </c:trendline>
          <c:xVal>
            <c:numRef>
              <c:f>Pop_1M!$D$3:$D$25</c:f>
              <c:numCache>
                <c:formatCode>General</c:formatCode>
                <c:ptCount val="23"/>
                <c:pt idx="0">
                  <c:v>1</c:v>
                </c:pt>
                <c:pt idx="1">
                  <c:v>0.9</c:v>
                </c:pt>
                <c:pt idx="2">
                  <c:v>0.8</c:v>
                </c:pt>
                <c:pt idx="3">
                  <c:v>0.7</c:v>
                </c:pt>
                <c:pt idx="4">
                  <c:v>0.6</c:v>
                </c:pt>
                <c:pt idx="5">
                  <c:v>0.5</c:v>
                </c:pt>
                <c:pt idx="6">
                  <c:v>0.4</c:v>
                </c:pt>
                <c:pt idx="7">
                  <c:v>0.3</c:v>
                </c:pt>
                <c:pt idx="8">
                  <c:v>0.2</c:v>
                </c:pt>
                <c:pt idx="9">
                  <c:v>0.1</c:v>
                </c:pt>
                <c:pt idx="10">
                  <c:v>0.05</c:v>
                </c:pt>
                <c:pt idx="11" formatCode="0.0E+00">
                  <c:v>0.01</c:v>
                </c:pt>
                <c:pt idx="12">
                  <c:v>8.0000000000000002E-3</c:v>
                </c:pt>
                <c:pt idx="13">
                  <c:v>6.0000000000000001E-3</c:v>
                </c:pt>
                <c:pt idx="14">
                  <c:v>4.0000000000000001E-3</c:v>
                </c:pt>
                <c:pt idx="15">
                  <c:v>2E-3</c:v>
                </c:pt>
                <c:pt idx="16" formatCode="0.0E+00">
                  <c:v>1E-3</c:v>
                </c:pt>
                <c:pt idx="17" formatCode="0.0E+00">
                  <c:v>1E-4</c:v>
                </c:pt>
                <c:pt idx="18" formatCode="0.0E+00">
                  <c:v>1.0000000000000001E-5</c:v>
                </c:pt>
                <c:pt idx="19" formatCode="0.0E+00">
                  <c:v>9.9999999999999995E-7</c:v>
                </c:pt>
                <c:pt idx="20" formatCode="0.0E+00">
                  <c:v>9.9999999999999995E-8</c:v>
                </c:pt>
                <c:pt idx="21" formatCode="0.0E+00">
                  <c:v>1E-8</c:v>
                </c:pt>
                <c:pt idx="22">
                  <c:v>0</c:v>
                </c:pt>
              </c:numCache>
            </c:numRef>
          </c:xVal>
          <c:yVal>
            <c:numRef>
              <c:f>Pop_1M!$G$3:$G$25</c:f>
              <c:numCache>
                <c:formatCode>#,##0.00000</c:formatCode>
                <c:ptCount val="23"/>
                <c:pt idx="0">
                  <c:v>0.79675600999999996</c:v>
                </c:pt>
                <c:pt idx="1">
                  <c:v>0.76723017999999998</c:v>
                </c:pt>
                <c:pt idx="2">
                  <c:v>0.73241442000000001</c:v>
                </c:pt>
                <c:pt idx="3">
                  <c:v>0.69119138000000002</c:v>
                </c:pt>
                <c:pt idx="4">
                  <c:v>0.64201262999999997</c:v>
                </c:pt>
                <c:pt idx="5">
                  <c:v>0.58283949999999995</c:v>
                </c:pt>
                <c:pt idx="6">
                  <c:v>0.51100480000000004</c:v>
                </c:pt>
                <c:pt idx="7">
                  <c:v>0.42292204999999999</c:v>
                </c:pt>
                <c:pt idx="8">
                  <c:v>0.31369340000000001</c:v>
                </c:pt>
                <c:pt idx="9">
                  <c:v>0.17611080000000001</c:v>
                </c:pt>
                <c:pt idx="10">
                  <c:v>9.3665819999999997E-2</c:v>
                </c:pt>
                <c:pt idx="11">
                  <c:v>1.9747009999999999E-2</c:v>
                </c:pt>
                <c:pt idx="12">
                  <c:v>1.5831310000000001E-2</c:v>
                </c:pt>
                <c:pt idx="13">
                  <c:v>1.190359E-2</c:v>
                </c:pt>
                <c:pt idx="14">
                  <c:v>7.9620799999999999E-3</c:v>
                </c:pt>
                <c:pt idx="15">
                  <c:v>3.9818800000000001E-3</c:v>
                </c:pt>
                <c:pt idx="16">
                  <c:v>1.9924399999999998E-3</c:v>
                </c:pt>
                <c:pt idx="17" formatCode="#,##0.000000">
                  <c:v>2.0053000000000001E-4</c:v>
                </c:pt>
                <c:pt idx="18" formatCode="#,##0.000000">
                  <c:v>1.9850000000000001E-5</c:v>
                </c:pt>
                <c:pt idx="19" formatCode="#,##0.000000">
                  <c:v>2.0099999999999998E-6</c:v>
                </c:pt>
                <c:pt idx="20" formatCode="#,##0.000000">
                  <c:v>5.5000000000000003E-7</c:v>
                </c:pt>
                <c:pt idx="21" formatCode="#,##0.000000">
                  <c:v>4.9999999999999998E-7</c:v>
                </c:pt>
                <c:pt idx="22" formatCode="0.0E+00">
                  <c:v>4.9999999999999998E-7</c:v>
                </c:pt>
              </c:numCache>
            </c:numRef>
          </c:yVal>
          <c:smooth val="0"/>
          <c:extLst>
            <c:ext xmlns:c16="http://schemas.microsoft.com/office/drawing/2014/chart" uri="{C3380CC4-5D6E-409C-BE32-E72D297353CC}">
              <c16:uniqueId val="{00000002-021C-4F1D-B0E7-94E8A9BE5183}"/>
            </c:ext>
          </c:extLst>
        </c:ser>
        <c:dLbls>
          <c:showLegendKey val="0"/>
          <c:showVal val="0"/>
          <c:showCatName val="0"/>
          <c:showSerName val="0"/>
          <c:showPercent val="0"/>
          <c:showBubbleSize val="0"/>
        </c:dLbls>
        <c:axId val="78301120"/>
        <c:axId val="78301600"/>
      </c:scatterChart>
      <c:valAx>
        <c:axId val="78301120"/>
        <c:scaling>
          <c:orientation val="minMax"/>
          <c:max val="1"/>
          <c:min val="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78301600"/>
        <c:crosses val="autoZero"/>
        <c:crossBetween val="midCat"/>
        <c:majorUnit val="0.2"/>
        <c:minorUnit val="0.1"/>
      </c:valAx>
      <c:valAx>
        <c:axId val="78301600"/>
        <c:scaling>
          <c:orientation val="minMax"/>
          <c:max val="1"/>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3.1876530753990009E-2"/>
              <c:y val="0.2810174932591613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301120"/>
        <c:crosses val="autoZero"/>
        <c:crossBetween val="midCat"/>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6</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6</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s=0 - 0.01</a:t>
            </a:r>
          </a:p>
        </c:rich>
      </c:tx>
      <c:layout>
        <c:manualLayout>
          <c:xMode val="edge"/>
          <c:yMode val="edge"/>
          <c:x val="0.2802845581802274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426286198904805"/>
          <c:y val="2.5428331875182269E-2"/>
          <c:w val="0.75302875441405481"/>
          <c:h val="0.7704476523767862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3E-7"/>
            <c:dispRSqr val="1"/>
            <c:dispEq val="1"/>
            <c:trendlineLbl>
              <c:layout>
                <c:manualLayout>
                  <c:x val="7.9945020799976601E-3"/>
                  <c:y val="0.47677481985620612"/>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Prob = 1.9759s + 5E-07</a:t>
                    </a:r>
                    <a:br>
                      <a:rPr lang="en-US" sz="1200" baseline="0"/>
                    </a:br>
                    <a:r>
                      <a:rPr lang="en-US" sz="1200" baseline="0"/>
                      <a:t>R² = 1</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Pop_1M!$D$35:$D$43</c:f>
              <c:numCache>
                <c:formatCode>General</c:formatCode>
                <c:ptCount val="9"/>
                <c:pt idx="0" formatCode="0.0E+00">
                  <c:v>0.01</c:v>
                </c:pt>
                <c:pt idx="1">
                  <c:v>8.0000000000000002E-3</c:v>
                </c:pt>
                <c:pt idx="2">
                  <c:v>6.0000000000000001E-3</c:v>
                </c:pt>
                <c:pt idx="3">
                  <c:v>4.0000000000000001E-3</c:v>
                </c:pt>
                <c:pt idx="4">
                  <c:v>2E-3</c:v>
                </c:pt>
                <c:pt idx="5" formatCode="0.0E+00">
                  <c:v>1E-3</c:v>
                </c:pt>
                <c:pt idx="6" formatCode="0.0E+00">
                  <c:v>1E-4</c:v>
                </c:pt>
                <c:pt idx="7" formatCode="0.0E+00">
                  <c:v>1.0000000000000001E-5</c:v>
                </c:pt>
                <c:pt idx="8">
                  <c:v>0</c:v>
                </c:pt>
              </c:numCache>
            </c:numRef>
          </c:xVal>
          <c:yVal>
            <c:numRef>
              <c:f>Pop_1M!$G$35:$G$43</c:f>
              <c:numCache>
                <c:formatCode>#,##0.00000</c:formatCode>
                <c:ptCount val="9"/>
                <c:pt idx="0">
                  <c:v>1.9674000000000001E-2</c:v>
                </c:pt>
                <c:pt idx="1">
                  <c:v>1.5820000000000001E-2</c:v>
                </c:pt>
                <c:pt idx="2">
                  <c:v>1.19115E-2</c:v>
                </c:pt>
                <c:pt idx="3">
                  <c:v>7.9779499999999993E-3</c:v>
                </c:pt>
                <c:pt idx="4">
                  <c:v>4.0068999999999999E-3</c:v>
                </c:pt>
                <c:pt idx="5">
                  <c:v>2.00205E-3</c:v>
                </c:pt>
                <c:pt idx="6">
                  <c:v>1.9515E-4</c:v>
                </c:pt>
                <c:pt idx="7">
                  <c:v>2.035E-5</c:v>
                </c:pt>
                <c:pt idx="8" formatCode="#,##0.0000000">
                  <c:v>3.4999999999999998E-7</c:v>
                </c:pt>
              </c:numCache>
            </c:numRef>
          </c:yVal>
          <c:smooth val="0"/>
          <c:extLst>
            <c:ext xmlns:c16="http://schemas.microsoft.com/office/drawing/2014/chart" uri="{C3380CC4-5D6E-409C-BE32-E72D297353CC}">
              <c16:uniqueId val="{00000002-DC6D-4AAF-ADBB-AB8B00C0179E}"/>
            </c:ext>
          </c:extLst>
        </c:ser>
        <c:dLbls>
          <c:showLegendKey val="0"/>
          <c:showVal val="0"/>
          <c:showCatName val="0"/>
          <c:showSerName val="0"/>
          <c:showPercent val="0"/>
          <c:showBubbleSize val="0"/>
        </c:dLbls>
        <c:axId val="78301120"/>
        <c:axId val="78301600"/>
      </c:scatterChart>
      <c:valAx>
        <c:axId val="78301120"/>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78301600"/>
        <c:crosses val="autoZero"/>
        <c:crossBetween val="midCat"/>
        <c:majorUnit val="2.0000000000000005E-3"/>
        <c:minorUnit val="5.0000000000000012E-4"/>
      </c:valAx>
      <c:valAx>
        <c:axId val="78301600"/>
        <c:scaling>
          <c:orientation val="minMax"/>
          <c:max val="2.0000000000000004E-2"/>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301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6</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6</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layout>
        <c:manualLayout>
          <c:xMode val="edge"/>
          <c:yMode val="edge"/>
          <c:x val="0.2802845581802274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426286198904805"/>
          <c:y val="2.5428331875182269E-2"/>
          <c:w val="0.75302875441405481"/>
          <c:h val="0.7704476523767862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3E-7"/>
            <c:dispRSqr val="1"/>
            <c:dispEq val="1"/>
            <c:trendlineLbl>
              <c:layout>
                <c:manualLayout>
                  <c:x val="-5.6573011938967242E-3"/>
                  <c:y val="0.50736754794065175"/>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baseline="0"/>
                      <a:t>Prob = 1.7881s + 5E-07</a:t>
                    </a:r>
                    <a:br>
                      <a:rPr lang="en-US" baseline="0"/>
                    </a:br>
                    <a:r>
                      <a:rPr lang="en-US" baseline="0"/>
                      <a:t>R² = 0.9991</a:t>
                    </a:r>
                    <a:endParaRPr lang="en-US"/>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Pop_1M!$D$33:$D$43</c:f>
              <c:numCache>
                <c:formatCode>General</c:formatCode>
                <c:ptCount val="11"/>
                <c:pt idx="0">
                  <c:v>0.1</c:v>
                </c:pt>
                <c:pt idx="1">
                  <c:v>0.05</c:v>
                </c:pt>
                <c:pt idx="2" formatCode="0.0E+00">
                  <c:v>0.01</c:v>
                </c:pt>
                <c:pt idx="3">
                  <c:v>8.0000000000000002E-3</c:v>
                </c:pt>
                <c:pt idx="4">
                  <c:v>6.0000000000000001E-3</c:v>
                </c:pt>
                <c:pt idx="5">
                  <c:v>4.0000000000000001E-3</c:v>
                </c:pt>
                <c:pt idx="6">
                  <c:v>2E-3</c:v>
                </c:pt>
                <c:pt idx="7" formatCode="0.0E+00">
                  <c:v>1E-3</c:v>
                </c:pt>
                <c:pt idx="8" formatCode="0.0E+00">
                  <c:v>1E-4</c:v>
                </c:pt>
                <c:pt idx="9" formatCode="0.0E+00">
                  <c:v>1.0000000000000001E-5</c:v>
                </c:pt>
                <c:pt idx="10">
                  <c:v>0</c:v>
                </c:pt>
              </c:numCache>
            </c:numRef>
          </c:xVal>
          <c:yVal>
            <c:numRef>
              <c:f>Pop_1M!$G$33:$G$43</c:f>
              <c:numCache>
                <c:formatCode>#,##0.00000</c:formatCode>
                <c:ptCount val="11"/>
                <c:pt idx="0">
                  <c:v>0.17622255000000001</c:v>
                </c:pt>
                <c:pt idx="1">
                  <c:v>9.3749449999999998E-2</c:v>
                </c:pt>
                <c:pt idx="2">
                  <c:v>1.9674000000000001E-2</c:v>
                </c:pt>
                <c:pt idx="3">
                  <c:v>1.5820000000000001E-2</c:v>
                </c:pt>
                <c:pt idx="4">
                  <c:v>1.19115E-2</c:v>
                </c:pt>
                <c:pt idx="5">
                  <c:v>7.9779499999999993E-3</c:v>
                </c:pt>
                <c:pt idx="6">
                  <c:v>4.0068999999999999E-3</c:v>
                </c:pt>
                <c:pt idx="7">
                  <c:v>2.00205E-3</c:v>
                </c:pt>
                <c:pt idx="8">
                  <c:v>1.9515E-4</c:v>
                </c:pt>
                <c:pt idx="9">
                  <c:v>2.035E-5</c:v>
                </c:pt>
                <c:pt idx="10" formatCode="#,##0.0000000">
                  <c:v>3.4999999999999998E-7</c:v>
                </c:pt>
              </c:numCache>
            </c:numRef>
          </c:yVal>
          <c:smooth val="0"/>
          <c:extLst>
            <c:ext xmlns:c16="http://schemas.microsoft.com/office/drawing/2014/chart" uri="{C3380CC4-5D6E-409C-BE32-E72D297353CC}">
              <c16:uniqueId val="{00000002-9F9E-4B92-A671-BFBCCC1451BB}"/>
            </c:ext>
          </c:extLst>
        </c:ser>
        <c:dLbls>
          <c:showLegendKey val="0"/>
          <c:showVal val="0"/>
          <c:showCatName val="0"/>
          <c:showSerName val="0"/>
          <c:showPercent val="0"/>
          <c:showBubbleSize val="0"/>
        </c:dLbls>
        <c:axId val="78301120"/>
        <c:axId val="78301600"/>
      </c:scatterChart>
      <c:valAx>
        <c:axId val="78301120"/>
        <c:scaling>
          <c:orientation val="minMax"/>
          <c:max val="0.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78301600"/>
        <c:crosses val="autoZero"/>
        <c:crossBetween val="midCat"/>
        <c:majorUnit val="2.0000000000000004E-2"/>
        <c:minorUnit val="5.000000000000001E-3"/>
      </c:valAx>
      <c:valAx>
        <c:axId val="78301600"/>
        <c:scaling>
          <c:orientation val="minMax"/>
          <c:max val="0.2"/>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301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6</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6</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s=0 - 0.1</a:t>
            </a:r>
          </a:p>
        </c:rich>
      </c:tx>
      <c:layout>
        <c:manualLayout>
          <c:xMode val="edge"/>
          <c:yMode val="edge"/>
          <c:x val="0.22457424019769118"/>
          <c:y val="4.4889007013041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9426286198904805"/>
          <c:y val="2.5428331875182269E-2"/>
          <c:w val="0.75302875441405481"/>
          <c:h val="0.7704476523767862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5.000000000000003E-7"/>
            <c:dispRSqr val="1"/>
            <c:dispEq val="1"/>
            <c:trendlineLbl>
              <c:layout>
                <c:manualLayout>
                  <c:x val="5.5140920755379116E-2"/>
                  <c:y val="0.49207118389842891"/>
                </c:manualLayout>
              </c:layout>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aseline="0"/>
                      <a:t>Prob = -1.3442s</a:t>
                    </a:r>
                    <a:r>
                      <a:rPr lang="en-US" sz="1100" baseline="30000"/>
                      <a:t>2</a:t>
                    </a:r>
                    <a:r>
                      <a:rPr lang="en-US" sz="1100" baseline="0"/>
                      <a:t> + 1.8291s + 5E-07</a:t>
                    </a:r>
                    <a:br>
                      <a:rPr lang="en-US" sz="1100" baseline="0"/>
                    </a:br>
                    <a:r>
                      <a:rPr lang="en-US" sz="1100" baseline="0"/>
                      <a:t>R² = 0.9998</a:t>
                    </a:r>
                    <a:endParaRPr lang="en-US" sz="1100"/>
                  </a:p>
                </c:rich>
              </c:tx>
              <c:numFmt formatCode="General"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rendlineLbl>
          </c:trendline>
          <c:xVal>
            <c:numRef>
              <c:f>Pop_1M!$D$29:$D$43</c:f>
              <c:numCache>
                <c:formatCode>General</c:formatCode>
                <c:ptCount val="15"/>
                <c:pt idx="0">
                  <c:v>0.5</c:v>
                </c:pt>
                <c:pt idx="1">
                  <c:v>0.4</c:v>
                </c:pt>
                <c:pt idx="2">
                  <c:v>0.3</c:v>
                </c:pt>
                <c:pt idx="3">
                  <c:v>0.2</c:v>
                </c:pt>
                <c:pt idx="4">
                  <c:v>0.1</c:v>
                </c:pt>
                <c:pt idx="5">
                  <c:v>0.05</c:v>
                </c:pt>
                <c:pt idx="6" formatCode="0.0E+00">
                  <c:v>0.01</c:v>
                </c:pt>
                <c:pt idx="7">
                  <c:v>8.0000000000000002E-3</c:v>
                </c:pt>
                <c:pt idx="8">
                  <c:v>6.0000000000000001E-3</c:v>
                </c:pt>
                <c:pt idx="9">
                  <c:v>4.0000000000000001E-3</c:v>
                </c:pt>
                <c:pt idx="10">
                  <c:v>2E-3</c:v>
                </c:pt>
                <c:pt idx="11" formatCode="0.0E+00">
                  <c:v>1E-3</c:v>
                </c:pt>
                <c:pt idx="12" formatCode="0.0E+00">
                  <c:v>1E-4</c:v>
                </c:pt>
                <c:pt idx="13" formatCode="0.0E+00">
                  <c:v>1.0000000000000001E-5</c:v>
                </c:pt>
                <c:pt idx="14">
                  <c:v>0</c:v>
                </c:pt>
              </c:numCache>
            </c:numRef>
          </c:xVal>
          <c:yVal>
            <c:numRef>
              <c:f>Pop_1M!$G$29:$G$43</c:f>
              <c:numCache>
                <c:formatCode>#,##0.00000</c:formatCode>
                <c:ptCount val="15"/>
                <c:pt idx="0">
                  <c:v>0.58313024999999996</c:v>
                </c:pt>
                <c:pt idx="1">
                  <c:v>0.51112385000000005</c:v>
                </c:pt>
                <c:pt idx="2">
                  <c:v>0.42301195000000003</c:v>
                </c:pt>
                <c:pt idx="3">
                  <c:v>0.31352134999999998</c:v>
                </c:pt>
                <c:pt idx="4">
                  <c:v>0.17622255000000001</c:v>
                </c:pt>
                <c:pt idx="5">
                  <c:v>9.3749449999999998E-2</c:v>
                </c:pt>
                <c:pt idx="6">
                  <c:v>1.9674000000000001E-2</c:v>
                </c:pt>
                <c:pt idx="7">
                  <c:v>1.5820000000000001E-2</c:v>
                </c:pt>
                <c:pt idx="8">
                  <c:v>1.19115E-2</c:v>
                </c:pt>
                <c:pt idx="9">
                  <c:v>7.9779499999999993E-3</c:v>
                </c:pt>
                <c:pt idx="10">
                  <c:v>4.0068999999999999E-3</c:v>
                </c:pt>
                <c:pt idx="11">
                  <c:v>2.00205E-3</c:v>
                </c:pt>
                <c:pt idx="12">
                  <c:v>1.9515E-4</c:v>
                </c:pt>
                <c:pt idx="13">
                  <c:v>2.035E-5</c:v>
                </c:pt>
                <c:pt idx="14" formatCode="#,##0.0000000">
                  <c:v>3.4999999999999998E-7</c:v>
                </c:pt>
              </c:numCache>
            </c:numRef>
          </c:yVal>
          <c:smooth val="0"/>
          <c:extLst>
            <c:ext xmlns:c16="http://schemas.microsoft.com/office/drawing/2014/chart" uri="{C3380CC4-5D6E-409C-BE32-E72D297353CC}">
              <c16:uniqueId val="{00000002-A566-407A-9EF0-D85AB80E7D5B}"/>
            </c:ext>
          </c:extLst>
        </c:ser>
        <c:dLbls>
          <c:showLegendKey val="0"/>
          <c:showVal val="0"/>
          <c:showCatName val="0"/>
          <c:showSerName val="0"/>
          <c:showPercent val="0"/>
          <c:showBubbleSize val="0"/>
        </c:dLbls>
        <c:axId val="78301120"/>
        <c:axId val="78301600"/>
      </c:scatterChart>
      <c:valAx>
        <c:axId val="78301120"/>
        <c:scaling>
          <c:orientation val="minMax"/>
          <c:max val="0.5"/>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78301600"/>
        <c:crosses val="autoZero"/>
        <c:crossBetween val="midCat"/>
        <c:majorUnit val="0.1"/>
        <c:minorUnit val="5.000000000000001E-2"/>
      </c:valAx>
      <c:valAx>
        <c:axId val="78301600"/>
        <c:scaling>
          <c:orientation val="minMax"/>
          <c:max val="0.60000000000000009"/>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fixing</a:t>
                </a:r>
              </a:p>
            </c:rich>
          </c:tx>
          <c:layout>
            <c:manualLayout>
              <c:xMode val="edge"/>
              <c:yMode val="edge"/>
              <c:x val="2.1749830017765884E-2"/>
              <c:y val="0.2657211292169385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8301120"/>
        <c:crosses val="autoZero"/>
        <c:crossBetween val="midCat"/>
        <c:min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 attempts=10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 20, s=0 - 1</a:t>
            </a:r>
          </a:p>
        </c:rich>
      </c:tx>
      <c:layout>
        <c:manualLayout>
          <c:xMode val="edge"/>
          <c:yMode val="edge"/>
          <c:x val="0.2822213888888888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3968547681539809"/>
          <c:y val="4.7378333333333335E-2"/>
          <c:w val="0.82201596675415578"/>
          <c:h val="0.69245166666666669"/>
        </c:manualLayout>
      </c:layout>
      <c:scatterChart>
        <c:scatterStyle val="lineMarker"/>
        <c:varyColors val="0"/>
        <c:ser>
          <c:idx val="0"/>
          <c:order val="0"/>
          <c:tx>
            <c:strRef>
              <c:f>Pop_10!$I$2</c:f>
              <c:strCache>
                <c:ptCount val="1"/>
                <c:pt idx="0">
                  <c:v>Gen</c:v>
                </c:pt>
              </c:strCache>
            </c:strRef>
          </c:tx>
          <c:spPr>
            <a:ln w="19050" cap="rnd">
              <a:noFill/>
              <a:round/>
            </a:ln>
            <a:effectLst/>
          </c:spPr>
          <c:marker>
            <c:symbol val="circle"/>
            <c:size val="5"/>
            <c:spPr>
              <a:solidFill>
                <a:srgbClr val="FF0000"/>
              </a:solidFill>
              <a:ln w="9525">
                <a:noFill/>
              </a:ln>
              <a:effectLst/>
            </c:spPr>
          </c:marker>
          <c:xVal>
            <c:numRef>
              <c:f>Pop_10!$D$3:$D$25</c:f>
              <c:numCache>
                <c:formatCode>General</c:formatCode>
                <c:ptCount val="23"/>
                <c:pt idx="0">
                  <c:v>1</c:v>
                </c:pt>
                <c:pt idx="1">
                  <c:v>0.9</c:v>
                </c:pt>
                <c:pt idx="2">
                  <c:v>0.8</c:v>
                </c:pt>
                <c:pt idx="3">
                  <c:v>0.7</c:v>
                </c:pt>
                <c:pt idx="4">
                  <c:v>0.6</c:v>
                </c:pt>
                <c:pt idx="5">
                  <c:v>0.5</c:v>
                </c:pt>
                <c:pt idx="6">
                  <c:v>0.4</c:v>
                </c:pt>
                <c:pt idx="7">
                  <c:v>0.3</c:v>
                </c:pt>
                <c:pt idx="8">
                  <c:v>0.2</c:v>
                </c:pt>
                <c:pt idx="9">
                  <c:v>0.1</c:v>
                </c:pt>
                <c:pt idx="10">
                  <c:v>0.05</c:v>
                </c:pt>
                <c:pt idx="11" formatCode="0.0E+00">
                  <c:v>0.01</c:v>
                </c:pt>
                <c:pt idx="12">
                  <c:v>5.0000000000000001E-3</c:v>
                </c:pt>
                <c:pt idx="13" formatCode="0.0E+00">
                  <c:v>1E-3</c:v>
                </c:pt>
                <c:pt idx="14">
                  <c:v>5.0000000000000001E-4</c:v>
                </c:pt>
                <c:pt idx="15" formatCode="0.0E+00">
                  <c:v>1E-4</c:v>
                </c:pt>
                <c:pt idx="16" formatCode="0.00E+00">
                  <c:v>5.0000000000000002E-5</c:v>
                </c:pt>
                <c:pt idx="17" formatCode="0.0E+00">
                  <c:v>1.0000000000000001E-5</c:v>
                </c:pt>
                <c:pt idx="18" formatCode="0.00E+00">
                  <c:v>5.0000000000000004E-6</c:v>
                </c:pt>
                <c:pt idx="19" formatCode="0.0E+00">
                  <c:v>9.9999999999999995E-7</c:v>
                </c:pt>
                <c:pt idx="20" formatCode="0.00E+00">
                  <c:v>4.9999999999999998E-7</c:v>
                </c:pt>
                <c:pt idx="21" formatCode="0.0E+00">
                  <c:v>9.9999999999999995E-8</c:v>
                </c:pt>
                <c:pt idx="22">
                  <c:v>0</c:v>
                </c:pt>
              </c:numCache>
            </c:numRef>
          </c:xVal>
          <c:yVal>
            <c:numRef>
              <c:f>Pop_10!$I$3:$I$25</c:f>
              <c:numCache>
                <c:formatCode>0</c:formatCode>
                <c:ptCount val="23"/>
                <c:pt idx="0">
                  <c:v>9.41</c:v>
                </c:pt>
                <c:pt idx="1">
                  <c:v>10.01</c:v>
                </c:pt>
                <c:pt idx="2">
                  <c:v>10.78</c:v>
                </c:pt>
                <c:pt idx="3">
                  <c:v>11.67</c:v>
                </c:pt>
                <c:pt idx="4">
                  <c:v>12.84</c:v>
                </c:pt>
                <c:pt idx="5">
                  <c:v>14.37</c:v>
                </c:pt>
                <c:pt idx="6">
                  <c:v>16.27</c:v>
                </c:pt>
                <c:pt idx="7">
                  <c:v>19.350000000000001</c:v>
                </c:pt>
                <c:pt idx="8">
                  <c:v>24.02</c:v>
                </c:pt>
                <c:pt idx="9">
                  <c:v>31.43</c:v>
                </c:pt>
                <c:pt idx="10">
                  <c:v>35.619999999999997</c:v>
                </c:pt>
                <c:pt idx="11">
                  <c:v>36.64</c:v>
                </c:pt>
                <c:pt idx="12">
                  <c:v>37.25</c:v>
                </c:pt>
                <c:pt idx="13">
                  <c:v>37.58</c:v>
                </c:pt>
                <c:pt idx="14">
                  <c:v>37.07</c:v>
                </c:pt>
                <c:pt idx="15">
                  <c:v>38.020000000000003</c:v>
                </c:pt>
                <c:pt idx="16">
                  <c:v>38.18</c:v>
                </c:pt>
                <c:pt idx="17">
                  <c:v>36.590000000000003</c:v>
                </c:pt>
                <c:pt idx="18">
                  <c:v>36.22</c:v>
                </c:pt>
                <c:pt idx="19">
                  <c:v>37.229999999999997</c:v>
                </c:pt>
                <c:pt idx="20">
                  <c:v>37.89</c:v>
                </c:pt>
                <c:pt idx="21">
                  <c:v>38.36</c:v>
                </c:pt>
                <c:pt idx="22">
                  <c:v>36.74</c:v>
                </c:pt>
              </c:numCache>
            </c:numRef>
          </c:yVal>
          <c:smooth val="0"/>
          <c:extLst>
            <c:ext xmlns:c16="http://schemas.microsoft.com/office/drawing/2014/chart" uri="{C3380CC4-5D6E-409C-BE32-E72D297353CC}">
              <c16:uniqueId val="{00000000-7023-4079-B1AE-8F871DFFF9E9}"/>
            </c:ext>
          </c:extLst>
        </c:ser>
        <c:dLbls>
          <c:showLegendKey val="0"/>
          <c:showVal val="0"/>
          <c:showCatName val="0"/>
          <c:showSerName val="0"/>
          <c:showPercent val="0"/>
          <c:showBubbleSize val="0"/>
        </c:dLbls>
        <c:axId val="822726816"/>
        <c:axId val="822727296"/>
      </c:scatterChart>
      <c:valAx>
        <c:axId val="822726816"/>
        <c:scaling>
          <c:orientation val="minMax"/>
          <c:max val="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822727296"/>
        <c:crosses val="autoZero"/>
        <c:crossBetween val="midCat"/>
        <c:majorUnit val="0.1"/>
        <c:minorUnit val="5.000000000000001E-2"/>
      </c:valAx>
      <c:valAx>
        <c:axId val="8227272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Generations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endParaRPr lang="en-DE"/>
            </a:p>
          </c:txPr>
        </c:title>
        <c:numFmt formatCode="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DE"/>
          </a:p>
        </c:txPr>
        <c:crossAx val="822726816"/>
        <c:crosses val="autoZero"/>
        <c:crossBetween val="midCat"/>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r>
              <a:rPr lang="en-US" sz="1050" b="0" i="0" u="none" strike="noStrike" kern="1200" spc="0" baseline="0">
                <a:solidFill>
                  <a:sysClr val="windowText" lastClr="000000">
                    <a:lumMod val="65000"/>
                    <a:lumOff val="35000"/>
                  </a:sysClr>
                </a:solidFill>
              </a:rPr>
              <a:t>N=10</a:t>
            </a:r>
            <a:r>
              <a:rPr lang="en-US" sz="1050" b="0" i="0" u="none" strike="noStrike" kern="1200" spc="0" baseline="30000">
                <a:solidFill>
                  <a:sysClr val="windowText" lastClr="000000">
                    <a:lumMod val="65000"/>
                    <a:lumOff val="35000"/>
                  </a:sysClr>
                </a:solidFill>
              </a:rPr>
              <a:t>6</a:t>
            </a:r>
            <a:r>
              <a:rPr lang="en-US" sz="1050" b="0" i="0" u="none" strike="noStrike" kern="1200" spc="0" baseline="0">
                <a:solidFill>
                  <a:sysClr val="windowText" lastClr="000000">
                    <a:lumMod val="65000"/>
                    <a:lumOff val="35000"/>
                  </a:sysClr>
                </a:solidFill>
              </a:rPr>
              <a:t>, attempts=10</a:t>
            </a:r>
            <a:r>
              <a:rPr lang="en-US" sz="1050" b="0" i="0" u="none" strike="noStrike" kern="1200" spc="0" baseline="30000">
                <a:solidFill>
                  <a:sysClr val="windowText" lastClr="000000">
                    <a:lumMod val="65000"/>
                    <a:lumOff val="35000"/>
                  </a:sysClr>
                </a:solidFill>
              </a:rPr>
              <a:t>7</a:t>
            </a:r>
            <a:r>
              <a:rPr lang="en-US" sz="1050" b="0" i="0" u="none" strike="noStrike" kern="1200" spc="0" baseline="0">
                <a:solidFill>
                  <a:sysClr val="windowText" lastClr="000000">
                    <a:lumMod val="65000"/>
                    <a:lumOff val="35000"/>
                  </a:sysClr>
                </a:solidFill>
              </a:rPr>
              <a:t>,</a:t>
            </a:r>
          </a:p>
          <a:p>
            <a:pPr marL="0" marR="0" lvl="0" indent="0" algn="l" defTabSz="914400" rtl="0" eaLnBrk="1" fontAlgn="auto" latinLnBrk="0" hangingPunct="1">
              <a:lnSpc>
                <a:spcPct val="100000"/>
              </a:lnSpc>
              <a:spcBef>
                <a:spcPts val="0"/>
              </a:spcBef>
              <a:spcAft>
                <a:spcPts val="0"/>
              </a:spcAft>
              <a:buClrTx/>
              <a:buSzTx/>
              <a:buFontTx/>
              <a:buNone/>
              <a:tabLst/>
              <a:defRPr sz="1050">
                <a:solidFill>
                  <a:sysClr val="windowText" lastClr="000000">
                    <a:lumMod val="65000"/>
                    <a:lumOff val="35000"/>
                  </a:sysClr>
                </a:solidFill>
              </a:defRPr>
            </a:pPr>
            <a:r>
              <a:rPr lang="en-US" sz="1050" b="0" i="0" u="none" strike="noStrike" kern="1200" spc="0" baseline="0">
                <a:solidFill>
                  <a:sysClr val="windowText" lastClr="000000">
                    <a:lumMod val="65000"/>
                    <a:lumOff val="35000"/>
                  </a:sysClr>
                </a:solidFill>
              </a:rPr>
              <a:t>reps=20, s=0 - 0.01</a:t>
            </a:r>
          </a:p>
        </c:rich>
      </c:tx>
      <c:layout>
        <c:manualLayout>
          <c:xMode val="edge"/>
          <c:yMode val="edge"/>
          <c:x val="0.28410944444444447"/>
          <c:y val="1.1513888888888889E-2"/>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15890048118985126"/>
          <c:y val="3.3240740740740737E-2"/>
          <c:w val="0.76939129483814528"/>
          <c:h val="0.73593277777777777"/>
        </c:manualLayout>
      </c:layout>
      <c:scatterChart>
        <c:scatterStyle val="lineMarker"/>
        <c:varyColors val="0"/>
        <c:ser>
          <c:idx val="0"/>
          <c:order val="0"/>
          <c:tx>
            <c:strRef>
              <c:f>Pop_1M!$L$2</c:f>
              <c:strCache>
                <c:ptCount val="1"/>
                <c:pt idx="0">
                  <c:v>Kimura</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olid"/>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9072222222222222E-2"/>
                  <c:y val="0.42691388888888887"/>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Kimura = 1.0025(sim) - 1E-06</a:t>
                    </a:r>
                    <a:br>
                      <a:rPr lang="en-US" sz="1000" baseline="0"/>
                    </a:br>
                    <a:r>
                      <a:rPr lang="en-US" sz="1000" baseline="0"/>
                      <a:t>R² = 1</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Pop_1M!$G$14:$G$25</c:f>
              <c:numCache>
                <c:formatCode>#,##0.00000</c:formatCode>
                <c:ptCount val="12"/>
                <c:pt idx="0">
                  <c:v>1.9747009999999999E-2</c:v>
                </c:pt>
                <c:pt idx="1">
                  <c:v>1.5831310000000001E-2</c:v>
                </c:pt>
                <c:pt idx="2">
                  <c:v>1.190359E-2</c:v>
                </c:pt>
                <c:pt idx="3">
                  <c:v>7.9620799999999999E-3</c:v>
                </c:pt>
                <c:pt idx="4">
                  <c:v>3.9818800000000001E-3</c:v>
                </c:pt>
                <c:pt idx="5">
                  <c:v>1.9924399999999998E-3</c:v>
                </c:pt>
                <c:pt idx="6" formatCode="#,##0.000000">
                  <c:v>2.0053000000000001E-4</c:v>
                </c:pt>
                <c:pt idx="7" formatCode="#,##0.000000">
                  <c:v>1.9850000000000001E-5</c:v>
                </c:pt>
                <c:pt idx="8" formatCode="#,##0.000000">
                  <c:v>2.0099999999999998E-6</c:v>
                </c:pt>
                <c:pt idx="9" formatCode="#,##0.000000">
                  <c:v>5.5000000000000003E-7</c:v>
                </c:pt>
                <c:pt idx="10" formatCode="#,##0.000000">
                  <c:v>4.9999999999999998E-7</c:v>
                </c:pt>
                <c:pt idx="11" formatCode="0.0E+00">
                  <c:v>4.9999999999999998E-7</c:v>
                </c:pt>
              </c:numCache>
            </c:numRef>
          </c:xVal>
          <c:yVal>
            <c:numRef>
              <c:f>Pop_1M!$L$14:$L$25</c:f>
              <c:numCache>
                <c:formatCode>#,##0.00000</c:formatCode>
                <c:ptCount val="12"/>
                <c:pt idx="0">
                  <c:v>1.9801326693244747E-2</c:v>
                </c:pt>
                <c:pt idx="1">
                  <c:v>1.5872679944714863E-2</c:v>
                </c:pt>
                <c:pt idx="2">
                  <c:v>1.1928287138069482E-2</c:v>
                </c:pt>
                <c:pt idx="3">
                  <c:v>7.9680851629393423E-3</c:v>
                </c:pt>
                <c:pt idx="4">
                  <c:v>3.9920106560085156E-3</c:v>
                </c:pt>
                <c:pt idx="5">
                  <c:v>1.998001332666921E-3</c:v>
                </c:pt>
                <c:pt idx="6" formatCode="#,##0.000000">
                  <c:v>1.9998000133325533E-4</c:v>
                </c:pt>
                <c:pt idx="7" formatCode="#,##0.000000">
                  <c:v>1.9999800001335721E-5</c:v>
                </c:pt>
                <c:pt idx="8" formatCode="#,##0.000000">
                  <c:v>2.0373126834033871E-6</c:v>
                </c:pt>
                <c:pt idx="9" formatCode="#,##0.000000">
                  <c:v>6.0664889574498439E-7</c:v>
                </c:pt>
                <c:pt idx="10" formatCode="#,##0.000000">
                  <c:v>5.1006665895760205E-7</c:v>
                </c:pt>
                <c:pt idx="11" formatCode="0.0E+00">
                  <c:v>4.9999999999999998E-7</c:v>
                </c:pt>
              </c:numCache>
            </c:numRef>
          </c:yVal>
          <c:smooth val="0"/>
          <c:extLst>
            <c:ext xmlns:c16="http://schemas.microsoft.com/office/drawing/2014/chart" uri="{C3380CC4-5D6E-409C-BE32-E72D297353CC}">
              <c16:uniqueId val="{00000000-1BE6-4CB9-BFF2-6DB95AA4CE79}"/>
            </c:ext>
          </c:extLst>
        </c:ser>
        <c:dLbls>
          <c:showLegendKey val="0"/>
          <c:showVal val="0"/>
          <c:showCatName val="0"/>
          <c:showSerName val="0"/>
          <c:showPercent val="0"/>
          <c:showBubbleSize val="0"/>
        </c:dLbls>
        <c:axId val="1111275184"/>
        <c:axId val="1111261264"/>
      </c:scatterChart>
      <c:valAx>
        <c:axId val="1111275184"/>
        <c:scaling>
          <c:orientation val="minMax"/>
          <c:max val="2.0000000000000004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 (simulation)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61264"/>
        <c:crosses val="autoZero"/>
        <c:crossBetween val="midCat"/>
        <c:majorUnit val="1.0000000000000002E-2"/>
        <c:minorUnit val="5.000000000000001E-3"/>
      </c:valAx>
      <c:valAx>
        <c:axId val="1111261264"/>
        <c:scaling>
          <c:orientation val="minMax"/>
          <c:max val="2.0000000000000004E-2"/>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 (Kimura)</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75184"/>
        <c:crosses val="autoZero"/>
        <c:crossBetween val="midCat"/>
        <c:majorUnit val="1.0000000000000002E-2"/>
        <c:min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0" i="0" u="none" strike="noStrike" kern="1200" spc="0" baseline="0">
                <a:solidFill>
                  <a:sysClr val="windowText" lastClr="000000">
                    <a:lumMod val="65000"/>
                    <a:lumOff val="35000"/>
                  </a:sysClr>
                </a:solidFill>
              </a:rPr>
              <a:t>N=10</a:t>
            </a:r>
            <a:r>
              <a:rPr lang="en-US" sz="1100" b="0" i="0" u="none" strike="noStrike" kern="1200" spc="0" baseline="30000">
                <a:solidFill>
                  <a:sysClr val="windowText" lastClr="000000">
                    <a:lumMod val="65000"/>
                    <a:lumOff val="35000"/>
                  </a:sysClr>
                </a:solidFill>
              </a:rPr>
              <a:t>6</a:t>
            </a:r>
            <a:r>
              <a:rPr lang="en-US" sz="1100" b="0" i="0" u="none" strike="noStrike" kern="1200" spc="0" baseline="0">
                <a:solidFill>
                  <a:sysClr val="windowText" lastClr="000000">
                    <a:lumMod val="65000"/>
                    <a:lumOff val="35000"/>
                  </a:sysClr>
                </a:solidFill>
              </a:rPr>
              <a:t>, attempts=10</a:t>
            </a:r>
            <a:r>
              <a:rPr lang="en-US" sz="1100" b="0" i="0" u="none" strike="noStrike" kern="1200" spc="0" baseline="30000">
                <a:solidFill>
                  <a:sysClr val="windowText" lastClr="000000">
                    <a:lumMod val="65000"/>
                    <a:lumOff val="35000"/>
                  </a:sysClr>
                </a:solidFill>
              </a:rPr>
              <a:t>7</a:t>
            </a:r>
            <a:r>
              <a:rPr lang="en-US" sz="1100" b="0" i="0" u="none" strike="noStrike" kern="1200" spc="0" baseline="0">
                <a:solidFill>
                  <a:sysClr val="windowText" lastClr="000000">
                    <a:lumMod val="65000"/>
                    <a:lumOff val="35000"/>
                  </a:sysClr>
                </a:solidFill>
              </a:rPr>
              <a:t>,</a:t>
            </a:r>
          </a:p>
          <a:p>
            <a:pPr marL="0" marR="0" lvl="0" indent="0" algn="l"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defRPr>
            </a:pPr>
            <a:r>
              <a:rPr lang="en-US" sz="1100" b="0" i="0" u="none" strike="noStrike" kern="1200" spc="0" baseline="0">
                <a:solidFill>
                  <a:sysClr val="windowText" lastClr="000000">
                    <a:lumMod val="65000"/>
                    <a:lumOff val="35000"/>
                  </a:sysClr>
                </a:solidFill>
              </a:rPr>
              <a:t>reps=20, s=0 - 1</a:t>
            </a:r>
          </a:p>
        </c:rich>
      </c:tx>
      <c:layout>
        <c:manualLayout>
          <c:xMode val="edge"/>
          <c:yMode val="edge"/>
          <c:x val="0.25256944444444446"/>
          <c:y val="6.8438888888888889E-3"/>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1340025"/>
          <c:y val="4.8666666666666664E-2"/>
          <c:w val="0.81669694444444441"/>
          <c:h val="0.72648555555555561"/>
        </c:manualLayout>
      </c:layout>
      <c:scatterChart>
        <c:scatterStyle val="lineMarker"/>
        <c:varyColors val="0"/>
        <c:ser>
          <c:idx val="0"/>
          <c:order val="0"/>
          <c:tx>
            <c:strRef>
              <c:f>Pop_1M!$L$2</c:f>
              <c:strCache>
                <c:ptCount val="1"/>
                <c:pt idx="0">
                  <c:v>Kimura</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1109777777777778"/>
                  <c:y val="0.38877777777777778"/>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Kimura = 1.0875(sim) - 0.002</a:t>
                    </a:r>
                    <a:br>
                      <a:rPr lang="en-US" sz="1000" baseline="0"/>
                    </a:br>
                    <a:r>
                      <a:rPr lang="en-US" sz="1000" baseline="0"/>
                      <a:t>R² = 0.9999</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Pop_1M!$G$3:$G$25</c:f>
              <c:numCache>
                <c:formatCode>#,##0.00000</c:formatCode>
                <c:ptCount val="23"/>
                <c:pt idx="0">
                  <c:v>0.79675600999999996</c:v>
                </c:pt>
                <c:pt idx="1">
                  <c:v>0.76723017999999998</c:v>
                </c:pt>
                <c:pt idx="2">
                  <c:v>0.73241442000000001</c:v>
                </c:pt>
                <c:pt idx="3">
                  <c:v>0.69119138000000002</c:v>
                </c:pt>
                <c:pt idx="4">
                  <c:v>0.64201262999999997</c:v>
                </c:pt>
                <c:pt idx="5">
                  <c:v>0.58283949999999995</c:v>
                </c:pt>
                <c:pt idx="6">
                  <c:v>0.51100480000000004</c:v>
                </c:pt>
                <c:pt idx="7">
                  <c:v>0.42292204999999999</c:v>
                </c:pt>
                <c:pt idx="8">
                  <c:v>0.31369340000000001</c:v>
                </c:pt>
                <c:pt idx="9">
                  <c:v>0.17611080000000001</c:v>
                </c:pt>
                <c:pt idx="10">
                  <c:v>9.3665819999999997E-2</c:v>
                </c:pt>
                <c:pt idx="11">
                  <c:v>1.9747009999999999E-2</c:v>
                </c:pt>
                <c:pt idx="12">
                  <c:v>1.5831310000000001E-2</c:v>
                </c:pt>
                <c:pt idx="13">
                  <c:v>1.190359E-2</c:v>
                </c:pt>
                <c:pt idx="14">
                  <c:v>7.9620799999999999E-3</c:v>
                </c:pt>
                <c:pt idx="15">
                  <c:v>3.9818800000000001E-3</c:v>
                </c:pt>
                <c:pt idx="16">
                  <c:v>1.9924399999999998E-3</c:v>
                </c:pt>
                <c:pt idx="17" formatCode="#,##0.000000">
                  <c:v>2.0053000000000001E-4</c:v>
                </c:pt>
                <c:pt idx="18" formatCode="#,##0.000000">
                  <c:v>1.9850000000000001E-5</c:v>
                </c:pt>
                <c:pt idx="19" formatCode="#,##0.000000">
                  <c:v>2.0099999999999998E-6</c:v>
                </c:pt>
                <c:pt idx="20" formatCode="#,##0.000000">
                  <c:v>5.5000000000000003E-7</c:v>
                </c:pt>
                <c:pt idx="21" formatCode="#,##0.000000">
                  <c:v>4.9999999999999998E-7</c:v>
                </c:pt>
                <c:pt idx="22" formatCode="0.0E+00">
                  <c:v>4.9999999999999998E-7</c:v>
                </c:pt>
              </c:numCache>
            </c:numRef>
          </c:xVal>
          <c:yVal>
            <c:numRef>
              <c:f>Pop_1M!$L$3:$L$25</c:f>
              <c:numCache>
                <c:formatCode>#,##0.00000</c:formatCode>
                <c:ptCount val="23"/>
                <c:pt idx="0">
                  <c:v>0.8646647167633873</c:v>
                </c:pt>
                <c:pt idx="1">
                  <c:v>0.83470111177841344</c:v>
                </c:pt>
                <c:pt idx="2">
                  <c:v>0.79810348200534464</c:v>
                </c:pt>
                <c:pt idx="3">
                  <c:v>0.75340303605839354</c:v>
                </c:pt>
                <c:pt idx="4">
                  <c:v>0.69880578808779781</c:v>
                </c:pt>
                <c:pt idx="5">
                  <c:v>0.63212055882855767</c:v>
                </c:pt>
                <c:pt idx="6">
                  <c:v>0.55067103588277844</c:v>
                </c:pt>
                <c:pt idx="7">
                  <c:v>0.45118836390597361</c:v>
                </c:pt>
                <c:pt idx="8">
                  <c:v>0.32967995396436067</c:v>
                </c:pt>
                <c:pt idx="9">
                  <c:v>0.18126924692201818</c:v>
                </c:pt>
                <c:pt idx="10">
                  <c:v>9.5162581964040482E-2</c:v>
                </c:pt>
                <c:pt idx="11">
                  <c:v>1.9801326693244747E-2</c:v>
                </c:pt>
                <c:pt idx="12">
                  <c:v>1.5872679944714863E-2</c:v>
                </c:pt>
                <c:pt idx="13">
                  <c:v>1.1928287138069482E-2</c:v>
                </c:pt>
                <c:pt idx="14">
                  <c:v>7.9680851629393423E-3</c:v>
                </c:pt>
                <c:pt idx="15">
                  <c:v>3.9920106560085156E-3</c:v>
                </c:pt>
                <c:pt idx="16">
                  <c:v>1.998001332666921E-3</c:v>
                </c:pt>
                <c:pt idx="17" formatCode="#,##0.000000">
                  <c:v>1.9998000133325533E-4</c:v>
                </c:pt>
                <c:pt idx="18" formatCode="#,##0.000000">
                  <c:v>1.9999800001335721E-5</c:v>
                </c:pt>
                <c:pt idx="19" formatCode="#,##0.000000">
                  <c:v>2.0373126834033871E-6</c:v>
                </c:pt>
                <c:pt idx="20" formatCode="#,##0.000000">
                  <c:v>6.0664889574498439E-7</c:v>
                </c:pt>
                <c:pt idx="21" formatCode="#,##0.000000">
                  <c:v>5.1006665895760205E-7</c:v>
                </c:pt>
                <c:pt idx="22" formatCode="0.0E+00">
                  <c:v>4.9999999999999998E-7</c:v>
                </c:pt>
              </c:numCache>
            </c:numRef>
          </c:yVal>
          <c:smooth val="0"/>
          <c:extLst>
            <c:ext xmlns:c16="http://schemas.microsoft.com/office/drawing/2014/chart" uri="{C3380CC4-5D6E-409C-BE32-E72D297353CC}">
              <c16:uniqueId val="{00000002-7059-4D5E-9F71-5C39BEED3A55}"/>
            </c:ext>
          </c:extLst>
        </c:ser>
        <c:dLbls>
          <c:showLegendKey val="0"/>
          <c:showVal val="0"/>
          <c:showCatName val="0"/>
          <c:showSerName val="0"/>
          <c:showPercent val="0"/>
          <c:showBubbleSize val="0"/>
        </c:dLbls>
        <c:axId val="1111275184"/>
        <c:axId val="1111261264"/>
      </c:scatterChart>
      <c:valAx>
        <c:axId val="111127518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 (simulation)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61264"/>
        <c:crosses val="autoZero"/>
        <c:crossBetween val="midCat"/>
        <c:minorUnit val="0.1"/>
      </c:valAx>
      <c:valAx>
        <c:axId val="1111261264"/>
        <c:scaling>
          <c:orientation val="minMax"/>
          <c:min val="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 fix (Kimura)</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11275184"/>
        <c:crosses val="autoZero"/>
        <c:crossBetween val="midCat"/>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000" b="0" i="0" u="none" strike="noStrike" kern="1200" spc="0" baseline="0">
                <a:solidFill>
                  <a:schemeClr val="tx1">
                    <a:lumMod val="65000"/>
                    <a:lumOff val="35000"/>
                  </a:schemeClr>
                </a:solidFill>
                <a:latin typeface="+mn-lt"/>
                <a:ea typeface="+mn-ea"/>
                <a:cs typeface="+mn-cs"/>
              </a:defRPr>
            </a:pPr>
            <a:r>
              <a:rPr lang="en-US" sz="1000"/>
              <a:t>N</a:t>
            </a:r>
            <a:r>
              <a:rPr lang="en-US" sz="1000" baseline="0"/>
              <a:t> = 10,000</a:t>
            </a:r>
          </a:p>
          <a:p>
            <a:pPr algn="l">
              <a:defRPr sz="1000"/>
            </a:pPr>
            <a:r>
              <a:rPr lang="en-US" sz="1000" baseline="0"/>
              <a:t>s = -1 to 1</a:t>
            </a:r>
          </a:p>
          <a:p>
            <a:pPr algn="l">
              <a:defRPr sz="1000"/>
            </a:pPr>
            <a:r>
              <a:rPr lang="en-US" sz="1000" baseline="0"/>
              <a:t>attempts = </a:t>
            </a:r>
            <a:r>
              <a:rPr lang="en-US" sz="1000" b="0" i="0" u="none" strike="noStrike" kern="1200" spc="0" baseline="0">
                <a:solidFill>
                  <a:sysClr val="windowText" lastClr="000000">
                    <a:lumMod val="65000"/>
                    <a:lumOff val="35000"/>
                  </a:sysClr>
                </a:solidFill>
              </a:rPr>
              <a:t>10</a:t>
            </a:r>
            <a:r>
              <a:rPr lang="en-US" sz="1000" b="0" i="0" u="none" strike="noStrike" kern="1200" spc="0" baseline="30000">
                <a:solidFill>
                  <a:sysClr val="windowText" lastClr="000000">
                    <a:lumMod val="65000"/>
                    <a:lumOff val="35000"/>
                  </a:sysClr>
                </a:solidFill>
              </a:rPr>
              <a:t>6</a:t>
            </a:r>
            <a:endParaRPr lang="en-US" sz="1000"/>
          </a:p>
        </c:rich>
      </c:tx>
      <c:layout>
        <c:manualLayout>
          <c:xMode val="edge"/>
          <c:yMode val="edge"/>
          <c:x val="0.14234722222222224"/>
          <c:y val="4.685821867095314E-2"/>
        </c:manualLayout>
      </c:layout>
      <c:overlay val="0"/>
      <c:spPr>
        <a:noFill/>
        <a:ln>
          <a:noFill/>
        </a:ln>
        <a:effectLst/>
      </c:spPr>
      <c:txPr>
        <a:bodyPr rot="0" spcFirstLastPara="1" vertOverflow="ellipsis" vert="horz" wrap="square" anchor="ctr" anchorCtr="1"/>
        <a:lstStyle/>
        <a:p>
          <a:pPr algn="l">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65277777777777"/>
          <c:y val="4.2664038996677797E-2"/>
          <c:w val="0.85123777777777776"/>
          <c:h val="0.71329019330439591"/>
        </c:manualLayout>
      </c:layout>
      <c:scatterChart>
        <c:scatterStyle val="lineMarker"/>
        <c:varyColors val="0"/>
        <c:ser>
          <c:idx val="0"/>
          <c:order val="0"/>
          <c:tx>
            <c:strRef>
              <c:f>'Effect +s vs -s'!$P$2</c:f>
              <c:strCache>
                <c:ptCount val="1"/>
                <c:pt idx="0">
                  <c:v>Prob fix</c:v>
                </c:pt>
              </c:strCache>
            </c:strRef>
          </c:tx>
          <c:spPr>
            <a:ln w="19050" cap="rnd">
              <a:noFill/>
              <a:round/>
            </a:ln>
            <a:effectLst/>
          </c:spPr>
          <c:marker>
            <c:symbol val="circle"/>
            <c:size val="5"/>
            <c:spPr>
              <a:solidFill>
                <a:srgbClr val="FF0000"/>
              </a:solidFill>
              <a:ln w="9525">
                <a:noFill/>
              </a:ln>
              <a:effectLst/>
            </c:spPr>
          </c:marker>
          <c:xVal>
            <c:numRef>
              <c:f>'Effect +s vs -s'!$O$3:$O$46</c:f>
              <c:numCache>
                <c:formatCode>General</c:formatCode>
                <c:ptCount val="44"/>
                <c:pt idx="0">
                  <c:v>1</c:v>
                </c:pt>
                <c:pt idx="1">
                  <c:v>0.9</c:v>
                </c:pt>
                <c:pt idx="2">
                  <c:v>0.8</c:v>
                </c:pt>
                <c:pt idx="3">
                  <c:v>0.7</c:v>
                </c:pt>
                <c:pt idx="4">
                  <c:v>0.6</c:v>
                </c:pt>
                <c:pt idx="5">
                  <c:v>0.5</c:v>
                </c:pt>
                <c:pt idx="6">
                  <c:v>0.45</c:v>
                </c:pt>
                <c:pt idx="7">
                  <c:v>0.4</c:v>
                </c:pt>
                <c:pt idx="8">
                  <c:v>0.35</c:v>
                </c:pt>
                <c:pt idx="9">
                  <c:v>0.3</c:v>
                </c:pt>
                <c:pt idx="10">
                  <c:v>0.25</c:v>
                </c:pt>
                <c:pt idx="11">
                  <c:v>0.2</c:v>
                </c:pt>
                <c:pt idx="12">
                  <c:v>0.15</c:v>
                </c:pt>
                <c:pt idx="13">
                  <c:v>0.1</c:v>
                </c:pt>
                <c:pt idx="14">
                  <c:v>0.05</c:v>
                </c:pt>
                <c:pt idx="15" formatCode="0.0E+00">
                  <c:v>0.01</c:v>
                </c:pt>
                <c:pt idx="16">
                  <c:v>8.9999999999999993E-3</c:v>
                </c:pt>
                <c:pt idx="17">
                  <c:v>8.0000000000000002E-3</c:v>
                </c:pt>
                <c:pt idx="18">
                  <c:v>7.0000000000000001E-3</c:v>
                </c:pt>
                <c:pt idx="19">
                  <c:v>6.0000000000000001E-3</c:v>
                </c:pt>
                <c:pt idx="20">
                  <c:v>5.0000000000000001E-3</c:v>
                </c:pt>
                <c:pt idx="21">
                  <c:v>4.0000000000000001E-3</c:v>
                </c:pt>
                <c:pt idx="22">
                  <c:v>3.0000000000000001E-3</c:v>
                </c:pt>
                <c:pt idx="23">
                  <c:v>2E-3</c:v>
                </c:pt>
                <c:pt idx="24" formatCode="0.0E+00">
                  <c:v>1E-3</c:v>
                </c:pt>
                <c:pt idx="25" formatCode="0.0E+00">
                  <c:v>1E-4</c:v>
                </c:pt>
                <c:pt idx="26" formatCode="0.0E+00">
                  <c:v>1.0000000000000001E-5</c:v>
                </c:pt>
                <c:pt idx="27" formatCode="0.0E+00">
                  <c:v>9.9999999999999995E-7</c:v>
                </c:pt>
                <c:pt idx="28" formatCode="0.0E+00">
                  <c:v>9.9999999999999995E-8</c:v>
                </c:pt>
                <c:pt idx="29">
                  <c:v>0</c:v>
                </c:pt>
                <c:pt idx="30" formatCode="0.0">
                  <c:v>-1</c:v>
                </c:pt>
                <c:pt idx="31" formatCode="0.0E+00">
                  <c:v>-0.1</c:v>
                </c:pt>
                <c:pt idx="32" formatCode="0.0E+00">
                  <c:v>-0.05</c:v>
                </c:pt>
                <c:pt idx="33" formatCode="0.0E+00">
                  <c:v>-0.01</c:v>
                </c:pt>
                <c:pt idx="34" formatCode="0.0E+00">
                  <c:v>-5.0000000000000001E-3</c:v>
                </c:pt>
                <c:pt idx="35" formatCode="0.0E+00">
                  <c:v>-1E-3</c:v>
                </c:pt>
                <c:pt idx="36" formatCode="0.0E+00">
                  <c:v>-5.0000000000000001E-4</c:v>
                </c:pt>
                <c:pt idx="37" formatCode="0.0E+00">
                  <c:v>-1E-4</c:v>
                </c:pt>
                <c:pt idx="38" formatCode="0.0E+00">
                  <c:v>-5.0000000000000002E-5</c:v>
                </c:pt>
                <c:pt idx="39" formatCode="0.0E+00">
                  <c:v>-1.0000000000000001E-5</c:v>
                </c:pt>
                <c:pt idx="40" formatCode="0.0E+00">
                  <c:v>-9.9999999999999995E-7</c:v>
                </c:pt>
                <c:pt idx="41" formatCode="0.0E+00">
                  <c:v>-9.9999999999999995E-8</c:v>
                </c:pt>
                <c:pt idx="42" formatCode="0.0E+00">
                  <c:v>-1E-8</c:v>
                </c:pt>
                <c:pt idx="43" formatCode="0.0E+00">
                  <c:v>0</c:v>
                </c:pt>
              </c:numCache>
            </c:numRef>
          </c:xVal>
          <c:yVal>
            <c:numRef>
              <c:f>'Effect +s vs -s'!$P$3:$P$46</c:f>
              <c:numCache>
                <c:formatCode>0.00000</c:formatCode>
                <c:ptCount val="44"/>
                <c:pt idx="0">
                  <c:v>0.79670675000000002</c:v>
                </c:pt>
                <c:pt idx="1">
                  <c:v>0.76731994999999997</c:v>
                </c:pt>
                <c:pt idx="2">
                  <c:v>0.73249580000000003</c:v>
                </c:pt>
                <c:pt idx="3">
                  <c:v>0.69120110000000001</c:v>
                </c:pt>
                <c:pt idx="4">
                  <c:v>0.64206945000000004</c:v>
                </c:pt>
                <c:pt idx="5">
                  <c:v>0.58279119999999995</c:v>
                </c:pt>
                <c:pt idx="6">
                  <c:v>0.54867895</c:v>
                </c:pt>
                <c:pt idx="7">
                  <c:v>0.51115730000000004</c:v>
                </c:pt>
                <c:pt idx="8">
                  <c:v>0.46936359999999999</c:v>
                </c:pt>
                <c:pt idx="9">
                  <c:v>0.42288920000000002</c:v>
                </c:pt>
                <c:pt idx="10">
                  <c:v>0.37138775000000002</c:v>
                </c:pt>
                <c:pt idx="11">
                  <c:v>0.31389735000000002</c:v>
                </c:pt>
                <c:pt idx="12">
                  <c:v>0.24885784999999999</c:v>
                </c:pt>
                <c:pt idx="13">
                  <c:v>0.17616285000000001</c:v>
                </c:pt>
                <c:pt idx="14">
                  <c:v>9.3663499999999997E-2</c:v>
                </c:pt>
                <c:pt idx="15">
                  <c:v>1.97156E-2</c:v>
                </c:pt>
                <c:pt idx="16">
                  <c:v>1.7790400000000001E-2</c:v>
                </c:pt>
                <c:pt idx="17">
                  <c:v>1.580295E-2</c:v>
                </c:pt>
                <c:pt idx="18">
                  <c:v>1.39011E-2</c:v>
                </c:pt>
                <c:pt idx="19">
                  <c:v>1.191395E-2</c:v>
                </c:pt>
                <c:pt idx="20">
                  <c:v>9.92525E-3</c:v>
                </c:pt>
                <c:pt idx="21">
                  <c:v>7.9745500000000004E-3</c:v>
                </c:pt>
                <c:pt idx="22">
                  <c:v>5.9617999999999997E-3</c:v>
                </c:pt>
                <c:pt idx="23">
                  <c:v>3.9671000000000003E-3</c:v>
                </c:pt>
                <c:pt idx="24">
                  <c:v>2.0051499999999998E-3</c:v>
                </c:pt>
                <c:pt idx="25">
                  <c:v>2.106E-4</c:v>
                </c:pt>
                <c:pt idx="26">
                  <c:v>6.1849999999999999E-5</c:v>
                </c:pt>
                <c:pt idx="27" formatCode="0.000000">
                  <c:v>5.1249999999999999E-5</c:v>
                </c:pt>
                <c:pt idx="28" formatCode="0.000000">
                  <c:v>4.905E-5</c:v>
                </c:pt>
                <c:pt idx="29">
                  <c:v>4.9200000000000003E-5</c:v>
                </c:pt>
                <c:pt idx="30" formatCode="0.00E+00">
                  <c:v>0</c:v>
                </c:pt>
                <c:pt idx="31" formatCode="0.00E+00">
                  <c:v>0</c:v>
                </c:pt>
                <c:pt idx="32" formatCode="0.00E+00">
                  <c:v>0</c:v>
                </c:pt>
                <c:pt idx="33" formatCode="0.00E+00">
                  <c:v>0</c:v>
                </c:pt>
                <c:pt idx="34" formatCode="0.00E+00">
                  <c:v>0</c:v>
                </c:pt>
                <c:pt idx="35" formatCode="0.00E+00">
                  <c:v>0</c:v>
                </c:pt>
                <c:pt idx="36" formatCode="0.00E+00">
                  <c:v>0</c:v>
                </c:pt>
                <c:pt idx="37" formatCode="0.00E+00">
                  <c:v>4.0500000000000002E-6</c:v>
                </c:pt>
                <c:pt idx="38" formatCode="0.00E+00">
                  <c:v>1.8300000000000001E-5</c:v>
                </c:pt>
                <c:pt idx="39" formatCode="0.00E+00">
                  <c:v>4.0099999999999999E-5</c:v>
                </c:pt>
                <c:pt idx="40" formatCode="0.00E+00">
                  <c:v>4.8050000000000002E-5</c:v>
                </c:pt>
                <c:pt idx="41" formatCode="0.00E+00">
                  <c:v>5.1700000000000003E-5</c:v>
                </c:pt>
                <c:pt idx="42" formatCode="0.00E+00">
                  <c:v>4.9200000000000003E-5</c:v>
                </c:pt>
                <c:pt idx="43" formatCode="0.00E+00">
                  <c:v>4.9299999999999999E-5</c:v>
                </c:pt>
              </c:numCache>
            </c:numRef>
          </c:yVal>
          <c:smooth val="0"/>
          <c:extLst>
            <c:ext xmlns:c16="http://schemas.microsoft.com/office/drawing/2014/chart" uri="{C3380CC4-5D6E-409C-BE32-E72D297353CC}">
              <c16:uniqueId val="{00000000-B44D-4023-B807-0BADBC39BD2C}"/>
            </c:ext>
          </c:extLst>
        </c:ser>
        <c:dLbls>
          <c:showLegendKey val="0"/>
          <c:showVal val="0"/>
          <c:showCatName val="0"/>
          <c:showSerName val="0"/>
          <c:showPercent val="0"/>
          <c:showBubbleSize val="0"/>
        </c:dLbls>
        <c:axId val="390741392"/>
        <c:axId val="390739952"/>
      </c:scatterChart>
      <c:valAx>
        <c:axId val="390741392"/>
        <c:scaling>
          <c:orientation val="minMax"/>
          <c:max val="1"/>
          <c:min val="-1"/>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Selection</a:t>
                </a:r>
                <a:r>
                  <a:rPr lang="en-US" sz="1200" baseline="0"/>
                  <a:t> coefficient, s</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390739952"/>
        <c:crosses val="autoZero"/>
        <c:crossBetween val="midCat"/>
        <c:minorUnit val="0.25"/>
      </c:valAx>
      <c:valAx>
        <c:axId val="39073995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Probability</a:t>
                </a:r>
                <a:r>
                  <a:rPr lang="en-US" sz="1200" baseline="0"/>
                  <a:t> of fixing</a:t>
                </a:r>
                <a:endParaRPr lang="en-US" sz="1200"/>
              </a:p>
            </c:rich>
          </c:tx>
          <c:layout>
            <c:manualLayout>
              <c:xMode val="edge"/>
              <c:yMode val="edge"/>
              <c:x val="1.1513888888888878E-3"/>
              <c:y val="6.5939444444444439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390741392"/>
        <c:crosses val="autoZero"/>
        <c:crossBetween val="midCat"/>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0" i="0" u="none" strike="noStrike" kern="1200" spc="0" baseline="0">
                <a:solidFill>
                  <a:sysClr val="windowText" lastClr="000000">
                    <a:lumMod val="65000"/>
                    <a:lumOff val="35000"/>
                  </a:sysClr>
                </a:solidFill>
              </a:rPr>
              <a:t>N = 10</a:t>
            </a:r>
          </a:p>
          <a:p>
            <a:pPr marL="0" marR="0" lvl="0" indent="0" algn="l"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defRPr>
            </a:pPr>
            <a:r>
              <a:rPr lang="en-US" sz="1000" b="0" i="0" u="none" strike="noStrike" kern="1200" spc="0" baseline="0">
                <a:solidFill>
                  <a:sysClr val="windowText" lastClr="000000">
                    <a:lumMod val="65000"/>
                    <a:lumOff val="35000"/>
                  </a:sysClr>
                </a:solidFill>
              </a:rPr>
              <a:t>s = -1 to 1</a:t>
            </a:r>
          </a:p>
          <a:p>
            <a:pPr marL="0" marR="0" lvl="0" indent="0" algn="l"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defRPr>
            </a:pPr>
            <a:r>
              <a:rPr lang="en-US" sz="1000" b="0" i="0" u="none" strike="noStrike" kern="1200" spc="0" baseline="0">
                <a:solidFill>
                  <a:sysClr val="windowText" lastClr="000000">
                    <a:lumMod val="65000"/>
                    <a:lumOff val="35000"/>
                  </a:sysClr>
                </a:solidFill>
              </a:rPr>
              <a:t>attempts = 10</a:t>
            </a:r>
            <a:r>
              <a:rPr lang="en-US" sz="1000" b="0" i="0" u="none" strike="noStrike" kern="1200" spc="0" baseline="30000">
                <a:solidFill>
                  <a:sysClr val="windowText" lastClr="000000">
                    <a:lumMod val="65000"/>
                    <a:lumOff val="35000"/>
                  </a:sysClr>
                </a:solidFill>
              </a:rPr>
              <a:t>6</a:t>
            </a:r>
            <a:endParaRPr lang="en-US" sz="1000" b="0" i="0" u="none" strike="noStrike" kern="1200" spc="0" baseline="0">
              <a:solidFill>
                <a:sysClr val="windowText" lastClr="000000">
                  <a:lumMod val="65000"/>
                  <a:lumOff val="35000"/>
                </a:sysClr>
              </a:solidFill>
            </a:endParaRPr>
          </a:p>
        </c:rich>
      </c:tx>
      <c:layout>
        <c:manualLayout>
          <c:xMode val="edge"/>
          <c:yMode val="edge"/>
          <c:x val="0.11465114210587758"/>
          <c:y val="2.7777777777777776E-2"/>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DE"/>
        </a:p>
      </c:txPr>
    </c:title>
    <c:autoTitleDeleted val="0"/>
    <c:plotArea>
      <c:layout>
        <c:manualLayout>
          <c:layoutTarget val="inner"/>
          <c:xMode val="edge"/>
          <c:yMode val="edge"/>
          <c:x val="0.12593686868686868"/>
          <c:y val="3.8752777777777775E-2"/>
          <c:w val="0.8469306649168854"/>
          <c:h val="0.72028111111111115"/>
        </c:manualLayout>
      </c:layout>
      <c:scatterChart>
        <c:scatterStyle val="lineMarker"/>
        <c:varyColors val="0"/>
        <c:ser>
          <c:idx val="0"/>
          <c:order val="0"/>
          <c:tx>
            <c:strRef>
              <c:f>'Effect +s vs -s'!$D$2</c:f>
              <c:strCache>
                <c:ptCount val="1"/>
                <c:pt idx="0">
                  <c:v>Prob fix</c:v>
                </c:pt>
              </c:strCache>
            </c:strRef>
          </c:tx>
          <c:spPr>
            <a:ln w="19050" cap="rnd">
              <a:noFill/>
              <a:round/>
            </a:ln>
            <a:effectLst/>
          </c:spPr>
          <c:marker>
            <c:symbol val="circle"/>
            <c:size val="5"/>
            <c:spPr>
              <a:solidFill>
                <a:srgbClr val="FF0000"/>
              </a:solidFill>
              <a:ln w="9525">
                <a:noFill/>
              </a:ln>
              <a:effectLst/>
            </c:spPr>
          </c:marker>
          <c:xVal>
            <c:numRef>
              <c:f>'Effect +s vs -s'!$C$3:$C$46</c:f>
              <c:numCache>
                <c:formatCode>General</c:formatCode>
                <c:ptCount val="44"/>
                <c:pt idx="0">
                  <c:v>1</c:v>
                </c:pt>
                <c:pt idx="1">
                  <c:v>0.9</c:v>
                </c:pt>
                <c:pt idx="2">
                  <c:v>0.8</c:v>
                </c:pt>
                <c:pt idx="3">
                  <c:v>0.7</c:v>
                </c:pt>
                <c:pt idx="4">
                  <c:v>0.6</c:v>
                </c:pt>
                <c:pt idx="5">
                  <c:v>0.5</c:v>
                </c:pt>
                <c:pt idx="6">
                  <c:v>0.4</c:v>
                </c:pt>
                <c:pt idx="7">
                  <c:v>0.3</c:v>
                </c:pt>
                <c:pt idx="8">
                  <c:v>0.2</c:v>
                </c:pt>
                <c:pt idx="9">
                  <c:v>0.1</c:v>
                </c:pt>
                <c:pt idx="10">
                  <c:v>0.08</c:v>
                </c:pt>
                <c:pt idx="11">
                  <c:v>0.06</c:v>
                </c:pt>
                <c:pt idx="12">
                  <c:v>0.05</c:v>
                </c:pt>
                <c:pt idx="13">
                  <c:v>0.04</c:v>
                </c:pt>
                <c:pt idx="14">
                  <c:v>0.02</c:v>
                </c:pt>
                <c:pt idx="15" formatCode="0.00E+00">
                  <c:v>0.01</c:v>
                </c:pt>
                <c:pt idx="16" formatCode="0.00E+00">
                  <c:v>5.0000000000000001E-3</c:v>
                </c:pt>
                <c:pt idx="17" formatCode="0.00E+00">
                  <c:v>1E-3</c:v>
                </c:pt>
                <c:pt idx="18">
                  <c:v>1E-4</c:v>
                </c:pt>
                <c:pt idx="19" formatCode="0.00E+00">
                  <c:v>1.0000000000000001E-5</c:v>
                </c:pt>
                <c:pt idx="20" formatCode="0.00E+00">
                  <c:v>9.9999999999999995E-7</c:v>
                </c:pt>
                <c:pt idx="21">
                  <c:v>0</c:v>
                </c:pt>
                <c:pt idx="22">
                  <c:v>-1</c:v>
                </c:pt>
                <c:pt idx="23">
                  <c:v>-0.9</c:v>
                </c:pt>
                <c:pt idx="24">
                  <c:v>-0.8</c:v>
                </c:pt>
                <c:pt idx="25">
                  <c:v>-0.7</c:v>
                </c:pt>
                <c:pt idx="26">
                  <c:v>-0.6</c:v>
                </c:pt>
                <c:pt idx="27">
                  <c:v>-0.5</c:v>
                </c:pt>
                <c:pt idx="28">
                  <c:v>-0.4</c:v>
                </c:pt>
                <c:pt idx="29">
                  <c:v>-0.3</c:v>
                </c:pt>
                <c:pt idx="30">
                  <c:v>-0.2</c:v>
                </c:pt>
                <c:pt idx="31">
                  <c:v>-0.1</c:v>
                </c:pt>
                <c:pt idx="32">
                  <c:v>-0.08</c:v>
                </c:pt>
                <c:pt idx="33">
                  <c:v>-0.06</c:v>
                </c:pt>
                <c:pt idx="34">
                  <c:v>-0.05</c:v>
                </c:pt>
                <c:pt idx="35">
                  <c:v>-0.04</c:v>
                </c:pt>
                <c:pt idx="36">
                  <c:v>-0.02</c:v>
                </c:pt>
                <c:pt idx="37">
                  <c:v>-0.01</c:v>
                </c:pt>
                <c:pt idx="38">
                  <c:v>-5.0000000000000001E-3</c:v>
                </c:pt>
                <c:pt idx="39">
                  <c:v>-1E-3</c:v>
                </c:pt>
                <c:pt idx="40">
                  <c:v>-1E-4</c:v>
                </c:pt>
                <c:pt idx="41" formatCode="0.00E+00">
                  <c:v>-1.0000000000000001E-5</c:v>
                </c:pt>
                <c:pt idx="42" formatCode="0.00E+00">
                  <c:v>-9.9999999999999995E-7</c:v>
                </c:pt>
                <c:pt idx="43">
                  <c:v>0</c:v>
                </c:pt>
              </c:numCache>
            </c:numRef>
          </c:xVal>
          <c:yVal>
            <c:numRef>
              <c:f>'Effect +s vs -s'!$D$3:$D$46</c:f>
              <c:numCache>
                <c:formatCode>0.00000</c:formatCode>
                <c:ptCount val="44"/>
                <c:pt idx="0">
                  <c:v>0.79028549999999997</c:v>
                </c:pt>
                <c:pt idx="1">
                  <c:v>0.76086509999999996</c:v>
                </c:pt>
                <c:pt idx="2">
                  <c:v>0.72626168000000002</c:v>
                </c:pt>
                <c:pt idx="3">
                  <c:v>0.68527994999999997</c:v>
                </c:pt>
                <c:pt idx="4">
                  <c:v>0.63649241999999995</c:v>
                </c:pt>
                <c:pt idx="5">
                  <c:v>0.57782975999999997</c:v>
                </c:pt>
                <c:pt idx="6">
                  <c:v>0.50670199999999999</c:v>
                </c:pt>
                <c:pt idx="7">
                  <c:v>0.41929071000000001</c:v>
                </c:pt>
                <c:pt idx="8">
                  <c:v>0.31122314000000001</c:v>
                </c:pt>
                <c:pt idx="9">
                  <c:v>0.17873684000000001</c:v>
                </c:pt>
                <c:pt idx="10">
                  <c:v>0.1502695</c:v>
                </c:pt>
                <c:pt idx="11">
                  <c:v>0.12220093999999999</c:v>
                </c:pt>
                <c:pt idx="12">
                  <c:v>0.10860179</c:v>
                </c:pt>
                <c:pt idx="13">
                  <c:v>9.5400979999999996E-2</c:v>
                </c:pt>
                <c:pt idx="14">
                  <c:v>7.0990429999999993E-2</c:v>
                </c:pt>
                <c:pt idx="15">
                  <c:v>6.0028039999999998E-2</c:v>
                </c:pt>
                <c:pt idx="16">
                  <c:v>5.4871679999999999E-2</c:v>
                </c:pt>
                <c:pt idx="17">
                  <c:v>5.0940609999999997E-2</c:v>
                </c:pt>
                <c:pt idx="18">
                  <c:v>5.0116069999999999E-2</c:v>
                </c:pt>
                <c:pt idx="19">
                  <c:v>4.9994629999999998E-2</c:v>
                </c:pt>
                <c:pt idx="20">
                  <c:v>5.0024699999999998E-2</c:v>
                </c:pt>
                <c:pt idx="21">
                  <c:v>5.0026429999999997E-2</c:v>
                </c:pt>
                <c:pt idx="22" formatCode="0.00E+00">
                  <c:v>0</c:v>
                </c:pt>
                <c:pt idx="23" formatCode="0.00E+00">
                  <c:v>0</c:v>
                </c:pt>
                <c:pt idx="24" formatCode="0.00E+00">
                  <c:v>0</c:v>
                </c:pt>
                <c:pt idx="25" formatCode="0.00E+00">
                  <c:v>0</c:v>
                </c:pt>
                <c:pt idx="26" formatCode="0.00E+00">
                  <c:v>0</c:v>
                </c:pt>
                <c:pt idx="27" formatCode="0.00E+00">
                  <c:v>0</c:v>
                </c:pt>
                <c:pt idx="28" formatCode="0.00E+00">
                  <c:v>0</c:v>
                </c:pt>
                <c:pt idx="29" formatCode="0.00E+00">
                  <c:v>6.7999999999999995E-7</c:v>
                </c:pt>
                <c:pt idx="30" formatCode="0.00E+00">
                  <c:v>7.6929999999999997E-5</c:v>
                </c:pt>
                <c:pt idx="31" formatCode="0.00E+00">
                  <c:v>3.5496E-3</c:v>
                </c:pt>
                <c:pt idx="32" formatCode="0.00E+00">
                  <c:v>6.7397500000000001E-3</c:v>
                </c:pt>
                <c:pt idx="33" formatCode="0.00E+00">
                  <c:v>1.214899E-2</c:v>
                </c:pt>
                <c:pt idx="34" formatCode="0.00E+00">
                  <c:v>1.5968130000000001E-2</c:v>
                </c:pt>
                <c:pt idx="35" formatCode="0.00E+00">
                  <c:v>2.0698290000000001E-2</c:v>
                </c:pt>
                <c:pt idx="36" formatCode="0.00E+00">
                  <c:v>3.3177930000000001E-2</c:v>
                </c:pt>
                <c:pt idx="37" formatCode="0.00E+00">
                  <c:v>4.103122E-2</c:v>
                </c:pt>
                <c:pt idx="38" formatCode="0.00E+00">
                  <c:v>4.5377489999999999E-2</c:v>
                </c:pt>
                <c:pt idx="39" formatCode="0.00E+00">
                  <c:v>4.9074899999999998E-2</c:v>
                </c:pt>
                <c:pt idx="40" formatCode="0.00E+00">
                  <c:v>4.9903360000000001E-2</c:v>
                </c:pt>
                <c:pt idx="41" formatCode="0.00E+00">
                  <c:v>4.9981530000000003E-2</c:v>
                </c:pt>
                <c:pt idx="42" formatCode="0.00E+00">
                  <c:v>5.0015329999999997E-2</c:v>
                </c:pt>
                <c:pt idx="43" formatCode="0.00E+00">
                  <c:v>5.0013929999999998E-2</c:v>
                </c:pt>
              </c:numCache>
            </c:numRef>
          </c:yVal>
          <c:smooth val="0"/>
          <c:extLst>
            <c:ext xmlns:c16="http://schemas.microsoft.com/office/drawing/2014/chart" uri="{C3380CC4-5D6E-409C-BE32-E72D297353CC}">
              <c16:uniqueId val="{00000000-120E-40C1-88DF-1D5A126A388C}"/>
            </c:ext>
          </c:extLst>
        </c:ser>
        <c:dLbls>
          <c:showLegendKey val="0"/>
          <c:showVal val="0"/>
          <c:showCatName val="0"/>
          <c:showSerName val="0"/>
          <c:showPercent val="0"/>
          <c:showBubbleSize val="0"/>
        </c:dLbls>
        <c:axId val="131205920"/>
        <c:axId val="131216000"/>
      </c:scatterChart>
      <c:valAx>
        <c:axId val="131205920"/>
        <c:scaling>
          <c:orientation val="minMax"/>
          <c:max val="1"/>
          <c:min val="-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1216000"/>
        <c:crosses val="autoZero"/>
        <c:crossBetween val="midCat"/>
        <c:minorUnit val="0.25"/>
      </c:valAx>
      <c:valAx>
        <c:axId val="131216000"/>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Probability of fixing</a:t>
                </a:r>
              </a:p>
              <a:p>
                <a:pPr marL="0" marR="0" lvl="0" indent="0" algn="ctr" defTabSz="914400" rtl="0" eaLnBrk="1" fontAlgn="auto" latinLnBrk="0" hangingPunct="1">
                  <a:lnSpc>
                    <a:spcPct val="100000"/>
                  </a:lnSpc>
                  <a:spcBef>
                    <a:spcPts val="0"/>
                  </a:spcBef>
                  <a:spcAft>
                    <a:spcPts val="0"/>
                  </a:spcAft>
                  <a:buClrTx/>
                  <a:buSzTx/>
                  <a:buFontTx/>
                  <a:buNone/>
                  <a:tabLst/>
                  <a:defRPr sz="1200">
                    <a:solidFill>
                      <a:sysClr val="windowText" lastClr="000000">
                        <a:lumMod val="65000"/>
                        <a:lumOff val="35000"/>
                      </a:sysClr>
                    </a:solidFill>
                  </a:defRPr>
                </a:pPr>
                <a:endParaRPr lang="en-US" sz="1200"/>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1205920"/>
        <c:crosses val="autoZero"/>
        <c:crossBetween val="midCat"/>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000" b="0" i="0" u="none" strike="noStrike" kern="1200" spc="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N = 10</a:t>
            </a:r>
          </a:p>
          <a:p>
            <a:pPr algn="l">
              <a:defRPr sz="1000"/>
            </a:pPr>
            <a:r>
              <a:rPr lang="en-US" sz="1000" b="0" i="0" u="none" strike="noStrike" kern="1200" spc="0" baseline="0">
                <a:solidFill>
                  <a:sysClr val="windowText" lastClr="000000">
                    <a:lumMod val="65000"/>
                    <a:lumOff val="35000"/>
                  </a:sysClr>
                </a:solidFill>
              </a:rPr>
              <a:t>s = -0.01 to 0.01</a:t>
            </a:r>
          </a:p>
          <a:p>
            <a:pPr algn="l">
              <a:defRPr sz="1000"/>
            </a:pPr>
            <a:r>
              <a:rPr lang="en-US" sz="1000" b="0" i="0" u="none" strike="noStrike" kern="1200" spc="0" baseline="0">
                <a:solidFill>
                  <a:sysClr val="windowText" lastClr="000000">
                    <a:lumMod val="65000"/>
                    <a:lumOff val="35000"/>
                  </a:sysClr>
                </a:solidFill>
              </a:rPr>
              <a:t>attempts = 10</a:t>
            </a:r>
            <a:r>
              <a:rPr lang="en-US" sz="1000" b="0" i="0" u="none" strike="noStrike" kern="1200" spc="0" baseline="30000">
                <a:solidFill>
                  <a:sysClr val="windowText" lastClr="000000">
                    <a:lumMod val="65000"/>
                    <a:lumOff val="35000"/>
                  </a:sysClr>
                </a:solidFill>
              </a:rPr>
              <a:t>6</a:t>
            </a:r>
            <a:endParaRPr lang="en-US" sz="1000"/>
          </a:p>
        </c:rich>
      </c:tx>
      <c:layout>
        <c:manualLayout>
          <c:xMode val="edge"/>
          <c:yMode val="edge"/>
          <c:x val="0.13669525869017773"/>
          <c:y val="4.8726727738373381E-2"/>
        </c:manualLayout>
      </c:layout>
      <c:overlay val="0"/>
      <c:spPr>
        <a:noFill/>
        <a:ln>
          <a:noFill/>
        </a:ln>
        <a:effectLst/>
      </c:spPr>
      <c:txPr>
        <a:bodyPr rot="0" spcFirstLastPara="1" vertOverflow="ellipsis" vert="horz" wrap="square" anchor="ctr" anchorCtr="1"/>
        <a:lstStyle/>
        <a:p>
          <a:pPr algn="l">
            <a:defRPr sz="10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2900320756919623"/>
          <c:y val="4.3083737615134843E-2"/>
          <c:w val="0.81687114688665663"/>
          <c:h val="0.71896786258476852"/>
        </c:manualLayout>
      </c:layout>
      <c:scatterChart>
        <c:scatterStyle val="lineMarker"/>
        <c:varyColors val="0"/>
        <c:ser>
          <c:idx val="0"/>
          <c:order val="0"/>
          <c:tx>
            <c:strRef>
              <c:f>'Effect +s vs -s'!$D$48</c:f>
              <c:strCache>
                <c:ptCount val="1"/>
                <c:pt idx="0">
                  <c:v>Prob fix</c:v>
                </c:pt>
              </c:strCache>
            </c:strRef>
          </c:tx>
          <c:spPr>
            <a:ln w="19050" cap="rnd">
              <a:noFill/>
              <a:round/>
            </a:ln>
            <a:effectLst/>
          </c:spPr>
          <c:marker>
            <c:symbol val="circle"/>
            <c:size val="5"/>
            <c:spPr>
              <a:solidFill>
                <a:srgbClr val="FF0000"/>
              </a:solidFill>
              <a:ln w="9525">
                <a:noFill/>
              </a:ln>
              <a:effectLst/>
            </c:spPr>
          </c:marker>
          <c:xVal>
            <c:numRef>
              <c:f>'Effect +s vs -s'!$C$49:$C$62</c:f>
              <c:numCache>
                <c:formatCode>0.00E+00</c:formatCode>
                <c:ptCount val="14"/>
                <c:pt idx="0">
                  <c:v>0.01</c:v>
                </c:pt>
                <c:pt idx="1">
                  <c:v>5.0000000000000001E-3</c:v>
                </c:pt>
                <c:pt idx="2">
                  <c:v>1E-3</c:v>
                </c:pt>
                <c:pt idx="3" formatCode="General">
                  <c:v>1E-4</c:v>
                </c:pt>
                <c:pt idx="4">
                  <c:v>1.0000000000000001E-5</c:v>
                </c:pt>
                <c:pt idx="5">
                  <c:v>9.9999999999999995E-7</c:v>
                </c:pt>
                <c:pt idx="6" formatCode="General">
                  <c:v>0</c:v>
                </c:pt>
                <c:pt idx="7" formatCode="General">
                  <c:v>-0.01</c:v>
                </c:pt>
                <c:pt idx="8" formatCode="General">
                  <c:v>-5.0000000000000001E-3</c:v>
                </c:pt>
                <c:pt idx="9" formatCode="General">
                  <c:v>-1E-3</c:v>
                </c:pt>
                <c:pt idx="10" formatCode="General">
                  <c:v>-1E-4</c:v>
                </c:pt>
                <c:pt idx="11">
                  <c:v>-1.0000000000000001E-5</c:v>
                </c:pt>
                <c:pt idx="12">
                  <c:v>-9.9999999999999995E-7</c:v>
                </c:pt>
                <c:pt idx="13" formatCode="General">
                  <c:v>0</c:v>
                </c:pt>
              </c:numCache>
            </c:numRef>
          </c:xVal>
          <c:yVal>
            <c:numRef>
              <c:f>'Effect +s vs -s'!$D$49:$D$62</c:f>
              <c:numCache>
                <c:formatCode>0.00000</c:formatCode>
                <c:ptCount val="14"/>
                <c:pt idx="0">
                  <c:v>6.0028039999999998E-2</c:v>
                </c:pt>
                <c:pt idx="1">
                  <c:v>5.4871679999999999E-2</c:v>
                </c:pt>
                <c:pt idx="2">
                  <c:v>5.0940609999999997E-2</c:v>
                </c:pt>
                <c:pt idx="3">
                  <c:v>5.0116069999999999E-2</c:v>
                </c:pt>
                <c:pt idx="4">
                  <c:v>4.9994629999999998E-2</c:v>
                </c:pt>
                <c:pt idx="5">
                  <c:v>5.0024699999999998E-2</c:v>
                </c:pt>
                <c:pt idx="6">
                  <c:v>5.0026429999999997E-2</c:v>
                </c:pt>
                <c:pt idx="7" formatCode="0.00E+00">
                  <c:v>4.103122E-2</c:v>
                </c:pt>
                <c:pt idx="8" formatCode="0.00E+00">
                  <c:v>4.5377489999999999E-2</c:v>
                </c:pt>
                <c:pt idx="9" formatCode="0.00E+00">
                  <c:v>4.9074899999999998E-2</c:v>
                </c:pt>
                <c:pt idx="10" formatCode="0.00E+00">
                  <c:v>4.9903360000000001E-2</c:v>
                </c:pt>
                <c:pt idx="11" formatCode="0.00E+00">
                  <c:v>4.9981530000000003E-2</c:v>
                </c:pt>
                <c:pt idx="12" formatCode="0.00E+00">
                  <c:v>5.0015329999999997E-2</c:v>
                </c:pt>
                <c:pt idx="13" formatCode="0.00E+00">
                  <c:v>5.0013929999999998E-2</c:v>
                </c:pt>
              </c:numCache>
            </c:numRef>
          </c:yVal>
          <c:smooth val="0"/>
          <c:extLst>
            <c:ext xmlns:c16="http://schemas.microsoft.com/office/drawing/2014/chart" uri="{C3380CC4-5D6E-409C-BE32-E72D297353CC}">
              <c16:uniqueId val="{00000000-F20D-42B5-8556-496078A541F7}"/>
            </c:ext>
          </c:extLst>
        </c:ser>
        <c:dLbls>
          <c:showLegendKey val="0"/>
          <c:showVal val="0"/>
          <c:showCatName val="0"/>
          <c:showSerName val="0"/>
          <c:showPercent val="0"/>
          <c:showBubbleSize val="0"/>
        </c:dLbls>
        <c:axId val="131178560"/>
        <c:axId val="131173760"/>
      </c:scatterChart>
      <c:valAx>
        <c:axId val="131178560"/>
        <c:scaling>
          <c:orientation val="minMax"/>
          <c:max val="1.0000000000000002E-2"/>
          <c:min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1173760"/>
        <c:crosses val="autoZero"/>
        <c:crossBetween val="midCat"/>
        <c:minorUnit val="2.5000000000000005E-3"/>
      </c:valAx>
      <c:valAx>
        <c:axId val="131173760"/>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Probability of fixing</a:t>
                </a:r>
              </a:p>
            </c:rich>
          </c:tx>
          <c:layout>
            <c:manualLayout>
              <c:xMode val="edge"/>
              <c:yMode val="edge"/>
              <c:x val="6.6889213784209018E-3"/>
              <c:y val="4.83854021610245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31178560"/>
        <c:crosses val="autoZero"/>
        <c:crossBetween val="midCat"/>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000" b="0" i="0" u="none" strike="noStrike" kern="1200" spc="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N = 10,000</a:t>
            </a:r>
          </a:p>
          <a:p>
            <a:pPr algn="l">
              <a:defRPr sz="1000"/>
            </a:pPr>
            <a:r>
              <a:rPr lang="en-US" sz="1000" b="0" i="0" u="none" strike="noStrike" kern="1200" spc="0" baseline="0">
                <a:solidFill>
                  <a:sysClr val="windowText" lastClr="000000">
                    <a:lumMod val="65000"/>
                    <a:lumOff val="35000"/>
                  </a:sysClr>
                </a:solidFill>
              </a:rPr>
              <a:t>s = -0.01 to 0.01</a:t>
            </a:r>
          </a:p>
          <a:p>
            <a:pPr algn="l">
              <a:defRPr sz="1000"/>
            </a:pPr>
            <a:r>
              <a:rPr lang="en-US" sz="1000" b="0" i="0" u="none" strike="noStrike" kern="1200" spc="0" baseline="0">
                <a:solidFill>
                  <a:sysClr val="windowText" lastClr="000000">
                    <a:lumMod val="65000"/>
                    <a:lumOff val="35000"/>
                  </a:sysClr>
                </a:solidFill>
              </a:rPr>
              <a:t>attempts = 10</a:t>
            </a:r>
            <a:r>
              <a:rPr lang="en-US" sz="1000" b="0" i="0" u="none" strike="noStrike" kern="1200" spc="0" baseline="30000">
                <a:solidFill>
                  <a:sysClr val="windowText" lastClr="000000">
                    <a:lumMod val="65000"/>
                    <a:lumOff val="35000"/>
                  </a:sysClr>
                </a:solidFill>
              </a:rPr>
              <a:t>6</a:t>
            </a:r>
            <a:endParaRPr lang="en-US" sz="1000" b="0" i="0" u="none" strike="noStrike" kern="1200" spc="0" baseline="0">
              <a:solidFill>
                <a:sysClr val="windowText" lastClr="000000">
                  <a:lumMod val="65000"/>
                  <a:lumOff val="35000"/>
                </a:sysClr>
              </a:solidFill>
            </a:endParaRPr>
          </a:p>
        </c:rich>
      </c:tx>
      <c:layout>
        <c:manualLayout>
          <c:xMode val="edge"/>
          <c:yMode val="edge"/>
          <c:x val="0.13811166666666666"/>
          <c:y val="4.2397578728215764E-2"/>
        </c:manualLayout>
      </c:layout>
      <c:overlay val="0"/>
      <c:spPr>
        <a:noFill/>
        <a:ln>
          <a:noFill/>
        </a:ln>
        <a:effectLst/>
      </c:spPr>
      <c:txPr>
        <a:bodyPr rot="0" spcFirstLastPara="1" vertOverflow="ellipsis" vert="horz" wrap="square" anchor="ctr" anchorCtr="1"/>
        <a:lstStyle/>
        <a:p>
          <a:pPr algn="l">
            <a:defRPr sz="10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9.2445555555555559E-2"/>
          <c:y val="3.8752777777777775E-2"/>
          <c:w val="0.85825388888888887"/>
          <c:h val="0.68381722222222219"/>
        </c:manualLayout>
      </c:layout>
      <c:scatterChart>
        <c:scatterStyle val="lineMarker"/>
        <c:varyColors val="0"/>
        <c:ser>
          <c:idx val="0"/>
          <c:order val="0"/>
          <c:tx>
            <c:strRef>
              <c:f>'Effect +s vs -s'!$P$48</c:f>
              <c:strCache>
                <c:ptCount val="1"/>
                <c:pt idx="0">
                  <c:v>Prob fix</c:v>
                </c:pt>
              </c:strCache>
            </c:strRef>
          </c:tx>
          <c:spPr>
            <a:ln w="19050" cap="rnd">
              <a:noFill/>
              <a:round/>
            </a:ln>
            <a:effectLst/>
          </c:spPr>
          <c:marker>
            <c:symbol val="circle"/>
            <c:size val="5"/>
            <c:spPr>
              <a:solidFill>
                <a:srgbClr val="FF0000"/>
              </a:solidFill>
              <a:ln w="9525">
                <a:noFill/>
              </a:ln>
              <a:effectLst/>
            </c:spPr>
          </c:marker>
          <c:xVal>
            <c:numRef>
              <c:f>'Effect +s vs -s'!$O$49:$O$74</c:f>
              <c:numCache>
                <c:formatCode>General</c:formatCode>
                <c:ptCount val="26"/>
                <c:pt idx="0" formatCode="0.0E+00">
                  <c:v>0.01</c:v>
                </c:pt>
                <c:pt idx="1">
                  <c:v>8.9999999999999993E-3</c:v>
                </c:pt>
                <c:pt idx="2">
                  <c:v>8.0000000000000002E-3</c:v>
                </c:pt>
                <c:pt idx="3">
                  <c:v>7.0000000000000001E-3</c:v>
                </c:pt>
                <c:pt idx="4">
                  <c:v>6.0000000000000001E-3</c:v>
                </c:pt>
                <c:pt idx="5">
                  <c:v>5.0000000000000001E-3</c:v>
                </c:pt>
                <c:pt idx="6">
                  <c:v>4.0000000000000001E-3</c:v>
                </c:pt>
                <c:pt idx="7">
                  <c:v>3.0000000000000001E-3</c:v>
                </c:pt>
                <c:pt idx="8">
                  <c:v>2E-3</c:v>
                </c:pt>
                <c:pt idx="9" formatCode="0.0E+00">
                  <c:v>1E-3</c:v>
                </c:pt>
                <c:pt idx="10" formatCode="0.0E+00">
                  <c:v>1E-4</c:v>
                </c:pt>
                <c:pt idx="11" formatCode="0.0E+00">
                  <c:v>1.0000000000000001E-5</c:v>
                </c:pt>
                <c:pt idx="12" formatCode="0.0E+00">
                  <c:v>9.9999999999999995E-7</c:v>
                </c:pt>
                <c:pt idx="13" formatCode="0.0E+00">
                  <c:v>9.9999999999999995E-8</c:v>
                </c:pt>
                <c:pt idx="14">
                  <c:v>0</c:v>
                </c:pt>
                <c:pt idx="15" formatCode="0.0E+00">
                  <c:v>-0.01</c:v>
                </c:pt>
                <c:pt idx="16" formatCode="0.0E+00">
                  <c:v>-5.0000000000000001E-3</c:v>
                </c:pt>
                <c:pt idx="17" formatCode="0.0E+00">
                  <c:v>-1E-3</c:v>
                </c:pt>
                <c:pt idx="18" formatCode="0.0E+00">
                  <c:v>-5.0000000000000001E-4</c:v>
                </c:pt>
                <c:pt idx="19" formatCode="0.0E+00">
                  <c:v>-1E-4</c:v>
                </c:pt>
                <c:pt idx="20" formatCode="0.0E+00">
                  <c:v>-5.0000000000000002E-5</c:v>
                </c:pt>
                <c:pt idx="21" formatCode="0.0E+00">
                  <c:v>-1.0000000000000001E-5</c:v>
                </c:pt>
                <c:pt idx="22" formatCode="0.0E+00">
                  <c:v>-9.9999999999999995E-7</c:v>
                </c:pt>
                <c:pt idx="23" formatCode="0.0E+00">
                  <c:v>-9.9999999999999995E-8</c:v>
                </c:pt>
                <c:pt idx="24" formatCode="0.0E+00">
                  <c:v>-1E-8</c:v>
                </c:pt>
                <c:pt idx="25" formatCode="0.0E+00">
                  <c:v>0</c:v>
                </c:pt>
              </c:numCache>
            </c:numRef>
          </c:xVal>
          <c:yVal>
            <c:numRef>
              <c:f>'Effect +s vs -s'!$P$49:$P$74</c:f>
              <c:numCache>
                <c:formatCode>0.00000</c:formatCode>
                <c:ptCount val="26"/>
                <c:pt idx="0">
                  <c:v>1.97156E-2</c:v>
                </c:pt>
                <c:pt idx="1">
                  <c:v>1.7790400000000001E-2</c:v>
                </c:pt>
                <c:pt idx="2">
                  <c:v>1.580295E-2</c:v>
                </c:pt>
                <c:pt idx="3">
                  <c:v>1.39011E-2</c:v>
                </c:pt>
                <c:pt idx="4">
                  <c:v>1.191395E-2</c:v>
                </c:pt>
                <c:pt idx="5">
                  <c:v>9.92525E-3</c:v>
                </c:pt>
                <c:pt idx="6">
                  <c:v>7.9745500000000004E-3</c:v>
                </c:pt>
                <c:pt idx="7">
                  <c:v>5.9617999999999997E-3</c:v>
                </c:pt>
                <c:pt idx="8">
                  <c:v>3.9671000000000003E-3</c:v>
                </c:pt>
                <c:pt idx="9">
                  <c:v>2.0051499999999998E-3</c:v>
                </c:pt>
                <c:pt idx="10">
                  <c:v>2.106E-4</c:v>
                </c:pt>
                <c:pt idx="11">
                  <c:v>6.1849999999999999E-5</c:v>
                </c:pt>
                <c:pt idx="12" formatCode="0.000000">
                  <c:v>5.1249999999999999E-5</c:v>
                </c:pt>
                <c:pt idx="13" formatCode="0.000000">
                  <c:v>4.905E-5</c:v>
                </c:pt>
                <c:pt idx="14">
                  <c:v>4.9200000000000003E-5</c:v>
                </c:pt>
                <c:pt idx="15" formatCode="0.00E+00">
                  <c:v>0</c:v>
                </c:pt>
                <c:pt idx="16" formatCode="0.00E+00">
                  <c:v>0</c:v>
                </c:pt>
                <c:pt idx="17" formatCode="0.00E+00">
                  <c:v>0</c:v>
                </c:pt>
                <c:pt idx="18" formatCode="0.00E+00">
                  <c:v>0</c:v>
                </c:pt>
                <c:pt idx="19" formatCode="0.00E+00">
                  <c:v>4.0500000000000002E-6</c:v>
                </c:pt>
                <c:pt idx="20" formatCode="0.00E+00">
                  <c:v>1.8300000000000001E-5</c:v>
                </c:pt>
                <c:pt idx="21" formatCode="0.00E+00">
                  <c:v>4.0099999999999999E-5</c:v>
                </c:pt>
                <c:pt idx="22" formatCode="0.00E+00">
                  <c:v>4.8050000000000002E-5</c:v>
                </c:pt>
                <c:pt idx="23" formatCode="0.00E+00">
                  <c:v>5.1700000000000003E-5</c:v>
                </c:pt>
                <c:pt idx="24" formatCode="0.00E+00">
                  <c:v>4.9200000000000003E-5</c:v>
                </c:pt>
                <c:pt idx="25" formatCode="0.00E+00">
                  <c:v>4.9299999999999999E-5</c:v>
                </c:pt>
              </c:numCache>
            </c:numRef>
          </c:yVal>
          <c:smooth val="0"/>
          <c:extLst>
            <c:ext xmlns:c16="http://schemas.microsoft.com/office/drawing/2014/chart" uri="{C3380CC4-5D6E-409C-BE32-E72D297353CC}">
              <c16:uniqueId val="{00000000-797E-44CD-BAE9-8395E93891F6}"/>
            </c:ext>
          </c:extLst>
        </c:ser>
        <c:dLbls>
          <c:showLegendKey val="0"/>
          <c:showVal val="0"/>
          <c:showCatName val="0"/>
          <c:showSerName val="0"/>
          <c:showPercent val="0"/>
          <c:showBubbleSize val="0"/>
        </c:dLbls>
        <c:axId val="245396832"/>
        <c:axId val="245398272"/>
      </c:scatterChart>
      <c:valAx>
        <c:axId val="245396832"/>
        <c:scaling>
          <c:orientation val="minMax"/>
          <c:max val="1.0000000000000002E-2"/>
          <c:min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45398272"/>
        <c:crosses val="autoZero"/>
        <c:crossBetween val="midCat"/>
        <c:minorUnit val="2.5000000000000005E-3"/>
      </c:valAx>
      <c:valAx>
        <c:axId val="245398272"/>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Probability of fixing</a:t>
                </a:r>
              </a:p>
            </c:rich>
          </c:tx>
          <c:layout>
            <c:manualLayout>
              <c:xMode val="edge"/>
              <c:yMode val="edge"/>
              <c:x val="1.9580555555555549E-3"/>
              <c:y val="3.8752789604121193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45396832"/>
        <c:crosses val="autoZero"/>
        <c:crossBetween val="midCat"/>
        <c:minorUnit val="2.5000000000000005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000" b="0" i="0" u="none" strike="noStrike" kern="1200" spc="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N = 100</a:t>
            </a:r>
          </a:p>
          <a:p>
            <a:pPr algn="l">
              <a:defRPr sz="1000"/>
            </a:pPr>
            <a:r>
              <a:rPr lang="en-US" sz="1000" b="0" i="0" u="none" strike="noStrike" kern="1200" spc="0" baseline="0">
                <a:solidFill>
                  <a:sysClr val="windowText" lastClr="000000">
                    <a:lumMod val="65000"/>
                    <a:lumOff val="35000"/>
                  </a:sysClr>
                </a:solidFill>
              </a:rPr>
              <a:t>s = -1 to 1</a:t>
            </a:r>
          </a:p>
          <a:p>
            <a:pPr algn="l">
              <a:defRPr sz="1000"/>
            </a:pPr>
            <a:r>
              <a:rPr lang="en-US" sz="1000" b="0" i="0" u="none" strike="noStrike" kern="1200" spc="0" baseline="0">
                <a:solidFill>
                  <a:sysClr val="windowText" lastClr="000000">
                    <a:lumMod val="65000"/>
                    <a:lumOff val="35000"/>
                  </a:sysClr>
                </a:solidFill>
              </a:rPr>
              <a:t>attempts = 10</a:t>
            </a:r>
            <a:r>
              <a:rPr lang="en-US" sz="1000" b="0" i="0" u="none" strike="noStrike" kern="1200" spc="0" baseline="30000">
                <a:solidFill>
                  <a:sysClr val="windowText" lastClr="000000">
                    <a:lumMod val="65000"/>
                    <a:lumOff val="35000"/>
                  </a:sysClr>
                </a:solidFill>
              </a:rPr>
              <a:t>4</a:t>
            </a:r>
            <a:endParaRPr lang="en-US" sz="1000" b="0" i="0" u="none" strike="noStrike" kern="1200" spc="0" baseline="0">
              <a:solidFill>
                <a:sysClr val="windowText" lastClr="000000">
                  <a:lumMod val="65000"/>
                  <a:lumOff val="35000"/>
                </a:sysClr>
              </a:solidFill>
            </a:endParaRPr>
          </a:p>
        </c:rich>
      </c:tx>
      <c:layout>
        <c:manualLayout>
          <c:xMode val="edge"/>
          <c:yMode val="edge"/>
          <c:x val="0.13923166666666667"/>
          <c:y val="4.2333333333333334E-2"/>
        </c:manualLayout>
      </c:layout>
      <c:overlay val="0"/>
      <c:spPr>
        <a:noFill/>
        <a:ln>
          <a:noFill/>
        </a:ln>
        <a:effectLst/>
      </c:spPr>
      <c:txPr>
        <a:bodyPr rot="0" spcFirstLastPara="1" vertOverflow="ellipsis" vert="horz" wrap="square" anchor="ctr" anchorCtr="1"/>
        <a:lstStyle/>
        <a:p>
          <a:pPr algn="l">
            <a:defRPr sz="10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9.950111111111111E-2"/>
          <c:y val="3.8752777777777775E-2"/>
          <c:w val="0.87128888888888889"/>
          <c:h val="0.70498388888888885"/>
        </c:manualLayout>
      </c:layout>
      <c:scatterChart>
        <c:scatterStyle val="lineMarker"/>
        <c:varyColors val="0"/>
        <c:ser>
          <c:idx val="0"/>
          <c:order val="0"/>
          <c:tx>
            <c:strRef>
              <c:f>'Effect +s vs -s'!$K$2</c:f>
              <c:strCache>
                <c:ptCount val="1"/>
                <c:pt idx="0">
                  <c:v>Prob fix</c:v>
                </c:pt>
              </c:strCache>
            </c:strRef>
          </c:tx>
          <c:spPr>
            <a:ln w="19050" cap="rnd">
              <a:noFill/>
              <a:round/>
            </a:ln>
            <a:effectLst/>
          </c:spPr>
          <c:marker>
            <c:symbol val="circle"/>
            <c:size val="5"/>
            <c:spPr>
              <a:solidFill>
                <a:srgbClr val="FF0000"/>
              </a:solidFill>
              <a:ln w="9525">
                <a:noFill/>
              </a:ln>
              <a:effectLst/>
            </c:spPr>
          </c:marker>
          <c:xVal>
            <c:numRef>
              <c:f>'Effect +s vs -s'!$J$3:$J$38</c:f>
              <c:numCache>
                <c:formatCode>General</c:formatCode>
                <c:ptCount val="36"/>
                <c:pt idx="0">
                  <c:v>1</c:v>
                </c:pt>
                <c:pt idx="1">
                  <c:v>0.9</c:v>
                </c:pt>
                <c:pt idx="2">
                  <c:v>0.8</c:v>
                </c:pt>
                <c:pt idx="3">
                  <c:v>0.7</c:v>
                </c:pt>
                <c:pt idx="4">
                  <c:v>0.6</c:v>
                </c:pt>
                <c:pt idx="5">
                  <c:v>0.5</c:v>
                </c:pt>
                <c:pt idx="6">
                  <c:v>0.4</c:v>
                </c:pt>
                <c:pt idx="7">
                  <c:v>0.3</c:v>
                </c:pt>
                <c:pt idx="8">
                  <c:v>0.2</c:v>
                </c:pt>
                <c:pt idx="9">
                  <c:v>0.1</c:v>
                </c:pt>
                <c:pt idx="10">
                  <c:v>0.05</c:v>
                </c:pt>
                <c:pt idx="11" formatCode="0.0E+00">
                  <c:v>0.01</c:v>
                </c:pt>
                <c:pt idx="12">
                  <c:v>5.0000000000000001E-3</c:v>
                </c:pt>
                <c:pt idx="13" formatCode="0.0E+00">
                  <c:v>1E-3</c:v>
                </c:pt>
                <c:pt idx="14">
                  <c:v>5.0000000000000001E-4</c:v>
                </c:pt>
                <c:pt idx="15" formatCode="0.0E+00">
                  <c:v>1E-4</c:v>
                </c:pt>
                <c:pt idx="16" formatCode="0.0E+00">
                  <c:v>5.0000000000000002E-5</c:v>
                </c:pt>
                <c:pt idx="17" formatCode="0.0E+00">
                  <c:v>1.0000000000000001E-5</c:v>
                </c:pt>
                <c:pt idx="18" formatCode="0.0E+00">
                  <c:v>5.0000000000000004E-6</c:v>
                </c:pt>
                <c:pt idx="19" formatCode="0.0E+00">
                  <c:v>9.9999999999999995E-7</c:v>
                </c:pt>
                <c:pt idx="20" formatCode="0.0E+00">
                  <c:v>4.9999999999999998E-7</c:v>
                </c:pt>
                <c:pt idx="21" formatCode="0.0E+00">
                  <c:v>9.9999999999999995E-8</c:v>
                </c:pt>
                <c:pt idx="22">
                  <c:v>0</c:v>
                </c:pt>
                <c:pt idx="23" formatCode="0.0">
                  <c:v>-1</c:v>
                </c:pt>
                <c:pt idx="24" formatCode="0.0E+00">
                  <c:v>-0.1</c:v>
                </c:pt>
                <c:pt idx="25" formatCode="0.0E+00">
                  <c:v>-0.05</c:v>
                </c:pt>
                <c:pt idx="26" formatCode="0.0E+00">
                  <c:v>-0.01</c:v>
                </c:pt>
                <c:pt idx="27" formatCode="0.0E+00">
                  <c:v>-5.0000000000000001E-3</c:v>
                </c:pt>
                <c:pt idx="28" formatCode="0.0E+00">
                  <c:v>-1E-3</c:v>
                </c:pt>
                <c:pt idx="29" formatCode="0.0E+00">
                  <c:v>-5.0000000000000001E-4</c:v>
                </c:pt>
                <c:pt idx="30" formatCode="0.0E+00">
                  <c:v>-1E-4</c:v>
                </c:pt>
                <c:pt idx="31" formatCode="0.0E+00">
                  <c:v>-5.0000000000000002E-5</c:v>
                </c:pt>
                <c:pt idx="32" formatCode="0.0E+00">
                  <c:v>-1.0000000000000001E-5</c:v>
                </c:pt>
                <c:pt idx="33" formatCode="0.0E+00">
                  <c:v>-5.0000000000000004E-6</c:v>
                </c:pt>
                <c:pt idx="34" formatCode="0.0E+00">
                  <c:v>-9.9999999999999995E-7</c:v>
                </c:pt>
                <c:pt idx="35" formatCode="0.0E+00">
                  <c:v>0</c:v>
                </c:pt>
              </c:numCache>
            </c:numRef>
          </c:xVal>
          <c:yVal>
            <c:numRef>
              <c:f>'Effect +s vs -s'!$K$3:$K$38</c:f>
              <c:numCache>
                <c:formatCode>0.00000</c:formatCode>
                <c:ptCount val="36"/>
                <c:pt idx="0">
                  <c:v>0.79688000000000003</c:v>
                </c:pt>
                <c:pt idx="1">
                  <c:v>0.76605000000000001</c:v>
                </c:pt>
                <c:pt idx="2">
                  <c:v>0.72902500000000003</c:v>
                </c:pt>
                <c:pt idx="3">
                  <c:v>0.69006999999999996</c:v>
                </c:pt>
                <c:pt idx="4">
                  <c:v>0.64305000000000001</c:v>
                </c:pt>
                <c:pt idx="5">
                  <c:v>0.58319500000000002</c:v>
                </c:pt>
                <c:pt idx="6">
                  <c:v>0.51131000000000004</c:v>
                </c:pt>
                <c:pt idx="7">
                  <c:v>0.42327500000000001</c:v>
                </c:pt>
                <c:pt idx="8">
                  <c:v>0.31474999999999997</c:v>
                </c:pt>
                <c:pt idx="9">
                  <c:v>0.17630999999999999</c:v>
                </c:pt>
                <c:pt idx="10">
                  <c:v>9.3625E-2</c:v>
                </c:pt>
                <c:pt idx="11">
                  <c:v>2.0424999999999999E-2</c:v>
                </c:pt>
                <c:pt idx="12">
                  <c:v>1.1325E-2</c:v>
                </c:pt>
                <c:pt idx="13">
                  <c:v>6.2500000000000003E-3</c:v>
                </c:pt>
                <c:pt idx="14">
                  <c:v>5.2449999999999997E-3</c:v>
                </c:pt>
                <c:pt idx="15">
                  <c:v>5.2649999999999997E-3</c:v>
                </c:pt>
                <c:pt idx="16">
                  <c:v>5.3049999999999998E-3</c:v>
                </c:pt>
                <c:pt idx="17">
                  <c:v>5.0600000000000003E-3</c:v>
                </c:pt>
                <c:pt idx="18">
                  <c:v>5.1399999999999996E-3</c:v>
                </c:pt>
                <c:pt idx="19">
                  <c:v>5.0099999999999997E-3</c:v>
                </c:pt>
                <c:pt idx="20">
                  <c:v>5.1850000000000004E-3</c:v>
                </c:pt>
                <c:pt idx="21">
                  <c:v>5.025E-3</c:v>
                </c:pt>
                <c:pt idx="22">
                  <c:v>5.0899999999999999E-3</c:v>
                </c:pt>
                <c:pt idx="23" formatCode="0.00E+00">
                  <c:v>0</c:v>
                </c:pt>
                <c:pt idx="24" formatCode="0.00E+00">
                  <c:v>0</c:v>
                </c:pt>
                <c:pt idx="25" formatCode="0.00E+00">
                  <c:v>0</c:v>
                </c:pt>
                <c:pt idx="26" formatCode="0.00E+00">
                  <c:v>4.6999999999999999E-4</c:v>
                </c:pt>
                <c:pt idx="27" formatCode="0.00E+00">
                  <c:v>1.6299999999999999E-3</c:v>
                </c:pt>
                <c:pt idx="28" formatCode="0.00E+00">
                  <c:v>4.0699999999999998E-3</c:v>
                </c:pt>
                <c:pt idx="29" formatCode="0.00E+00">
                  <c:v>4.4999999999999997E-3</c:v>
                </c:pt>
                <c:pt idx="30" formatCode="0.00E+00">
                  <c:v>5.195E-3</c:v>
                </c:pt>
                <c:pt idx="31" formatCode="0.00E+00">
                  <c:v>4.895E-3</c:v>
                </c:pt>
                <c:pt idx="32" formatCode="0.00E+00">
                  <c:v>4.8149999999999998E-3</c:v>
                </c:pt>
                <c:pt idx="33" formatCode="0.00E+00">
                  <c:v>5.0699999999999999E-3</c:v>
                </c:pt>
                <c:pt idx="34" formatCode="0.00E+00">
                  <c:v>5.195E-3</c:v>
                </c:pt>
                <c:pt idx="35" formatCode="0.00E+00">
                  <c:v>5.1549999999999999E-3</c:v>
                </c:pt>
              </c:numCache>
            </c:numRef>
          </c:yVal>
          <c:smooth val="0"/>
          <c:extLst>
            <c:ext xmlns:c16="http://schemas.microsoft.com/office/drawing/2014/chart" uri="{C3380CC4-5D6E-409C-BE32-E72D297353CC}">
              <c16:uniqueId val="{00000000-7A3B-4AAE-B61D-7C1D6FEEBD69}"/>
            </c:ext>
          </c:extLst>
        </c:ser>
        <c:dLbls>
          <c:showLegendKey val="0"/>
          <c:showVal val="0"/>
          <c:showCatName val="0"/>
          <c:showSerName val="0"/>
          <c:showPercent val="0"/>
          <c:showBubbleSize val="0"/>
        </c:dLbls>
        <c:axId val="226155120"/>
        <c:axId val="226156560"/>
      </c:scatterChart>
      <c:valAx>
        <c:axId val="226155120"/>
        <c:scaling>
          <c:orientation val="minMax"/>
          <c:max val="1"/>
          <c:min val="-1"/>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26156560"/>
        <c:crosses val="autoZero"/>
        <c:crossBetween val="midCat"/>
        <c:minorUnit val="0.25"/>
      </c:valAx>
      <c:valAx>
        <c:axId val="226156560"/>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Probability of fixing</a:t>
                </a:r>
              </a:p>
            </c:rich>
          </c:tx>
          <c:layout>
            <c:manualLayout>
              <c:xMode val="edge"/>
              <c:yMode val="edge"/>
              <c:x val="1.9580555555555549E-3"/>
              <c:y val="3.8752777777777775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26155120"/>
        <c:crosses val="autoZero"/>
        <c:crossBetween val="midCat"/>
        <c:min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N = 100</a:t>
            </a:r>
          </a:p>
          <a:p>
            <a:pPr algn="l">
              <a:defRPr/>
            </a:pPr>
            <a:r>
              <a:rPr lang="en-US" sz="1000" b="0" i="0" u="none" strike="noStrike" kern="1200" spc="0" baseline="0">
                <a:solidFill>
                  <a:sysClr val="windowText" lastClr="000000">
                    <a:lumMod val="65000"/>
                    <a:lumOff val="35000"/>
                  </a:sysClr>
                </a:solidFill>
              </a:rPr>
              <a:t>s = -0.01 to 0.01</a:t>
            </a:r>
          </a:p>
          <a:p>
            <a:pPr algn="l">
              <a:defRPr/>
            </a:pPr>
            <a:r>
              <a:rPr lang="en-US" sz="1000" b="0" i="0" u="none" strike="noStrike" kern="1200" spc="0" baseline="0">
                <a:solidFill>
                  <a:sysClr val="windowText" lastClr="000000">
                    <a:lumMod val="65000"/>
                    <a:lumOff val="35000"/>
                  </a:sysClr>
                </a:solidFill>
              </a:rPr>
              <a:t>attempts = 10</a:t>
            </a:r>
            <a:r>
              <a:rPr lang="en-US" sz="1000" b="0" i="0" u="none" strike="noStrike" kern="1200" spc="0" baseline="30000">
                <a:solidFill>
                  <a:sysClr val="windowText" lastClr="000000">
                    <a:lumMod val="65000"/>
                    <a:lumOff val="35000"/>
                  </a:sysClr>
                </a:solidFill>
              </a:rPr>
              <a:t>4</a:t>
            </a:r>
            <a:endParaRPr lang="en-US" sz="1000" b="0" i="0" u="none" strike="noStrike" kern="1200" spc="0" baseline="0">
              <a:solidFill>
                <a:sysClr val="windowText" lastClr="000000">
                  <a:lumMod val="65000"/>
                  <a:lumOff val="35000"/>
                </a:sysClr>
              </a:solidFill>
            </a:endParaRPr>
          </a:p>
        </c:rich>
      </c:tx>
      <c:layout>
        <c:manualLayout>
          <c:xMode val="edge"/>
          <c:yMode val="edge"/>
          <c:x val="0.15099694444444445"/>
          <c:y val="5.6444444444444443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030375"/>
          <c:y val="3.8752777777777775E-2"/>
          <c:w val="0.84766194444444443"/>
          <c:h val="0.66265055555555552"/>
        </c:manualLayout>
      </c:layout>
      <c:scatterChart>
        <c:scatterStyle val="lineMarker"/>
        <c:varyColors val="0"/>
        <c:ser>
          <c:idx val="0"/>
          <c:order val="0"/>
          <c:tx>
            <c:strRef>
              <c:f>'Effect +s vs -s'!$K$40</c:f>
              <c:strCache>
                <c:ptCount val="1"/>
                <c:pt idx="0">
                  <c:v>Prob fix</c:v>
                </c:pt>
              </c:strCache>
            </c:strRef>
          </c:tx>
          <c:spPr>
            <a:ln w="19050" cap="rnd">
              <a:noFill/>
              <a:round/>
            </a:ln>
            <a:effectLst/>
          </c:spPr>
          <c:marker>
            <c:symbol val="circle"/>
            <c:size val="5"/>
            <c:spPr>
              <a:solidFill>
                <a:srgbClr val="FF0000"/>
              </a:solidFill>
              <a:ln w="9525">
                <a:noFill/>
              </a:ln>
              <a:effectLst/>
            </c:spPr>
          </c:marker>
          <c:xVal>
            <c:numRef>
              <c:f>'Effect +s vs -s'!$J$41:$J$62</c:f>
              <c:numCache>
                <c:formatCode>General</c:formatCode>
                <c:ptCount val="22"/>
                <c:pt idx="0" formatCode="0.0E+00">
                  <c:v>0.01</c:v>
                </c:pt>
                <c:pt idx="1">
                  <c:v>5.0000000000000001E-3</c:v>
                </c:pt>
                <c:pt idx="2" formatCode="0.0E+00">
                  <c:v>1E-3</c:v>
                </c:pt>
                <c:pt idx="3">
                  <c:v>5.0000000000000001E-4</c:v>
                </c:pt>
                <c:pt idx="4" formatCode="0.0E+00">
                  <c:v>1E-4</c:v>
                </c:pt>
                <c:pt idx="5" formatCode="0.0E+00">
                  <c:v>5.0000000000000002E-5</c:v>
                </c:pt>
                <c:pt idx="6" formatCode="0.0E+00">
                  <c:v>1.0000000000000001E-5</c:v>
                </c:pt>
                <c:pt idx="7" formatCode="0.0E+00">
                  <c:v>5.0000000000000004E-6</c:v>
                </c:pt>
                <c:pt idx="8" formatCode="0.0E+00">
                  <c:v>9.9999999999999995E-7</c:v>
                </c:pt>
                <c:pt idx="9" formatCode="0.0E+00">
                  <c:v>4.9999999999999998E-7</c:v>
                </c:pt>
                <c:pt idx="10" formatCode="0.0E+00">
                  <c:v>9.9999999999999995E-8</c:v>
                </c:pt>
                <c:pt idx="11">
                  <c:v>0</c:v>
                </c:pt>
                <c:pt idx="12" formatCode="0.0E+00">
                  <c:v>-0.01</c:v>
                </c:pt>
                <c:pt idx="13" formatCode="0.0E+00">
                  <c:v>-5.0000000000000001E-3</c:v>
                </c:pt>
                <c:pt idx="14" formatCode="0.0E+00">
                  <c:v>-1E-3</c:v>
                </c:pt>
                <c:pt idx="15" formatCode="0.0E+00">
                  <c:v>-5.0000000000000001E-4</c:v>
                </c:pt>
                <c:pt idx="16" formatCode="0.0E+00">
                  <c:v>-1E-4</c:v>
                </c:pt>
                <c:pt idx="17" formatCode="0.0E+00">
                  <c:v>-5.0000000000000002E-5</c:v>
                </c:pt>
                <c:pt idx="18" formatCode="0.0E+00">
                  <c:v>-1.0000000000000001E-5</c:v>
                </c:pt>
                <c:pt idx="19" formatCode="0.0E+00">
                  <c:v>-5.0000000000000004E-6</c:v>
                </c:pt>
                <c:pt idx="20" formatCode="0.0E+00">
                  <c:v>-9.9999999999999995E-7</c:v>
                </c:pt>
                <c:pt idx="21" formatCode="0.0E+00">
                  <c:v>0</c:v>
                </c:pt>
              </c:numCache>
            </c:numRef>
          </c:xVal>
          <c:yVal>
            <c:numRef>
              <c:f>'Effect +s vs -s'!$K$41:$K$62</c:f>
              <c:numCache>
                <c:formatCode>0.00000</c:formatCode>
                <c:ptCount val="22"/>
                <c:pt idx="0">
                  <c:v>2.0424999999999999E-2</c:v>
                </c:pt>
                <c:pt idx="1">
                  <c:v>1.1325E-2</c:v>
                </c:pt>
                <c:pt idx="2">
                  <c:v>6.2500000000000003E-3</c:v>
                </c:pt>
                <c:pt idx="3">
                  <c:v>5.2449999999999997E-3</c:v>
                </c:pt>
                <c:pt idx="4">
                  <c:v>5.2649999999999997E-3</c:v>
                </c:pt>
                <c:pt idx="5">
                  <c:v>5.3049999999999998E-3</c:v>
                </c:pt>
                <c:pt idx="6">
                  <c:v>5.0600000000000003E-3</c:v>
                </c:pt>
                <c:pt idx="7">
                  <c:v>5.1399999999999996E-3</c:v>
                </c:pt>
                <c:pt idx="8">
                  <c:v>5.0099999999999997E-3</c:v>
                </c:pt>
                <c:pt idx="9">
                  <c:v>5.1850000000000004E-3</c:v>
                </c:pt>
                <c:pt idx="10">
                  <c:v>5.025E-3</c:v>
                </c:pt>
                <c:pt idx="11">
                  <c:v>5.0899999999999999E-3</c:v>
                </c:pt>
                <c:pt idx="12" formatCode="0.00E+00">
                  <c:v>4.6999999999999999E-4</c:v>
                </c:pt>
                <c:pt idx="13" formatCode="0.00E+00">
                  <c:v>1.6299999999999999E-3</c:v>
                </c:pt>
                <c:pt idx="14" formatCode="0.00E+00">
                  <c:v>4.0699999999999998E-3</c:v>
                </c:pt>
                <c:pt idx="15" formatCode="0.00E+00">
                  <c:v>4.4999999999999997E-3</c:v>
                </c:pt>
                <c:pt idx="16" formatCode="0.00E+00">
                  <c:v>5.195E-3</c:v>
                </c:pt>
                <c:pt idx="17" formatCode="0.00E+00">
                  <c:v>4.895E-3</c:v>
                </c:pt>
                <c:pt idx="18" formatCode="0.00E+00">
                  <c:v>4.8149999999999998E-3</c:v>
                </c:pt>
                <c:pt idx="19" formatCode="0.00E+00">
                  <c:v>5.0699999999999999E-3</c:v>
                </c:pt>
                <c:pt idx="20" formatCode="0.00E+00">
                  <c:v>5.195E-3</c:v>
                </c:pt>
                <c:pt idx="21" formatCode="0.00E+00">
                  <c:v>5.1549999999999999E-3</c:v>
                </c:pt>
              </c:numCache>
            </c:numRef>
          </c:yVal>
          <c:smooth val="0"/>
          <c:extLst>
            <c:ext xmlns:c16="http://schemas.microsoft.com/office/drawing/2014/chart" uri="{C3380CC4-5D6E-409C-BE32-E72D297353CC}">
              <c16:uniqueId val="{00000000-F2AF-4E12-8EA5-9FAD27980B58}"/>
            </c:ext>
          </c:extLst>
        </c:ser>
        <c:dLbls>
          <c:showLegendKey val="0"/>
          <c:showVal val="0"/>
          <c:showCatName val="0"/>
          <c:showSerName val="0"/>
          <c:showPercent val="0"/>
          <c:showBubbleSize val="0"/>
        </c:dLbls>
        <c:axId val="226162800"/>
        <c:axId val="226169520"/>
      </c:scatterChart>
      <c:valAx>
        <c:axId val="226162800"/>
        <c:scaling>
          <c:orientation val="minMax"/>
          <c:max val="1.0000000000000002E-2"/>
          <c:min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26169520"/>
        <c:crosses val="autoZero"/>
        <c:crossBetween val="midCat"/>
        <c:minorUnit val="2.5000000000000005E-3"/>
      </c:valAx>
      <c:valAx>
        <c:axId val="226169520"/>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Probability of fixing</a:t>
                </a:r>
              </a:p>
            </c:rich>
          </c:tx>
          <c:layout>
            <c:manualLayout>
              <c:xMode val="edge"/>
              <c:yMode val="edge"/>
              <c:x val="9.0222222222222214E-3"/>
              <c:y val="4.5808333333333333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26162800"/>
        <c:crosses val="autoZero"/>
        <c:crossBetween val="midCat"/>
        <c:minorUnit val="2.5000000000000005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3 </a:t>
            </a:r>
            <a:r>
              <a:rPr lang="en-US" sz="1400" b="0" i="0" u="none" strike="noStrike" kern="1200" spc="0" baseline="0">
                <a:solidFill>
                  <a:sysClr val="windowText" lastClr="000000">
                    <a:lumMod val="65000"/>
                    <a:lumOff val="35000"/>
                  </a:sysClr>
                </a:solidFill>
              </a:rPr>
              <a:t>-</a:t>
            </a:r>
            <a:r>
              <a:rPr lang="en-US" sz="1400" b="0" i="0" u="none" strike="noStrike" kern="1200" spc="0" baseline="3000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rPr>
              <a:t>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s=-0.05 to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7.2791776027996496E-2"/>
          <c:y val="2.5428331875182269E-2"/>
          <c:w val="0.89031933508311456"/>
          <c:h val="0.7750772820064159"/>
        </c:manualLayout>
      </c:layout>
      <c:scatterChart>
        <c:scatterStyle val="lineMarker"/>
        <c:varyColors val="0"/>
        <c:ser>
          <c:idx val="0"/>
          <c:order val="0"/>
          <c:tx>
            <c:strRef>
              <c:f>'Pop_1k (-s)'!$G$2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'Pop_1k (-s)'!$D$5:$D$16</c:f>
              <c:numCache>
                <c:formatCode>0.0E+00</c:formatCode>
                <c:ptCount val="12"/>
                <c:pt idx="0">
                  <c:v>-0.05</c:v>
                </c:pt>
                <c:pt idx="1">
                  <c:v>-0.01</c:v>
                </c:pt>
                <c:pt idx="2">
                  <c:v>-5.0000000000000001E-3</c:v>
                </c:pt>
                <c:pt idx="3">
                  <c:v>-1E-3</c:v>
                </c:pt>
                <c:pt idx="4">
                  <c:v>-5.0000000000000001E-4</c:v>
                </c:pt>
                <c:pt idx="5">
                  <c:v>-1E-4</c:v>
                </c:pt>
                <c:pt idx="6">
                  <c:v>-5.0000000000000001E-4</c:v>
                </c:pt>
                <c:pt idx="7">
                  <c:v>-1E-4</c:v>
                </c:pt>
                <c:pt idx="8">
                  <c:v>-1.0000000000000001E-5</c:v>
                </c:pt>
                <c:pt idx="9">
                  <c:v>-5.0000000000000002E-5</c:v>
                </c:pt>
                <c:pt idx="10">
                  <c:v>-9.9999999999999995E-7</c:v>
                </c:pt>
                <c:pt idx="11" formatCode="General">
                  <c:v>0</c:v>
                </c:pt>
              </c:numCache>
            </c:numRef>
          </c:xVal>
          <c:yVal>
            <c:numRef>
              <c:f>'Pop_1k (-s)'!$G$5:$G$16</c:f>
              <c:numCache>
                <c:formatCode>0.00E+00</c:formatCode>
                <c:ptCount val="12"/>
                <c:pt idx="0">
                  <c:v>0</c:v>
                </c:pt>
                <c:pt idx="1">
                  <c:v>0</c:v>
                </c:pt>
                <c:pt idx="2">
                  <c:v>0</c:v>
                </c:pt>
                <c:pt idx="3">
                  <c:v>2.8500000000000002E-5</c:v>
                </c:pt>
                <c:pt idx="4">
                  <c:v>1.5899999999999999E-4</c:v>
                </c:pt>
                <c:pt idx="5">
                  <c:v>4.0000000000000002E-4</c:v>
                </c:pt>
                <c:pt idx="6">
                  <c:v>1.5449999999999999E-4</c:v>
                </c:pt>
                <c:pt idx="7">
                  <c:v>4.1149999999999997E-4</c:v>
                </c:pt>
                <c:pt idx="8">
                  <c:v>4.8950000000000003E-4</c:v>
                </c:pt>
                <c:pt idx="9">
                  <c:v>4.3899999999999999E-4</c:v>
                </c:pt>
                <c:pt idx="10">
                  <c:v>4.9299999999999995E-4</c:v>
                </c:pt>
                <c:pt idx="11">
                  <c:v>4.8799999999999999E-4</c:v>
                </c:pt>
              </c:numCache>
            </c:numRef>
          </c:yVal>
          <c:smooth val="0"/>
          <c:extLst>
            <c:ext xmlns:c16="http://schemas.microsoft.com/office/drawing/2014/chart" uri="{C3380CC4-5D6E-409C-BE32-E72D297353CC}">
              <c16:uniqueId val="{00000000-8DAB-46C0-B75A-855F71A791D2}"/>
            </c:ext>
          </c:extLst>
        </c:ser>
        <c:dLbls>
          <c:showLegendKey val="0"/>
          <c:showVal val="0"/>
          <c:showCatName val="0"/>
          <c:showSerName val="0"/>
          <c:showPercent val="0"/>
          <c:showBubbleSize val="0"/>
        </c:dLbls>
        <c:axId val="1543172191"/>
        <c:axId val="1543169311"/>
      </c:scatterChart>
      <c:valAx>
        <c:axId val="1543172191"/>
        <c:scaling>
          <c:orientation val="minMax"/>
          <c:min val="-5.000000000000001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543169311"/>
        <c:crosses val="autoZero"/>
        <c:crossBetween val="midCat"/>
      </c:valAx>
      <c:valAx>
        <c:axId val="1543169311"/>
        <c:scaling>
          <c:orientation val="minMax"/>
          <c:max val="5.0000000000000012E-4"/>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43172191"/>
        <c:crosses val="autoZero"/>
        <c:crossBetween val="midCat"/>
        <c:minorUnit val="5.0000000000000023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N=10</a:t>
            </a:r>
            <a:r>
              <a:rPr lang="en-US" sz="1400" b="0" i="0" u="none" strike="noStrike" kern="1200" spc="0" baseline="30000">
                <a:solidFill>
                  <a:sysClr val="windowText" lastClr="000000">
                    <a:lumMod val="65000"/>
                    <a:lumOff val="35000"/>
                  </a:sysClr>
                </a:solidFill>
              </a:rPr>
              <a:t>3</a:t>
            </a:r>
            <a:r>
              <a:rPr lang="en-US" sz="1400" b="0" i="0" u="none" strike="noStrike" kern="1200" spc="0" baseline="0">
                <a:solidFill>
                  <a:sysClr val="windowText" lastClr="000000">
                    <a:lumMod val="65000"/>
                    <a:lumOff val="35000"/>
                  </a:sysClr>
                </a:solidFill>
              </a:rPr>
              <a:t>, attempts=10</a:t>
            </a:r>
            <a:r>
              <a:rPr lang="en-US" sz="1400" b="0" i="0" u="none" strike="noStrike" kern="1200" spc="0" baseline="30000">
                <a:solidFill>
                  <a:sysClr val="windowText" lastClr="000000">
                    <a:lumMod val="65000"/>
                    <a:lumOff val="35000"/>
                  </a:sysClr>
                </a:solidFill>
              </a:rPr>
              <a:t>3 </a:t>
            </a:r>
            <a:r>
              <a:rPr lang="en-US" sz="1400" b="0" i="0" u="none" strike="noStrike" kern="1200" spc="0" baseline="0">
                <a:solidFill>
                  <a:sysClr val="windowText" lastClr="000000">
                    <a:lumMod val="65000"/>
                    <a:lumOff val="35000"/>
                  </a:sysClr>
                </a:solidFill>
              </a:rPr>
              <a:t>-</a:t>
            </a:r>
            <a:r>
              <a:rPr lang="en-US" sz="1400" b="0" i="0" u="none" strike="noStrike" kern="1200" spc="0" baseline="3000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rPr>
              <a:t>10</a:t>
            </a:r>
            <a:r>
              <a:rPr lang="en-US" sz="1400" b="0" i="0" u="none" strike="noStrike" kern="1200" spc="0" baseline="30000">
                <a:solidFill>
                  <a:sysClr val="windowText" lastClr="000000">
                    <a:lumMod val="65000"/>
                    <a:lumOff val="35000"/>
                  </a:sysClr>
                </a:solidFill>
              </a:rPr>
              <a:t>5</a:t>
            </a:r>
            <a:r>
              <a:rPr lang="en-US" sz="1400" b="0" i="0" u="none" strike="noStrike" kern="1200" spc="0" baseline="0">
                <a:solidFill>
                  <a:sysClr val="windowText" lastClr="000000">
                    <a:lumMod val="65000"/>
                    <a:lumOff val="35000"/>
                  </a:sysClr>
                </a:solidFill>
              </a:rPr>
              <a:t>,</a:t>
            </a:r>
          </a:p>
          <a:p>
            <a:pPr>
              <a:defRPr/>
            </a:pPr>
            <a:r>
              <a:rPr lang="en-US" sz="1400" b="0" i="0" u="none" strike="noStrike" kern="1200" spc="0" baseline="0">
                <a:solidFill>
                  <a:sysClr val="windowText" lastClr="000000">
                    <a:lumMod val="65000"/>
                    <a:lumOff val="35000"/>
                  </a:sysClr>
                </a:solidFill>
              </a:rPr>
              <a:t>reps=20, s=-0.005 to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7.2791776027996496E-2"/>
          <c:y val="2.5428331875182269E-2"/>
          <c:w val="0.89031933508311456"/>
          <c:h val="0.7750772820064159"/>
        </c:manualLayout>
      </c:layout>
      <c:scatterChart>
        <c:scatterStyle val="lineMarker"/>
        <c:varyColors val="0"/>
        <c:ser>
          <c:idx val="0"/>
          <c:order val="0"/>
          <c:tx>
            <c:strRef>
              <c:f>'Pop_1k (-s)'!$G$2</c:f>
              <c:strCache>
                <c:ptCount val="1"/>
                <c:pt idx="0">
                  <c:v>Prob fix</c:v>
                </c:pt>
              </c:strCache>
            </c:strRef>
          </c:tx>
          <c:spPr>
            <a:ln w="19050" cap="rnd">
              <a:noFill/>
              <a:round/>
            </a:ln>
            <a:effectLst/>
          </c:spPr>
          <c:marker>
            <c:symbol val="circle"/>
            <c:size val="5"/>
            <c:spPr>
              <a:solidFill>
                <a:schemeClr val="accent1"/>
              </a:solidFill>
              <a:ln w="9525">
                <a:solidFill>
                  <a:schemeClr val="accent1"/>
                </a:solidFill>
              </a:ln>
              <a:effectLst/>
            </c:spPr>
          </c:marker>
          <c:xVal>
            <c:numRef>
              <c:f>'Pop_1k (-s)'!$D$7:$D$16</c:f>
              <c:numCache>
                <c:formatCode>0.0E+00</c:formatCode>
                <c:ptCount val="10"/>
                <c:pt idx="0">
                  <c:v>-5.0000000000000001E-3</c:v>
                </c:pt>
                <c:pt idx="1">
                  <c:v>-1E-3</c:v>
                </c:pt>
                <c:pt idx="2">
                  <c:v>-5.0000000000000001E-4</c:v>
                </c:pt>
                <c:pt idx="3">
                  <c:v>-1E-4</c:v>
                </c:pt>
                <c:pt idx="4">
                  <c:v>-5.0000000000000001E-4</c:v>
                </c:pt>
                <c:pt idx="5">
                  <c:v>-1E-4</c:v>
                </c:pt>
                <c:pt idx="6">
                  <c:v>-1.0000000000000001E-5</c:v>
                </c:pt>
                <c:pt idx="7">
                  <c:v>-5.0000000000000002E-5</c:v>
                </c:pt>
                <c:pt idx="8">
                  <c:v>-9.9999999999999995E-7</c:v>
                </c:pt>
                <c:pt idx="9" formatCode="General">
                  <c:v>0</c:v>
                </c:pt>
              </c:numCache>
            </c:numRef>
          </c:xVal>
          <c:yVal>
            <c:numRef>
              <c:f>'Pop_1k (-s)'!$G$7:$G$16</c:f>
              <c:numCache>
                <c:formatCode>0.00E+00</c:formatCode>
                <c:ptCount val="10"/>
                <c:pt idx="0">
                  <c:v>0</c:v>
                </c:pt>
                <c:pt idx="1">
                  <c:v>2.8500000000000002E-5</c:v>
                </c:pt>
                <c:pt idx="2">
                  <c:v>1.5899999999999999E-4</c:v>
                </c:pt>
                <c:pt idx="3">
                  <c:v>4.0000000000000002E-4</c:v>
                </c:pt>
                <c:pt idx="4">
                  <c:v>1.5449999999999999E-4</c:v>
                </c:pt>
                <c:pt idx="5">
                  <c:v>4.1149999999999997E-4</c:v>
                </c:pt>
                <c:pt idx="6">
                  <c:v>4.8950000000000003E-4</c:v>
                </c:pt>
                <c:pt idx="7">
                  <c:v>4.3899999999999999E-4</c:v>
                </c:pt>
                <c:pt idx="8">
                  <c:v>4.9299999999999995E-4</c:v>
                </c:pt>
                <c:pt idx="9">
                  <c:v>4.8799999999999999E-4</c:v>
                </c:pt>
              </c:numCache>
            </c:numRef>
          </c:yVal>
          <c:smooth val="0"/>
          <c:extLst>
            <c:ext xmlns:c16="http://schemas.microsoft.com/office/drawing/2014/chart" uri="{C3380CC4-5D6E-409C-BE32-E72D297353CC}">
              <c16:uniqueId val="{00000000-8F98-4115-95B7-FD41A0D205D6}"/>
            </c:ext>
          </c:extLst>
        </c:ser>
        <c:dLbls>
          <c:showLegendKey val="0"/>
          <c:showVal val="0"/>
          <c:showCatName val="0"/>
          <c:showSerName val="0"/>
          <c:showPercent val="0"/>
          <c:showBubbleSize val="0"/>
        </c:dLbls>
        <c:axId val="1543172191"/>
        <c:axId val="1543169311"/>
      </c:scatterChart>
      <c:valAx>
        <c:axId val="1543172191"/>
        <c:scaling>
          <c:orientation val="minMax"/>
          <c:min val="-5.000000000000001E-3"/>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DE"/>
            </a:p>
          </c:txPr>
        </c:title>
        <c:numFmt formatCode="0.0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crossAx val="1543169311"/>
        <c:crosses val="autoZero"/>
        <c:crossBetween val="midCat"/>
      </c:valAx>
      <c:valAx>
        <c:axId val="1543169311"/>
        <c:scaling>
          <c:orientation val="minMax"/>
          <c:max val="5.0000000000000012E-4"/>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Prob</a:t>
                </a:r>
                <a:r>
                  <a:rPr lang="en-US" sz="1200" baseline="0"/>
                  <a:t> fixing</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43172191"/>
        <c:crosses val="autoZero"/>
        <c:crossBetween val="midCat"/>
        <c:minorUnit val="5.0000000000000023E-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N=10, attempts=10</a:t>
            </a:r>
            <a:r>
              <a:rPr lang="en-US" sz="1000" b="0" i="0" u="none" strike="noStrike" kern="1200" spc="0" baseline="30000">
                <a:solidFill>
                  <a:sysClr val="windowText" lastClr="000000">
                    <a:lumMod val="65000"/>
                    <a:lumOff val="35000"/>
                  </a:sysClr>
                </a:solidFill>
              </a:rPr>
              <a:t>7</a:t>
            </a:r>
            <a:r>
              <a:rPr lang="en-US" sz="1000" b="0" i="0" u="none" strike="noStrike" kern="1200" spc="0" baseline="0">
                <a:solidFill>
                  <a:sysClr val="windowText" lastClr="000000">
                    <a:lumMod val="65000"/>
                    <a:lumOff val="35000"/>
                  </a:sysClr>
                </a:solidFill>
              </a:rPr>
              <a:t>,</a:t>
            </a:r>
          </a:p>
          <a:p>
            <a:pPr>
              <a:defRPr sz="1000"/>
            </a:pPr>
            <a:r>
              <a:rPr lang="en-US" sz="1000" b="0" i="0" u="none" strike="noStrike" kern="1200" spc="0" baseline="0">
                <a:solidFill>
                  <a:sysClr val="windowText" lastClr="000000">
                    <a:lumMod val="65000"/>
                    <a:lumOff val="35000"/>
                  </a:sysClr>
                </a:solidFill>
              </a:rPr>
              <a:t>reps= 20, s=0 - 0.01</a:t>
            </a:r>
          </a:p>
        </c:rich>
      </c:tx>
      <c:layout>
        <c:manualLayout>
          <c:xMode val="edge"/>
          <c:yMode val="edge"/>
          <c:x val="0.21070139748438374"/>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737761111111111"/>
          <c:y val="2.5428331875182269E-2"/>
          <c:w val="0.76888000000000001"/>
          <c:h val="0.75419333333333338"/>
        </c:manualLayout>
      </c:layout>
      <c:scatterChart>
        <c:scatterStyle val="lineMarker"/>
        <c:varyColors val="0"/>
        <c:ser>
          <c:idx val="0"/>
          <c:order val="0"/>
          <c:tx>
            <c:strRef>
              <c:f>Pop_10!$G$28</c:f>
              <c:strCache>
                <c:ptCount val="1"/>
                <c:pt idx="0">
                  <c:v>Prob fix</c:v>
                </c:pt>
              </c:strCache>
            </c:strRef>
          </c:tx>
          <c:spPr>
            <a:ln w="1905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5.000000000000001E-2"/>
            <c:dispRSqr val="1"/>
            <c:dispEq val="1"/>
            <c:trendlineLbl>
              <c:layout>
                <c:manualLayout>
                  <c:x val="-5.7764204338537982E-2"/>
                  <c:y val="0.2410947069116360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Prob = 0.9967x + 0.05</a:t>
                    </a:r>
                    <a:br>
                      <a:rPr lang="en-US" baseline="0"/>
                    </a:br>
                    <a:r>
                      <a:rPr lang="en-US" baseline="0"/>
                      <a:t>R² = 0.9998</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Pop_10!$D$44:$D$50</c:f>
              <c:numCache>
                <c:formatCode>0.00E+00</c:formatCode>
                <c:ptCount val="7"/>
                <c:pt idx="0">
                  <c:v>0.01</c:v>
                </c:pt>
                <c:pt idx="1">
                  <c:v>5.0000000000000001E-3</c:v>
                </c:pt>
                <c:pt idx="2">
                  <c:v>1E-3</c:v>
                </c:pt>
                <c:pt idx="3" formatCode="General">
                  <c:v>1E-4</c:v>
                </c:pt>
                <c:pt idx="4">
                  <c:v>1.0000000000000001E-5</c:v>
                </c:pt>
                <c:pt idx="5">
                  <c:v>9.9999999999999995E-7</c:v>
                </c:pt>
                <c:pt idx="6" formatCode="General">
                  <c:v>0</c:v>
                </c:pt>
              </c:numCache>
            </c:numRef>
          </c:xVal>
          <c:yVal>
            <c:numRef>
              <c:f>Pop_10!$G$44:$G$50</c:f>
              <c:numCache>
                <c:formatCode>0.00000</c:formatCode>
                <c:ptCount val="7"/>
                <c:pt idx="0">
                  <c:v>6.0028039999999998E-2</c:v>
                </c:pt>
                <c:pt idx="1">
                  <c:v>5.4871679999999999E-2</c:v>
                </c:pt>
                <c:pt idx="2">
                  <c:v>5.0940609999999997E-2</c:v>
                </c:pt>
                <c:pt idx="3">
                  <c:v>5.0116069999999999E-2</c:v>
                </c:pt>
                <c:pt idx="4">
                  <c:v>4.9994629999999998E-2</c:v>
                </c:pt>
                <c:pt idx="5">
                  <c:v>5.0024699999999998E-2</c:v>
                </c:pt>
                <c:pt idx="6">
                  <c:v>5.0026429999999997E-2</c:v>
                </c:pt>
              </c:numCache>
            </c:numRef>
          </c:yVal>
          <c:smooth val="0"/>
          <c:extLst>
            <c:ext xmlns:c16="http://schemas.microsoft.com/office/drawing/2014/chart" uri="{C3380CC4-5D6E-409C-BE32-E72D297353CC}">
              <c16:uniqueId val="{00000000-2738-45D8-8599-EC55D7002375}"/>
            </c:ext>
          </c:extLst>
        </c:ser>
        <c:dLbls>
          <c:showLegendKey val="0"/>
          <c:showVal val="0"/>
          <c:showCatName val="0"/>
          <c:showSerName val="0"/>
          <c:showPercent val="0"/>
          <c:showBubbleSize val="0"/>
        </c:dLbls>
        <c:axId val="1643007343"/>
        <c:axId val="1642992943"/>
      </c:scatterChart>
      <c:valAx>
        <c:axId val="1643007343"/>
        <c:scaling>
          <c:orientation val="minMax"/>
          <c:max val="1.0000000000000002E-2"/>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Selection coefficient, 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42992943"/>
        <c:crosses val="autoZero"/>
        <c:crossBetween val="midCat"/>
        <c:minorUnit val="1.0000000000000002E-3"/>
      </c:valAx>
      <c:valAx>
        <c:axId val="1642992943"/>
        <c:scaling>
          <c:orientation val="minMax"/>
          <c:max val="7.0000000000000007E-2"/>
          <c:min val="4.0000000000000008E-2"/>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Prob fixing</a:t>
                </a:r>
              </a:p>
            </c:rich>
          </c:tx>
          <c:layout>
            <c:manualLayout>
              <c:xMode val="edge"/>
              <c:yMode val="edge"/>
              <c:x val="1.1483611111111109E-2"/>
              <c:y val="0.27343277777777775"/>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DE"/>
            </a:p>
          </c:txPr>
        </c:title>
        <c:numFmt formatCode="0.00" sourceLinked="0"/>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43007343"/>
        <c:crosses val="autoZero"/>
        <c:crossBetween val="midCat"/>
        <c:min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Run time as</a:t>
            </a:r>
            <a:r>
              <a:rPr lang="en-US" sz="1200" baseline="0"/>
              <a:t> a function of reps setting</a:t>
            </a:r>
          </a:p>
          <a:p>
            <a:pPr>
              <a:defRPr sz="1200"/>
            </a:pPr>
            <a:r>
              <a:rPr lang="en-US" sz="1200" baseline="0"/>
              <a:t>Pop = 10K, fixed no. attempts = 50K</a:t>
            </a:r>
            <a:endParaRPr lang="en-US" sz="1200"/>
          </a:p>
        </c:rich>
      </c:tx>
      <c:layout>
        <c:manualLayout>
          <c:xMode val="edge"/>
          <c:yMode val="edge"/>
          <c:x val="0.18678455818022746"/>
          <c:y val="0.1111111111111111"/>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325949256342957"/>
          <c:y val="3.2824074074074089E-2"/>
          <c:w val="0.81229396325459313"/>
          <c:h val="0.81253098571011961"/>
        </c:manualLayout>
      </c:layout>
      <c:scatterChart>
        <c:scatterStyle val="lineMarker"/>
        <c:varyColors val="0"/>
        <c:ser>
          <c:idx val="0"/>
          <c:order val="0"/>
          <c:tx>
            <c:strRef>
              <c:f>'Perf. parallell proc'!$J$10</c:f>
              <c:strCache>
                <c:ptCount val="1"/>
                <c:pt idx="0">
                  <c:v>Run time (sec)</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1972222222222223E-2"/>
                  <c:y val="0.503972457988206"/>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Secs = 0,8525Reps + 0,7487</a:t>
                    </a:r>
                    <a:br>
                      <a:rPr lang="en-US" sz="1200" baseline="0"/>
                    </a:br>
                    <a:r>
                      <a:rPr lang="en-US" sz="1200" baseline="0"/>
                      <a:t>R² = 0,9977</a:t>
                    </a:r>
                    <a:endParaRPr lang="en-US" sz="1200"/>
                  </a:p>
                </c:rich>
              </c:tx>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'Perf. parallell proc'!$A$11:$A$20</c:f>
              <c:numCache>
                <c:formatCode>General</c:formatCode>
                <c:ptCount val="10"/>
                <c:pt idx="0">
                  <c:v>20</c:v>
                </c:pt>
                <c:pt idx="1">
                  <c:v>40</c:v>
                </c:pt>
                <c:pt idx="2">
                  <c:v>60</c:v>
                </c:pt>
                <c:pt idx="3">
                  <c:v>80</c:v>
                </c:pt>
                <c:pt idx="4">
                  <c:v>100</c:v>
                </c:pt>
                <c:pt idx="5">
                  <c:v>120</c:v>
                </c:pt>
                <c:pt idx="6">
                  <c:v>140</c:v>
                </c:pt>
                <c:pt idx="7">
                  <c:v>160</c:v>
                </c:pt>
                <c:pt idx="8">
                  <c:v>180</c:v>
                </c:pt>
                <c:pt idx="9">
                  <c:v>200</c:v>
                </c:pt>
              </c:numCache>
            </c:numRef>
          </c:xVal>
          <c:yVal>
            <c:numRef>
              <c:f>'Perf. parallell proc'!$J$11:$J$20</c:f>
              <c:numCache>
                <c:formatCode>0.0</c:formatCode>
                <c:ptCount val="10"/>
                <c:pt idx="0">
                  <c:v>18.52</c:v>
                </c:pt>
                <c:pt idx="1">
                  <c:v>34.520000000000003</c:v>
                </c:pt>
                <c:pt idx="2">
                  <c:v>51.28</c:v>
                </c:pt>
                <c:pt idx="3">
                  <c:v>68.8</c:v>
                </c:pt>
                <c:pt idx="4">
                  <c:v>88.57</c:v>
                </c:pt>
                <c:pt idx="5">
                  <c:v>103.21</c:v>
                </c:pt>
                <c:pt idx="6">
                  <c:v>119.62</c:v>
                </c:pt>
                <c:pt idx="7">
                  <c:v>131.06</c:v>
                </c:pt>
                <c:pt idx="8">
                  <c:v>155.83000000000001</c:v>
                </c:pt>
                <c:pt idx="9">
                  <c:v>173.88</c:v>
                </c:pt>
              </c:numCache>
            </c:numRef>
          </c:yVal>
          <c:smooth val="0"/>
          <c:extLst>
            <c:ext xmlns:c16="http://schemas.microsoft.com/office/drawing/2014/chart" uri="{C3380CC4-5D6E-409C-BE32-E72D297353CC}">
              <c16:uniqueId val="{00000000-F1B1-42D5-B05E-5A8308CDB433}"/>
            </c:ext>
          </c:extLst>
        </c:ser>
        <c:dLbls>
          <c:showLegendKey val="0"/>
          <c:showVal val="0"/>
          <c:showCatName val="0"/>
          <c:showSerName val="0"/>
          <c:showPercent val="0"/>
          <c:showBubbleSize val="0"/>
        </c:dLbls>
        <c:axId val="1618399791"/>
        <c:axId val="1618398831"/>
      </c:scatterChart>
      <c:valAx>
        <c:axId val="1618399791"/>
        <c:scaling>
          <c:orientation val="minMax"/>
          <c:max val="20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Trial</a:t>
                </a:r>
                <a:r>
                  <a:rPr lang="en-US" sz="1200" baseline="0"/>
                  <a:t> repetitions</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18398831"/>
        <c:crosses val="autoZero"/>
        <c:crossBetween val="midCat"/>
      </c:valAx>
      <c:valAx>
        <c:axId val="1618398831"/>
        <c:scaling>
          <c:orientation val="minMax"/>
          <c:max val="18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secs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in"/>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18399791"/>
        <c:crosses val="autoZero"/>
        <c:crossBetween val="midCat"/>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81.xml"/><Relationship Id="rId3" Type="http://schemas.openxmlformats.org/officeDocument/2006/relationships/chart" Target="../charts/chart76.xml"/><Relationship Id="rId7" Type="http://schemas.openxmlformats.org/officeDocument/2006/relationships/chart" Target="../charts/chart80.xml"/><Relationship Id="rId2" Type="http://schemas.openxmlformats.org/officeDocument/2006/relationships/chart" Target="../charts/chart75.xml"/><Relationship Id="rId1" Type="http://schemas.openxmlformats.org/officeDocument/2006/relationships/chart" Target="../charts/chart74.xml"/><Relationship Id="rId6" Type="http://schemas.openxmlformats.org/officeDocument/2006/relationships/chart" Target="../charts/chart79.xml"/><Relationship Id="rId5" Type="http://schemas.openxmlformats.org/officeDocument/2006/relationships/chart" Target="../charts/chart78.xml"/><Relationship Id="rId10" Type="http://schemas.openxmlformats.org/officeDocument/2006/relationships/image" Target="../media/image4.png"/><Relationship Id="rId4" Type="http://schemas.openxmlformats.org/officeDocument/2006/relationships/chart" Target="../charts/chart77.xml"/><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89.xml"/><Relationship Id="rId1" Type="http://schemas.openxmlformats.org/officeDocument/2006/relationships/chart" Target="../charts/chart88.xml"/><Relationship Id="rId4" Type="http://schemas.openxmlformats.org/officeDocument/2006/relationships/image" Target="../media/image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90.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7.xml"/><Relationship Id="rId7" Type="http://schemas.openxmlformats.org/officeDocument/2006/relationships/chart" Target="../charts/chart9.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4.png"/><Relationship Id="rId11" Type="http://schemas.openxmlformats.org/officeDocument/2006/relationships/image" Target="../media/image5.png"/><Relationship Id="rId5" Type="http://schemas.openxmlformats.org/officeDocument/2006/relationships/chart" Target="../charts/chart8.xml"/><Relationship Id="rId10" Type="http://schemas.openxmlformats.org/officeDocument/2006/relationships/chart" Target="../charts/chart12.xml"/><Relationship Id="rId4" Type="http://schemas.openxmlformats.org/officeDocument/2006/relationships/image" Target="../media/image3.png"/><Relationship Id="rId9"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15.xml"/><Relationship Id="rId7" Type="http://schemas.openxmlformats.org/officeDocument/2006/relationships/chart" Target="../charts/chart18.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3.png"/><Relationship Id="rId5" Type="http://schemas.openxmlformats.org/officeDocument/2006/relationships/chart" Target="../charts/chart17.xml"/><Relationship Id="rId10" Type="http://schemas.openxmlformats.org/officeDocument/2006/relationships/image" Target="../media/image4.png"/><Relationship Id="rId4" Type="http://schemas.openxmlformats.org/officeDocument/2006/relationships/chart" Target="../charts/chart16.xml"/><Relationship Id="rId9"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chart" Target="../charts/chart32.xml"/><Relationship Id="rId3" Type="http://schemas.openxmlformats.org/officeDocument/2006/relationships/chart" Target="../charts/chart22.xml"/><Relationship Id="rId7" Type="http://schemas.openxmlformats.org/officeDocument/2006/relationships/chart" Target="../charts/chart26.xml"/><Relationship Id="rId12" Type="http://schemas.openxmlformats.org/officeDocument/2006/relationships/chart" Target="../charts/chart31.xml"/><Relationship Id="rId17" Type="http://schemas.openxmlformats.org/officeDocument/2006/relationships/image" Target="../media/image4.png"/><Relationship Id="rId2" Type="http://schemas.openxmlformats.org/officeDocument/2006/relationships/chart" Target="../charts/chart21.xml"/><Relationship Id="rId16" Type="http://schemas.openxmlformats.org/officeDocument/2006/relationships/image" Target="../media/image3.png"/><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chart" Target="../charts/chart30.xml"/><Relationship Id="rId5" Type="http://schemas.openxmlformats.org/officeDocument/2006/relationships/chart" Target="../charts/chart24.xml"/><Relationship Id="rId15" Type="http://schemas.openxmlformats.org/officeDocument/2006/relationships/chart" Target="../charts/chart34.xml"/><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 Id="rId14"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1.xml"/><Relationship Id="rId13" Type="http://schemas.openxmlformats.org/officeDocument/2006/relationships/chart" Target="../charts/chart46.xml"/><Relationship Id="rId18" Type="http://schemas.openxmlformats.org/officeDocument/2006/relationships/chart" Target="../charts/chart51.xml"/><Relationship Id="rId3" Type="http://schemas.openxmlformats.org/officeDocument/2006/relationships/chart" Target="../charts/chart36.xml"/><Relationship Id="rId21" Type="http://schemas.openxmlformats.org/officeDocument/2006/relationships/chart" Target="../charts/chart54.xml"/><Relationship Id="rId7" Type="http://schemas.openxmlformats.org/officeDocument/2006/relationships/chart" Target="../charts/chart40.xml"/><Relationship Id="rId12" Type="http://schemas.openxmlformats.org/officeDocument/2006/relationships/chart" Target="../charts/chart45.xml"/><Relationship Id="rId17" Type="http://schemas.openxmlformats.org/officeDocument/2006/relationships/chart" Target="../charts/chart50.xml"/><Relationship Id="rId2" Type="http://schemas.openxmlformats.org/officeDocument/2006/relationships/chart" Target="../charts/chart35.xml"/><Relationship Id="rId16" Type="http://schemas.openxmlformats.org/officeDocument/2006/relationships/chart" Target="../charts/chart49.xml"/><Relationship Id="rId20" Type="http://schemas.openxmlformats.org/officeDocument/2006/relationships/chart" Target="../charts/chart53.xml"/><Relationship Id="rId1" Type="http://schemas.openxmlformats.org/officeDocument/2006/relationships/image" Target="../media/image3.png"/><Relationship Id="rId6" Type="http://schemas.openxmlformats.org/officeDocument/2006/relationships/chart" Target="../charts/chart39.xml"/><Relationship Id="rId11" Type="http://schemas.openxmlformats.org/officeDocument/2006/relationships/chart" Target="../charts/chart44.xml"/><Relationship Id="rId5" Type="http://schemas.openxmlformats.org/officeDocument/2006/relationships/chart" Target="../charts/chart38.xml"/><Relationship Id="rId15" Type="http://schemas.openxmlformats.org/officeDocument/2006/relationships/chart" Target="../charts/chart48.xml"/><Relationship Id="rId10" Type="http://schemas.openxmlformats.org/officeDocument/2006/relationships/chart" Target="../charts/chart43.xml"/><Relationship Id="rId19" Type="http://schemas.openxmlformats.org/officeDocument/2006/relationships/chart" Target="../charts/chart52.xml"/><Relationship Id="rId4" Type="http://schemas.openxmlformats.org/officeDocument/2006/relationships/chart" Target="../charts/chart37.xml"/><Relationship Id="rId9" Type="http://schemas.openxmlformats.org/officeDocument/2006/relationships/chart" Target="../charts/chart42.xml"/><Relationship Id="rId14" Type="http://schemas.openxmlformats.org/officeDocument/2006/relationships/chart" Target="../charts/chart47.xml"/><Relationship Id="rId22" Type="http://schemas.openxmlformats.org/officeDocument/2006/relationships/image" Target="../media/image4.png"/></Relationships>
</file>

<file path=xl/drawings/_rels/drawing9.xml.rels><?xml version="1.0" encoding="UTF-8" standalone="yes"?>
<Relationships xmlns="http://schemas.openxmlformats.org/package/2006/relationships"><Relationship Id="rId8" Type="http://schemas.openxmlformats.org/officeDocument/2006/relationships/chart" Target="../charts/chart62.xml"/><Relationship Id="rId13" Type="http://schemas.openxmlformats.org/officeDocument/2006/relationships/chart" Target="../charts/chart67.xml"/><Relationship Id="rId18" Type="http://schemas.openxmlformats.org/officeDocument/2006/relationships/chart" Target="../charts/chart72.xml"/><Relationship Id="rId3" Type="http://schemas.openxmlformats.org/officeDocument/2006/relationships/chart" Target="../charts/chart57.xml"/><Relationship Id="rId21" Type="http://schemas.openxmlformats.org/officeDocument/2006/relationships/image" Target="../media/image4.png"/><Relationship Id="rId7" Type="http://schemas.openxmlformats.org/officeDocument/2006/relationships/chart" Target="../charts/chart61.xml"/><Relationship Id="rId12" Type="http://schemas.openxmlformats.org/officeDocument/2006/relationships/chart" Target="../charts/chart66.xml"/><Relationship Id="rId17" Type="http://schemas.openxmlformats.org/officeDocument/2006/relationships/chart" Target="../charts/chart71.xml"/><Relationship Id="rId2" Type="http://schemas.openxmlformats.org/officeDocument/2006/relationships/chart" Target="../charts/chart56.xml"/><Relationship Id="rId16" Type="http://schemas.openxmlformats.org/officeDocument/2006/relationships/chart" Target="../charts/chart70.xml"/><Relationship Id="rId20" Type="http://schemas.openxmlformats.org/officeDocument/2006/relationships/chart" Target="../charts/chart73.xml"/><Relationship Id="rId1" Type="http://schemas.openxmlformats.org/officeDocument/2006/relationships/chart" Target="../charts/chart55.xml"/><Relationship Id="rId6" Type="http://schemas.openxmlformats.org/officeDocument/2006/relationships/chart" Target="../charts/chart60.xml"/><Relationship Id="rId11" Type="http://schemas.openxmlformats.org/officeDocument/2006/relationships/chart" Target="../charts/chart65.xml"/><Relationship Id="rId5" Type="http://schemas.openxmlformats.org/officeDocument/2006/relationships/chart" Target="../charts/chart59.xml"/><Relationship Id="rId15" Type="http://schemas.openxmlformats.org/officeDocument/2006/relationships/chart" Target="../charts/chart69.xml"/><Relationship Id="rId10" Type="http://schemas.openxmlformats.org/officeDocument/2006/relationships/chart" Target="../charts/chart64.xml"/><Relationship Id="rId19" Type="http://schemas.openxmlformats.org/officeDocument/2006/relationships/image" Target="../media/image3.png"/><Relationship Id="rId4" Type="http://schemas.openxmlformats.org/officeDocument/2006/relationships/chart" Target="../charts/chart58.xml"/><Relationship Id="rId9" Type="http://schemas.openxmlformats.org/officeDocument/2006/relationships/chart" Target="../charts/chart63.xml"/><Relationship Id="rId14" Type="http://schemas.openxmlformats.org/officeDocument/2006/relationships/chart" Target="../charts/chart68.xml"/></Relationships>
</file>

<file path=xl/drawings/drawing1.xml><?xml version="1.0" encoding="utf-8"?>
<xdr:wsDr xmlns:xdr="http://schemas.openxmlformats.org/drawingml/2006/spreadsheetDrawing" xmlns:a="http://schemas.openxmlformats.org/drawingml/2006/main">
  <xdr:twoCellAnchor editAs="oneCell">
    <xdr:from>
      <xdr:col>0</xdr:col>
      <xdr:colOff>1019175</xdr:colOff>
      <xdr:row>10</xdr:row>
      <xdr:rowOff>419100</xdr:rowOff>
    </xdr:from>
    <xdr:to>
      <xdr:col>0</xdr:col>
      <xdr:colOff>3819916</xdr:colOff>
      <xdr:row>12</xdr:row>
      <xdr:rowOff>133422</xdr:rowOff>
    </xdr:to>
    <xdr:pic>
      <xdr:nvPicPr>
        <xdr:cNvPr id="3" name="Picture 2">
          <a:extLst>
            <a:ext uri="{FF2B5EF4-FFF2-40B4-BE49-F238E27FC236}">
              <a16:creationId xmlns:a16="http://schemas.microsoft.com/office/drawing/2014/main" id="{9B61C0B4-086C-71D7-9239-0428590800B6}"/>
            </a:ext>
          </a:extLst>
        </xdr:cNvPr>
        <xdr:cNvPicPr>
          <a:picLocks noChangeAspect="1"/>
        </xdr:cNvPicPr>
      </xdr:nvPicPr>
      <xdr:blipFill>
        <a:blip xmlns:r="http://schemas.openxmlformats.org/officeDocument/2006/relationships" r:embed="rId1"/>
        <a:stretch>
          <a:fillRect/>
        </a:stretch>
      </xdr:blipFill>
      <xdr:spPr>
        <a:xfrm>
          <a:off x="1019175" y="3219450"/>
          <a:ext cx="2800741" cy="51442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76199</xdr:colOff>
      <xdr:row>0</xdr:row>
      <xdr:rowOff>71437</xdr:rowOff>
    </xdr:from>
    <xdr:to>
      <xdr:col>22</xdr:col>
      <xdr:colOff>18599</xdr:colOff>
      <xdr:row>7</xdr:row>
      <xdr:rowOff>99787</xdr:rowOff>
    </xdr:to>
    <xdr:graphicFrame macro="">
      <xdr:nvGraphicFramePr>
        <xdr:cNvPr id="3" name="Chart 2">
          <a:extLst>
            <a:ext uri="{FF2B5EF4-FFF2-40B4-BE49-F238E27FC236}">
              <a16:creationId xmlns:a16="http://schemas.microsoft.com/office/drawing/2014/main" id="{2A8E6B44-1512-DD1D-9C3A-7C53074AB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523874</xdr:colOff>
      <xdr:row>0</xdr:row>
      <xdr:rowOff>66675</xdr:rowOff>
    </xdr:from>
    <xdr:to>
      <xdr:col>27</xdr:col>
      <xdr:colOff>466274</xdr:colOff>
      <xdr:row>7</xdr:row>
      <xdr:rowOff>95025</xdr:rowOff>
    </xdr:to>
    <xdr:graphicFrame macro="">
      <xdr:nvGraphicFramePr>
        <xdr:cNvPr id="4" name="Chart 3">
          <a:extLst>
            <a:ext uri="{FF2B5EF4-FFF2-40B4-BE49-F238E27FC236}">
              <a16:creationId xmlns:a16="http://schemas.microsoft.com/office/drawing/2014/main" id="{1AA58329-DE09-4F6C-848E-5997592C8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371474</xdr:colOff>
      <xdr:row>0</xdr:row>
      <xdr:rowOff>66675</xdr:rowOff>
    </xdr:from>
    <xdr:to>
      <xdr:col>33</xdr:col>
      <xdr:colOff>313874</xdr:colOff>
      <xdr:row>7</xdr:row>
      <xdr:rowOff>95025</xdr:rowOff>
    </xdr:to>
    <xdr:graphicFrame macro="">
      <xdr:nvGraphicFramePr>
        <xdr:cNvPr id="5" name="Chart 4">
          <a:extLst>
            <a:ext uri="{FF2B5EF4-FFF2-40B4-BE49-F238E27FC236}">
              <a16:creationId xmlns:a16="http://schemas.microsoft.com/office/drawing/2014/main" id="{14C25F00-396F-48BC-BB93-B8441877C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161925</xdr:colOff>
      <xdr:row>37</xdr:row>
      <xdr:rowOff>152400</xdr:rowOff>
    </xdr:from>
    <xdr:to>
      <xdr:col>21</xdr:col>
      <xdr:colOff>533400</xdr:colOff>
      <xdr:row>49</xdr:row>
      <xdr:rowOff>166688</xdr:rowOff>
    </xdr:to>
    <xdr:graphicFrame macro="">
      <xdr:nvGraphicFramePr>
        <xdr:cNvPr id="6" name="Chart 5">
          <a:extLst>
            <a:ext uri="{FF2B5EF4-FFF2-40B4-BE49-F238E27FC236}">
              <a16:creationId xmlns:a16="http://schemas.microsoft.com/office/drawing/2014/main" id="{B7749E55-688A-4910-975B-D6D3CA112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38100</xdr:colOff>
      <xdr:row>37</xdr:row>
      <xdr:rowOff>171450</xdr:rowOff>
    </xdr:from>
    <xdr:to>
      <xdr:col>27</xdr:col>
      <xdr:colOff>409575</xdr:colOff>
      <xdr:row>49</xdr:row>
      <xdr:rowOff>185738</xdr:rowOff>
    </xdr:to>
    <xdr:graphicFrame macro="">
      <xdr:nvGraphicFramePr>
        <xdr:cNvPr id="7" name="Chart 6">
          <a:extLst>
            <a:ext uri="{FF2B5EF4-FFF2-40B4-BE49-F238E27FC236}">
              <a16:creationId xmlns:a16="http://schemas.microsoft.com/office/drawing/2014/main" id="{DC0B10D6-24A6-47C7-8A2A-3F1B5FB58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38100</xdr:colOff>
      <xdr:row>37</xdr:row>
      <xdr:rowOff>161925</xdr:rowOff>
    </xdr:from>
    <xdr:to>
      <xdr:col>33</xdr:col>
      <xdr:colOff>409575</xdr:colOff>
      <xdr:row>49</xdr:row>
      <xdr:rowOff>176213</xdr:rowOff>
    </xdr:to>
    <xdr:graphicFrame macro="">
      <xdr:nvGraphicFramePr>
        <xdr:cNvPr id="2" name="Chart 1">
          <a:extLst>
            <a:ext uri="{FF2B5EF4-FFF2-40B4-BE49-F238E27FC236}">
              <a16:creationId xmlns:a16="http://schemas.microsoft.com/office/drawing/2014/main" id="{32A85721-6CEE-404F-B6D9-79EB843C8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85725</xdr:colOff>
      <xdr:row>14</xdr:row>
      <xdr:rowOff>19051</xdr:rowOff>
    </xdr:from>
    <xdr:to>
      <xdr:col>22</xdr:col>
      <xdr:colOff>28125</xdr:colOff>
      <xdr:row>23</xdr:row>
      <xdr:rowOff>95026</xdr:rowOff>
    </xdr:to>
    <xdr:graphicFrame macro="">
      <xdr:nvGraphicFramePr>
        <xdr:cNvPr id="9" name="Chart 8">
          <a:extLst>
            <a:ext uri="{FF2B5EF4-FFF2-40B4-BE49-F238E27FC236}">
              <a16:creationId xmlns:a16="http://schemas.microsoft.com/office/drawing/2014/main" id="{E8B5B4AD-70E1-9B63-A136-E015B4028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247650</xdr:colOff>
      <xdr:row>14</xdr:row>
      <xdr:rowOff>19051</xdr:rowOff>
    </xdr:from>
    <xdr:to>
      <xdr:col>28</xdr:col>
      <xdr:colOff>190050</xdr:colOff>
      <xdr:row>23</xdr:row>
      <xdr:rowOff>95026</xdr:rowOff>
    </xdr:to>
    <xdr:graphicFrame macro="">
      <xdr:nvGraphicFramePr>
        <xdr:cNvPr id="10" name="Chart 9">
          <a:extLst>
            <a:ext uri="{FF2B5EF4-FFF2-40B4-BE49-F238E27FC236}">
              <a16:creationId xmlns:a16="http://schemas.microsoft.com/office/drawing/2014/main" id="{B702D1A6-29D3-4692-B14D-07CE449A4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0</xdr:colOff>
      <xdr:row>0</xdr:row>
      <xdr:rowOff>0</xdr:rowOff>
    </xdr:from>
    <xdr:to>
      <xdr:col>12</xdr:col>
      <xdr:colOff>504825</xdr:colOff>
      <xdr:row>0</xdr:row>
      <xdr:rowOff>319292</xdr:rowOff>
    </xdr:to>
    <xdr:pic>
      <xdr:nvPicPr>
        <xdr:cNvPr id="11" name="Picture 10">
          <a:extLst>
            <a:ext uri="{FF2B5EF4-FFF2-40B4-BE49-F238E27FC236}">
              <a16:creationId xmlns:a16="http://schemas.microsoft.com/office/drawing/2014/main" id="{F691BB61-5F2C-4D31-8D1F-C78864EDB3DE}"/>
            </a:ext>
          </a:extLst>
        </xdr:cNvPr>
        <xdr:cNvPicPr>
          <a:picLocks noChangeAspect="1"/>
        </xdr:cNvPicPr>
      </xdr:nvPicPr>
      <xdr:blipFill>
        <a:blip xmlns:r="http://schemas.openxmlformats.org/officeDocument/2006/relationships" r:embed="rId9"/>
        <a:stretch>
          <a:fillRect/>
        </a:stretch>
      </xdr:blipFill>
      <xdr:spPr>
        <a:xfrm>
          <a:off x="6391275" y="0"/>
          <a:ext cx="1076325" cy="319292"/>
        </a:xfrm>
        <a:prstGeom prst="rect">
          <a:avLst/>
        </a:prstGeom>
      </xdr:spPr>
    </xdr:pic>
    <xdr:clientData/>
  </xdr:twoCellAnchor>
  <xdr:twoCellAnchor editAs="oneCell">
    <xdr:from>
      <xdr:col>12</xdr:col>
      <xdr:colOff>647700</xdr:colOff>
      <xdr:row>0</xdr:row>
      <xdr:rowOff>9525</xdr:rowOff>
    </xdr:from>
    <xdr:to>
      <xdr:col>15</xdr:col>
      <xdr:colOff>476250</xdr:colOff>
      <xdr:row>0</xdr:row>
      <xdr:rowOff>373241</xdr:rowOff>
    </xdr:to>
    <xdr:pic>
      <xdr:nvPicPr>
        <xdr:cNvPr id="12" name="Grafik 11">
          <a:extLst>
            <a:ext uri="{FF2B5EF4-FFF2-40B4-BE49-F238E27FC236}">
              <a16:creationId xmlns:a16="http://schemas.microsoft.com/office/drawing/2014/main" id="{75D6C24A-2748-4364-9DC9-C7BD676F350C}"/>
            </a:ext>
          </a:extLst>
        </xdr:cNvPr>
        <xdr:cNvPicPr>
          <a:picLocks noChangeAspect="1"/>
        </xdr:cNvPicPr>
      </xdr:nvPicPr>
      <xdr:blipFill>
        <a:blip xmlns:r="http://schemas.openxmlformats.org/officeDocument/2006/relationships" r:embed="rId10"/>
        <a:stretch>
          <a:fillRect/>
        </a:stretch>
      </xdr:blipFill>
      <xdr:spPr>
        <a:xfrm>
          <a:off x="8343900" y="9525"/>
          <a:ext cx="2657475" cy="36371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295275</xdr:colOff>
      <xdr:row>1</xdr:row>
      <xdr:rowOff>28575</xdr:rowOff>
    </xdr:from>
    <xdr:to>
      <xdr:col>9</xdr:col>
      <xdr:colOff>619489</xdr:colOff>
      <xdr:row>2</xdr:row>
      <xdr:rowOff>133391</xdr:rowOff>
    </xdr:to>
    <xdr:pic>
      <xdr:nvPicPr>
        <xdr:cNvPr id="2" name="Grafik 1">
          <a:extLst>
            <a:ext uri="{FF2B5EF4-FFF2-40B4-BE49-F238E27FC236}">
              <a16:creationId xmlns:a16="http://schemas.microsoft.com/office/drawing/2014/main" id="{F70FC6B3-2837-68DC-1A8E-A37206D3EA22}"/>
            </a:ext>
          </a:extLst>
        </xdr:cNvPr>
        <xdr:cNvPicPr>
          <a:picLocks noChangeAspect="1"/>
        </xdr:cNvPicPr>
      </xdr:nvPicPr>
      <xdr:blipFill>
        <a:blip xmlns:r="http://schemas.openxmlformats.org/officeDocument/2006/relationships" r:embed="rId1"/>
        <a:stretch>
          <a:fillRect/>
        </a:stretch>
      </xdr:blipFill>
      <xdr:spPr>
        <a:xfrm>
          <a:off x="4867275" y="28575"/>
          <a:ext cx="2610214" cy="29531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56280</xdr:colOff>
      <xdr:row>42</xdr:row>
      <xdr:rowOff>47170</xdr:rowOff>
    </xdr:from>
    <xdr:to>
      <xdr:col>7</xdr:col>
      <xdr:colOff>417780</xdr:colOff>
      <xdr:row>51</xdr:row>
      <xdr:rowOff>116104</xdr:rowOff>
    </xdr:to>
    <xdr:graphicFrame macro="">
      <xdr:nvGraphicFramePr>
        <xdr:cNvPr id="3" name="Diagramm 2">
          <a:extLst>
            <a:ext uri="{FF2B5EF4-FFF2-40B4-BE49-F238E27FC236}">
              <a16:creationId xmlns:a16="http://schemas.microsoft.com/office/drawing/2014/main" id="{A22E12D4-3E63-E23A-F01C-63D22984E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43296</xdr:colOff>
      <xdr:row>1</xdr:row>
      <xdr:rowOff>26845</xdr:rowOff>
    </xdr:from>
    <xdr:to>
      <xdr:col>7</xdr:col>
      <xdr:colOff>545601</xdr:colOff>
      <xdr:row>10</xdr:row>
      <xdr:rowOff>112345</xdr:rowOff>
    </xdr:to>
    <xdr:graphicFrame macro="">
      <xdr:nvGraphicFramePr>
        <xdr:cNvPr id="2" name="Diagramm 1">
          <a:extLst>
            <a:ext uri="{FF2B5EF4-FFF2-40B4-BE49-F238E27FC236}">
              <a16:creationId xmlns:a16="http://schemas.microsoft.com/office/drawing/2014/main" id="{44B1E79B-921F-4DDB-E576-8AA9E25B5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67768</xdr:colOff>
      <xdr:row>10</xdr:row>
      <xdr:rowOff>162380</xdr:rowOff>
    </xdr:from>
    <xdr:to>
      <xdr:col>7</xdr:col>
      <xdr:colOff>570073</xdr:colOff>
      <xdr:row>20</xdr:row>
      <xdr:rowOff>31402</xdr:rowOff>
    </xdr:to>
    <xdr:graphicFrame macro="">
      <xdr:nvGraphicFramePr>
        <xdr:cNvPr id="5" name="Diagramm 4">
          <a:extLst>
            <a:ext uri="{FF2B5EF4-FFF2-40B4-BE49-F238E27FC236}">
              <a16:creationId xmlns:a16="http://schemas.microsoft.com/office/drawing/2014/main" id="{92C515A1-1F4B-CA6C-33BC-A5F69BB0F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136663</xdr:colOff>
      <xdr:row>51</xdr:row>
      <xdr:rowOff>189668</xdr:rowOff>
    </xdr:from>
    <xdr:to>
      <xdr:col>7</xdr:col>
      <xdr:colOff>498163</xdr:colOff>
      <xdr:row>61</xdr:row>
      <xdr:rowOff>43255</xdr:rowOff>
    </xdr:to>
    <xdr:graphicFrame macro="">
      <xdr:nvGraphicFramePr>
        <xdr:cNvPr id="8" name="Diagramm 7">
          <a:extLst>
            <a:ext uri="{FF2B5EF4-FFF2-40B4-BE49-F238E27FC236}">
              <a16:creationId xmlns:a16="http://schemas.microsoft.com/office/drawing/2014/main" id="{C0EFBEB5-A75A-F370-CBB7-0EB4D7272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12422</xdr:colOff>
      <xdr:row>21</xdr:row>
      <xdr:rowOff>90280</xdr:rowOff>
    </xdr:from>
    <xdr:to>
      <xdr:col>7</xdr:col>
      <xdr:colOff>514727</xdr:colOff>
      <xdr:row>30</xdr:row>
      <xdr:rowOff>150932</xdr:rowOff>
    </xdr:to>
    <xdr:graphicFrame macro="">
      <xdr:nvGraphicFramePr>
        <xdr:cNvPr id="9" name="Diagramm 8">
          <a:extLst>
            <a:ext uri="{FF2B5EF4-FFF2-40B4-BE49-F238E27FC236}">
              <a16:creationId xmlns:a16="http://schemas.microsoft.com/office/drawing/2014/main" id="{57EB3343-7773-7A63-BECA-436D2F3F7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45556</xdr:colOff>
      <xdr:row>31</xdr:row>
      <xdr:rowOff>7454</xdr:rowOff>
    </xdr:from>
    <xdr:to>
      <xdr:col>7</xdr:col>
      <xdr:colOff>547861</xdr:colOff>
      <xdr:row>40</xdr:row>
      <xdr:rowOff>68106</xdr:rowOff>
    </xdr:to>
    <xdr:graphicFrame macro="">
      <xdr:nvGraphicFramePr>
        <xdr:cNvPr id="10" name="Diagramm 9">
          <a:extLst>
            <a:ext uri="{FF2B5EF4-FFF2-40B4-BE49-F238E27FC236}">
              <a16:creationId xmlns:a16="http://schemas.microsoft.com/office/drawing/2014/main" id="{04BA66B6-8BFE-DF51-9422-1665EF934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352425</xdr:colOff>
      <xdr:row>0</xdr:row>
      <xdr:rowOff>19050</xdr:rowOff>
    </xdr:from>
    <xdr:to>
      <xdr:col>12</xdr:col>
      <xdr:colOff>251980</xdr:colOff>
      <xdr:row>0</xdr:row>
      <xdr:rowOff>338342</xdr:rowOff>
    </xdr:to>
    <xdr:pic>
      <xdr:nvPicPr>
        <xdr:cNvPr id="2" name="Picture 1">
          <a:extLst>
            <a:ext uri="{FF2B5EF4-FFF2-40B4-BE49-F238E27FC236}">
              <a16:creationId xmlns:a16="http://schemas.microsoft.com/office/drawing/2014/main" id="{F6591DFD-9027-41DF-B2B2-EF7C1377208C}"/>
            </a:ext>
          </a:extLst>
        </xdr:cNvPr>
        <xdr:cNvPicPr>
          <a:picLocks noChangeAspect="1"/>
        </xdr:cNvPicPr>
      </xdr:nvPicPr>
      <xdr:blipFill>
        <a:blip xmlns:r="http://schemas.openxmlformats.org/officeDocument/2006/relationships" r:embed="rId1"/>
        <a:stretch>
          <a:fillRect/>
        </a:stretch>
      </xdr:blipFill>
      <xdr:spPr>
        <a:xfrm>
          <a:off x="5172075" y="19050"/>
          <a:ext cx="1080655" cy="31929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333375</xdr:colOff>
      <xdr:row>0</xdr:row>
      <xdr:rowOff>0</xdr:rowOff>
    </xdr:from>
    <xdr:to>
      <xdr:col>12</xdr:col>
      <xdr:colOff>90055</xdr:colOff>
      <xdr:row>0</xdr:row>
      <xdr:rowOff>319292</xdr:rowOff>
    </xdr:to>
    <xdr:pic>
      <xdr:nvPicPr>
        <xdr:cNvPr id="2" name="Picture 1">
          <a:extLst>
            <a:ext uri="{FF2B5EF4-FFF2-40B4-BE49-F238E27FC236}">
              <a16:creationId xmlns:a16="http://schemas.microsoft.com/office/drawing/2014/main" id="{4B22E7A0-9260-40E6-93E6-169ADD25DEC9}"/>
            </a:ext>
          </a:extLst>
        </xdr:cNvPr>
        <xdr:cNvPicPr>
          <a:picLocks noChangeAspect="1"/>
        </xdr:cNvPicPr>
      </xdr:nvPicPr>
      <xdr:blipFill>
        <a:blip xmlns:r="http://schemas.openxmlformats.org/officeDocument/2006/relationships" r:embed="rId1"/>
        <a:stretch>
          <a:fillRect/>
        </a:stretch>
      </xdr:blipFill>
      <xdr:spPr>
        <a:xfrm>
          <a:off x="5153025" y="0"/>
          <a:ext cx="1080655" cy="31929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95250</xdr:colOff>
      <xdr:row>1</xdr:row>
      <xdr:rowOff>0</xdr:rowOff>
    </xdr:from>
    <xdr:to>
      <xdr:col>22</xdr:col>
      <xdr:colOff>400050</xdr:colOff>
      <xdr:row>16</xdr:row>
      <xdr:rowOff>76200</xdr:rowOff>
    </xdr:to>
    <xdr:graphicFrame macro="">
      <xdr:nvGraphicFramePr>
        <xdr:cNvPr id="5" name="Chart 4">
          <a:extLst>
            <a:ext uri="{FF2B5EF4-FFF2-40B4-BE49-F238E27FC236}">
              <a16:creationId xmlns:a16="http://schemas.microsoft.com/office/drawing/2014/main" id="{87394C74-BE6D-2001-E4F0-9678228C7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542925</xdr:colOff>
      <xdr:row>1</xdr:row>
      <xdr:rowOff>9525</xdr:rowOff>
    </xdr:from>
    <xdr:to>
      <xdr:col>30</xdr:col>
      <xdr:colOff>238125</xdr:colOff>
      <xdr:row>16</xdr:row>
      <xdr:rowOff>85725</xdr:rowOff>
    </xdr:to>
    <xdr:graphicFrame macro="">
      <xdr:nvGraphicFramePr>
        <xdr:cNvPr id="6" name="Chart 5">
          <a:extLst>
            <a:ext uri="{FF2B5EF4-FFF2-40B4-BE49-F238E27FC236}">
              <a16:creationId xmlns:a16="http://schemas.microsoft.com/office/drawing/2014/main" id="{412592D0-3795-4BA3-995F-4653FF943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381000</xdr:colOff>
      <xdr:row>0</xdr:row>
      <xdr:rowOff>19050</xdr:rowOff>
    </xdr:from>
    <xdr:to>
      <xdr:col>11</xdr:col>
      <xdr:colOff>823480</xdr:colOff>
      <xdr:row>0</xdr:row>
      <xdr:rowOff>338342</xdr:rowOff>
    </xdr:to>
    <xdr:pic>
      <xdr:nvPicPr>
        <xdr:cNvPr id="4" name="Picture 1">
          <a:extLst>
            <a:ext uri="{FF2B5EF4-FFF2-40B4-BE49-F238E27FC236}">
              <a16:creationId xmlns:a16="http://schemas.microsoft.com/office/drawing/2014/main" id="{A60E4315-4793-49CD-9353-629FE63CA0A9}"/>
            </a:ext>
          </a:extLst>
        </xdr:cNvPr>
        <xdr:cNvPicPr>
          <a:picLocks noChangeAspect="1"/>
        </xdr:cNvPicPr>
      </xdr:nvPicPr>
      <xdr:blipFill>
        <a:blip xmlns:r="http://schemas.openxmlformats.org/officeDocument/2006/relationships" r:embed="rId3"/>
        <a:stretch>
          <a:fillRect/>
        </a:stretch>
      </xdr:blipFill>
      <xdr:spPr>
        <a:xfrm>
          <a:off x="5324475" y="19050"/>
          <a:ext cx="1080655" cy="319292"/>
        </a:xfrm>
        <a:prstGeom prst="rect">
          <a:avLst/>
        </a:prstGeom>
      </xdr:spPr>
    </xdr:pic>
    <xdr:clientData/>
  </xdr:twoCellAnchor>
  <xdr:twoCellAnchor editAs="oneCell">
    <xdr:from>
      <xdr:col>15</xdr:col>
      <xdr:colOff>361950</xdr:colOff>
      <xdr:row>38</xdr:row>
      <xdr:rowOff>85725</xdr:rowOff>
    </xdr:from>
    <xdr:to>
      <xdr:col>20</xdr:col>
      <xdr:colOff>410007</xdr:colOff>
      <xdr:row>54</xdr:row>
      <xdr:rowOff>133821</xdr:rowOff>
    </xdr:to>
    <xdr:pic>
      <xdr:nvPicPr>
        <xdr:cNvPr id="3" name="Grafik 2">
          <a:extLst>
            <a:ext uri="{FF2B5EF4-FFF2-40B4-BE49-F238E27FC236}">
              <a16:creationId xmlns:a16="http://schemas.microsoft.com/office/drawing/2014/main" id="{FDE575FB-55C9-6B69-6EFA-A554CD7DA621}"/>
            </a:ext>
          </a:extLst>
        </xdr:cNvPr>
        <xdr:cNvPicPr>
          <a:picLocks noChangeAspect="1"/>
        </xdr:cNvPicPr>
      </xdr:nvPicPr>
      <xdr:blipFill>
        <a:blip xmlns:r="http://schemas.openxmlformats.org/officeDocument/2006/relationships" r:embed="rId4"/>
        <a:stretch>
          <a:fillRect/>
        </a:stretch>
      </xdr:blipFill>
      <xdr:spPr>
        <a:xfrm>
          <a:off x="9725025" y="8391525"/>
          <a:ext cx="3096057" cy="337232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523875</xdr:colOff>
      <xdr:row>0</xdr:row>
      <xdr:rowOff>38100</xdr:rowOff>
    </xdr:from>
    <xdr:to>
      <xdr:col>11</xdr:col>
      <xdr:colOff>994930</xdr:colOff>
      <xdr:row>0</xdr:row>
      <xdr:rowOff>357392</xdr:rowOff>
    </xdr:to>
    <xdr:pic>
      <xdr:nvPicPr>
        <xdr:cNvPr id="3" name="Picture 1">
          <a:extLst>
            <a:ext uri="{FF2B5EF4-FFF2-40B4-BE49-F238E27FC236}">
              <a16:creationId xmlns:a16="http://schemas.microsoft.com/office/drawing/2014/main" id="{086C3372-5209-4C91-BA0B-73A0FD1334CB}"/>
            </a:ext>
          </a:extLst>
        </xdr:cNvPr>
        <xdr:cNvPicPr>
          <a:picLocks noChangeAspect="1"/>
        </xdr:cNvPicPr>
      </xdr:nvPicPr>
      <xdr:blipFill>
        <a:blip xmlns:r="http://schemas.openxmlformats.org/officeDocument/2006/relationships" r:embed="rId1"/>
        <a:stretch>
          <a:fillRect/>
        </a:stretch>
      </xdr:blipFill>
      <xdr:spPr>
        <a:xfrm>
          <a:off x="6210300" y="38100"/>
          <a:ext cx="1080655" cy="31929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11</xdr:col>
      <xdr:colOff>1080655</xdr:colOff>
      <xdr:row>0</xdr:row>
      <xdr:rowOff>319292</xdr:rowOff>
    </xdr:to>
    <xdr:pic>
      <xdr:nvPicPr>
        <xdr:cNvPr id="2" name="Picture 1">
          <a:extLst>
            <a:ext uri="{FF2B5EF4-FFF2-40B4-BE49-F238E27FC236}">
              <a16:creationId xmlns:a16="http://schemas.microsoft.com/office/drawing/2014/main" id="{3745FF21-AFCA-4F2E-A86A-D5DC4617E2FB}"/>
            </a:ext>
          </a:extLst>
        </xdr:cNvPr>
        <xdr:cNvPicPr>
          <a:picLocks noChangeAspect="1"/>
        </xdr:cNvPicPr>
      </xdr:nvPicPr>
      <xdr:blipFill>
        <a:blip xmlns:r="http://schemas.openxmlformats.org/officeDocument/2006/relationships" r:embed="rId1"/>
        <a:stretch>
          <a:fillRect/>
        </a:stretch>
      </xdr:blipFill>
      <xdr:spPr>
        <a:xfrm>
          <a:off x="6553200" y="0"/>
          <a:ext cx="1080655" cy="31929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38100</xdr:colOff>
      <xdr:row>9</xdr:row>
      <xdr:rowOff>357187</xdr:rowOff>
    </xdr:from>
    <xdr:to>
      <xdr:col>20</xdr:col>
      <xdr:colOff>342900</xdr:colOff>
      <xdr:row>25</xdr:row>
      <xdr:rowOff>4762</xdr:rowOff>
    </xdr:to>
    <xdr:graphicFrame macro="">
      <xdr:nvGraphicFramePr>
        <xdr:cNvPr id="3" name="Chart 2">
          <a:extLst>
            <a:ext uri="{FF2B5EF4-FFF2-40B4-BE49-F238E27FC236}">
              <a16:creationId xmlns:a16="http://schemas.microsoft.com/office/drawing/2014/main" id="{27991339-FF9C-9879-8694-7A3253D16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180974</xdr:colOff>
      <xdr:row>10</xdr:row>
      <xdr:rowOff>90487</xdr:rowOff>
    </xdr:from>
    <xdr:to>
      <xdr:col>15</xdr:col>
      <xdr:colOff>438149</xdr:colOff>
      <xdr:row>26</xdr:row>
      <xdr:rowOff>85725</xdr:rowOff>
    </xdr:to>
    <xdr:graphicFrame macro="">
      <xdr:nvGraphicFramePr>
        <xdr:cNvPr id="2" name="Chart 1">
          <a:extLst>
            <a:ext uri="{FF2B5EF4-FFF2-40B4-BE49-F238E27FC236}">
              <a16:creationId xmlns:a16="http://schemas.microsoft.com/office/drawing/2014/main" id="{89065B34-CD75-4B8E-8D2D-914B79092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85725</xdr:colOff>
      <xdr:row>3</xdr:row>
      <xdr:rowOff>85725</xdr:rowOff>
    </xdr:from>
    <xdr:to>
      <xdr:col>5</xdr:col>
      <xdr:colOff>1085850</xdr:colOff>
      <xdr:row>4</xdr:row>
      <xdr:rowOff>6794</xdr:rowOff>
    </xdr:to>
    <xdr:pic>
      <xdr:nvPicPr>
        <xdr:cNvPr id="4" name="Grafik 3">
          <a:extLst>
            <a:ext uri="{FF2B5EF4-FFF2-40B4-BE49-F238E27FC236}">
              <a16:creationId xmlns:a16="http://schemas.microsoft.com/office/drawing/2014/main" id="{7B15432B-E255-0A86-7281-153DCB7ADEE5}"/>
            </a:ext>
          </a:extLst>
        </xdr:cNvPr>
        <xdr:cNvPicPr>
          <a:picLocks noChangeAspect="1"/>
        </xdr:cNvPicPr>
      </xdr:nvPicPr>
      <xdr:blipFill>
        <a:blip xmlns:r="http://schemas.openxmlformats.org/officeDocument/2006/relationships" r:embed="rId2"/>
        <a:stretch>
          <a:fillRect/>
        </a:stretch>
      </xdr:blipFill>
      <xdr:spPr>
        <a:xfrm>
          <a:off x="3648075" y="685800"/>
          <a:ext cx="1000125" cy="3496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119062</xdr:colOff>
      <xdr:row>10</xdr:row>
      <xdr:rowOff>71437</xdr:rowOff>
    </xdr:from>
    <xdr:to>
      <xdr:col>9</xdr:col>
      <xdr:colOff>99562</xdr:colOff>
      <xdr:row>19</xdr:row>
      <xdr:rowOff>128362</xdr:rowOff>
    </xdr:to>
    <xdr:graphicFrame macro="">
      <xdr:nvGraphicFramePr>
        <xdr:cNvPr id="10" name="Diagramm 9">
          <a:extLst>
            <a:ext uri="{FF2B5EF4-FFF2-40B4-BE49-F238E27FC236}">
              <a16:creationId xmlns:a16="http://schemas.microsoft.com/office/drawing/2014/main" id="{654E7A6D-C683-D24E-1253-66F26D6E2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10</xdr:row>
      <xdr:rowOff>95250</xdr:rowOff>
    </xdr:from>
    <xdr:to>
      <xdr:col>14</xdr:col>
      <xdr:colOff>628200</xdr:colOff>
      <xdr:row>19</xdr:row>
      <xdr:rowOff>152175</xdr:rowOff>
    </xdr:to>
    <xdr:graphicFrame macro="">
      <xdr:nvGraphicFramePr>
        <xdr:cNvPr id="11" name="Diagramm 10">
          <a:extLst>
            <a:ext uri="{FF2B5EF4-FFF2-40B4-BE49-F238E27FC236}">
              <a16:creationId xmlns:a16="http://schemas.microsoft.com/office/drawing/2014/main" id="{A05BC667-128B-4D3F-91F6-5727C9B31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xdr:colOff>
      <xdr:row>10</xdr:row>
      <xdr:rowOff>90487</xdr:rowOff>
    </xdr:from>
    <xdr:to>
      <xdr:col>19</xdr:col>
      <xdr:colOff>590100</xdr:colOff>
      <xdr:row>19</xdr:row>
      <xdr:rowOff>147412</xdr:rowOff>
    </xdr:to>
    <xdr:graphicFrame macro="">
      <xdr:nvGraphicFramePr>
        <xdr:cNvPr id="15" name="Diagramm 14">
          <a:extLst>
            <a:ext uri="{FF2B5EF4-FFF2-40B4-BE49-F238E27FC236}">
              <a16:creationId xmlns:a16="http://schemas.microsoft.com/office/drawing/2014/main" id="{169482C4-E587-2A19-8E43-F5C412B4D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238125</xdr:colOff>
      <xdr:row>29</xdr:row>
      <xdr:rowOff>85725</xdr:rowOff>
    </xdr:from>
    <xdr:ext cx="362728" cy="468013"/>
    <xdr:sp macro="" textlink="">
      <xdr:nvSpPr>
        <xdr:cNvPr id="16" name="Textfeld 15">
          <a:extLst>
            <a:ext uri="{FF2B5EF4-FFF2-40B4-BE49-F238E27FC236}">
              <a16:creationId xmlns:a16="http://schemas.microsoft.com/office/drawing/2014/main" id="{4713A5DA-B27E-9B7E-F4F8-FB1F89F8353C}"/>
            </a:ext>
          </a:extLst>
        </xdr:cNvPr>
        <xdr:cNvSpPr txBox="1"/>
      </xdr:nvSpPr>
      <xdr:spPr>
        <a:xfrm>
          <a:off x="2771775" y="5781675"/>
          <a:ext cx="36272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400"/>
            <a:t>A</a:t>
          </a:r>
          <a:endParaRPr lang="en-DE" sz="24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15</xdr:col>
      <xdr:colOff>90487</xdr:colOff>
      <xdr:row>2</xdr:row>
      <xdr:rowOff>161925</xdr:rowOff>
    </xdr:from>
    <xdr:to>
      <xdr:col>20</xdr:col>
      <xdr:colOff>517578</xdr:colOff>
      <xdr:row>12</xdr:row>
      <xdr:rowOff>56925</xdr:rowOff>
    </xdr:to>
    <xdr:graphicFrame macro="">
      <xdr:nvGraphicFramePr>
        <xdr:cNvPr id="3" name="Chart 2">
          <a:extLst>
            <a:ext uri="{FF2B5EF4-FFF2-40B4-BE49-F238E27FC236}">
              <a16:creationId xmlns:a16="http://schemas.microsoft.com/office/drawing/2014/main" id="{D6B6ECC5-4A38-988E-1D3D-445B0D0D3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466725</xdr:colOff>
      <xdr:row>2</xdr:row>
      <xdr:rowOff>152400</xdr:rowOff>
    </xdr:from>
    <xdr:to>
      <xdr:col>27</xdr:col>
      <xdr:colOff>429907</xdr:colOff>
      <xdr:row>12</xdr:row>
      <xdr:rowOff>47400</xdr:rowOff>
    </xdr:to>
    <xdr:graphicFrame macro="">
      <xdr:nvGraphicFramePr>
        <xdr:cNvPr id="4" name="Chart 3">
          <a:extLst>
            <a:ext uri="{FF2B5EF4-FFF2-40B4-BE49-F238E27FC236}">
              <a16:creationId xmlns:a16="http://schemas.microsoft.com/office/drawing/2014/main" id="{3E7E1982-7E78-412A-B2A3-82994E363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428625</xdr:colOff>
      <xdr:row>2</xdr:row>
      <xdr:rowOff>104775</xdr:rowOff>
    </xdr:from>
    <xdr:to>
      <xdr:col>35</xdr:col>
      <xdr:colOff>261938</xdr:colOff>
      <xdr:row>16</xdr:row>
      <xdr:rowOff>180975</xdr:rowOff>
    </xdr:to>
    <xdr:graphicFrame macro="">
      <xdr:nvGraphicFramePr>
        <xdr:cNvPr id="5" name="Chart 4">
          <a:extLst>
            <a:ext uri="{FF2B5EF4-FFF2-40B4-BE49-F238E27FC236}">
              <a16:creationId xmlns:a16="http://schemas.microsoft.com/office/drawing/2014/main" id="{6F0514B9-E3C2-424D-8B4E-D45AA03FA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495300</xdr:colOff>
      <xdr:row>0</xdr:row>
      <xdr:rowOff>47625</xdr:rowOff>
    </xdr:from>
    <xdr:to>
      <xdr:col>12</xdr:col>
      <xdr:colOff>352424</xdr:colOff>
      <xdr:row>0</xdr:row>
      <xdr:rowOff>366917</xdr:rowOff>
    </xdr:to>
    <xdr:pic>
      <xdr:nvPicPr>
        <xdr:cNvPr id="7" name="Picture 6">
          <a:extLst>
            <a:ext uri="{FF2B5EF4-FFF2-40B4-BE49-F238E27FC236}">
              <a16:creationId xmlns:a16="http://schemas.microsoft.com/office/drawing/2014/main" id="{6D82D7DA-8758-463A-BFFD-26C2A5564A6A}"/>
            </a:ext>
          </a:extLst>
        </xdr:cNvPr>
        <xdr:cNvPicPr>
          <a:picLocks noChangeAspect="1"/>
        </xdr:cNvPicPr>
      </xdr:nvPicPr>
      <xdr:blipFill>
        <a:blip xmlns:r="http://schemas.openxmlformats.org/officeDocument/2006/relationships" r:embed="rId4"/>
        <a:stretch>
          <a:fillRect/>
        </a:stretch>
      </xdr:blipFill>
      <xdr:spPr>
        <a:xfrm>
          <a:off x="5124450" y="47625"/>
          <a:ext cx="1076325" cy="319292"/>
        </a:xfrm>
        <a:prstGeom prst="rect">
          <a:avLst/>
        </a:prstGeom>
      </xdr:spPr>
    </xdr:pic>
    <xdr:clientData/>
  </xdr:twoCellAnchor>
  <xdr:twoCellAnchor>
    <xdr:from>
      <xdr:col>15</xdr:col>
      <xdr:colOff>273628</xdr:colOff>
      <xdr:row>12</xdr:row>
      <xdr:rowOff>113440</xdr:rowOff>
    </xdr:from>
    <xdr:to>
      <xdr:col>20</xdr:col>
      <xdr:colOff>330328</xdr:colOff>
      <xdr:row>22</xdr:row>
      <xdr:rowOff>189415</xdr:rowOff>
    </xdr:to>
    <xdr:graphicFrame macro="">
      <xdr:nvGraphicFramePr>
        <xdr:cNvPr id="2" name="Diagramm 1">
          <a:extLst>
            <a:ext uri="{FF2B5EF4-FFF2-40B4-BE49-F238E27FC236}">
              <a16:creationId xmlns:a16="http://schemas.microsoft.com/office/drawing/2014/main" id="{1DA78F61-2D93-4AD6-2DB4-5B8E20BB6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0</xdr:row>
      <xdr:rowOff>0</xdr:rowOff>
    </xdr:from>
    <xdr:to>
      <xdr:col>15</xdr:col>
      <xdr:colOff>180975</xdr:colOff>
      <xdr:row>0</xdr:row>
      <xdr:rowOff>363716</xdr:rowOff>
    </xdr:to>
    <xdr:pic>
      <xdr:nvPicPr>
        <xdr:cNvPr id="6" name="Grafik 5">
          <a:extLst>
            <a:ext uri="{FF2B5EF4-FFF2-40B4-BE49-F238E27FC236}">
              <a16:creationId xmlns:a16="http://schemas.microsoft.com/office/drawing/2014/main" id="{103B000C-D6DA-41DE-919A-E8B0284FF5BA}"/>
            </a:ext>
          </a:extLst>
        </xdr:cNvPr>
        <xdr:cNvPicPr>
          <a:picLocks noChangeAspect="1"/>
        </xdr:cNvPicPr>
      </xdr:nvPicPr>
      <xdr:blipFill>
        <a:blip xmlns:r="http://schemas.openxmlformats.org/officeDocument/2006/relationships" r:embed="rId6"/>
        <a:stretch>
          <a:fillRect/>
        </a:stretch>
      </xdr:blipFill>
      <xdr:spPr>
        <a:xfrm>
          <a:off x="6648450" y="0"/>
          <a:ext cx="2657475" cy="363716"/>
        </a:xfrm>
        <a:prstGeom prst="rect">
          <a:avLst/>
        </a:prstGeom>
      </xdr:spPr>
    </xdr:pic>
    <xdr:clientData/>
  </xdr:twoCellAnchor>
  <xdr:twoCellAnchor>
    <xdr:from>
      <xdr:col>15</xdr:col>
      <xdr:colOff>164523</xdr:colOff>
      <xdr:row>24</xdr:row>
      <xdr:rowOff>83128</xdr:rowOff>
    </xdr:from>
    <xdr:to>
      <xdr:col>20</xdr:col>
      <xdr:colOff>231614</xdr:colOff>
      <xdr:row>32</xdr:row>
      <xdr:rowOff>159969</xdr:rowOff>
    </xdr:to>
    <xdr:graphicFrame macro="">
      <xdr:nvGraphicFramePr>
        <xdr:cNvPr id="10" name="Diagramm 9">
          <a:extLst>
            <a:ext uri="{FF2B5EF4-FFF2-40B4-BE49-F238E27FC236}">
              <a16:creationId xmlns:a16="http://schemas.microsoft.com/office/drawing/2014/main" id="{35F4F7F5-2F85-94BE-92C4-538011BB3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155864</xdr:colOff>
      <xdr:row>33</xdr:row>
      <xdr:rowOff>86591</xdr:rowOff>
    </xdr:from>
    <xdr:to>
      <xdr:col>20</xdr:col>
      <xdr:colOff>222955</xdr:colOff>
      <xdr:row>42</xdr:row>
      <xdr:rowOff>172091</xdr:rowOff>
    </xdr:to>
    <xdr:graphicFrame macro="">
      <xdr:nvGraphicFramePr>
        <xdr:cNvPr id="11" name="Diagramm 10">
          <a:extLst>
            <a:ext uri="{FF2B5EF4-FFF2-40B4-BE49-F238E27FC236}">
              <a16:creationId xmlns:a16="http://schemas.microsoft.com/office/drawing/2014/main" id="{4EFEEAF4-D2AD-40AC-BC81-462E5B02C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285750</xdr:colOff>
      <xdr:row>24</xdr:row>
      <xdr:rowOff>69272</xdr:rowOff>
    </xdr:from>
    <xdr:to>
      <xdr:col>26</xdr:col>
      <xdr:colOff>248931</xdr:colOff>
      <xdr:row>32</xdr:row>
      <xdr:rowOff>146113</xdr:rowOff>
    </xdr:to>
    <xdr:graphicFrame macro="">
      <xdr:nvGraphicFramePr>
        <xdr:cNvPr id="12" name="Diagramm 11">
          <a:extLst>
            <a:ext uri="{FF2B5EF4-FFF2-40B4-BE49-F238E27FC236}">
              <a16:creationId xmlns:a16="http://schemas.microsoft.com/office/drawing/2014/main" id="{05C8E4D8-32E7-454F-B236-ED06C673F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151533</xdr:colOff>
      <xdr:row>51</xdr:row>
      <xdr:rowOff>156727</xdr:rowOff>
    </xdr:from>
    <xdr:to>
      <xdr:col>14</xdr:col>
      <xdr:colOff>357169</xdr:colOff>
      <xdr:row>73</xdr:row>
      <xdr:rowOff>155863</xdr:rowOff>
    </xdr:to>
    <xdr:graphicFrame macro="">
      <xdr:nvGraphicFramePr>
        <xdr:cNvPr id="13" name="Diagramm 12">
          <a:extLst>
            <a:ext uri="{FF2B5EF4-FFF2-40B4-BE49-F238E27FC236}">
              <a16:creationId xmlns:a16="http://schemas.microsoft.com/office/drawing/2014/main" id="{A04AC768-FCEF-A227-B7B1-E63995902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62</xdr:row>
      <xdr:rowOff>0</xdr:rowOff>
    </xdr:from>
    <xdr:to>
      <xdr:col>12</xdr:col>
      <xdr:colOff>284278</xdr:colOff>
      <xdr:row>70</xdr:row>
      <xdr:rowOff>173448</xdr:rowOff>
    </xdr:to>
    <xdr:pic>
      <xdr:nvPicPr>
        <xdr:cNvPr id="8" name="Grafik 7">
          <a:extLst>
            <a:ext uri="{FF2B5EF4-FFF2-40B4-BE49-F238E27FC236}">
              <a16:creationId xmlns:a16="http://schemas.microsoft.com/office/drawing/2014/main" id="{EE7B6D9D-8975-DC29-2944-5750E9921F12}"/>
            </a:ext>
          </a:extLst>
        </xdr:cNvPr>
        <xdr:cNvPicPr>
          <a:picLocks noChangeAspect="1"/>
        </xdr:cNvPicPr>
      </xdr:nvPicPr>
      <xdr:blipFill>
        <a:blip xmlns:r="http://schemas.openxmlformats.org/officeDocument/2006/relationships" r:embed="rId11"/>
        <a:stretch>
          <a:fillRect/>
        </a:stretch>
      </xdr:blipFill>
      <xdr:spPr>
        <a:xfrm>
          <a:off x="0" y="12668250"/>
          <a:ext cx="8068801" cy="1905266"/>
        </a:xfrm>
        <a:prstGeom prst="rect">
          <a:avLst/>
        </a:prstGeom>
      </xdr:spPr>
    </xdr:pic>
    <xdr:clientData/>
  </xdr:twoCellAnchor>
  <xdr:twoCellAnchor editAs="oneCell">
    <xdr:from>
      <xdr:col>14</xdr:col>
      <xdr:colOff>450272</xdr:colOff>
      <xdr:row>23</xdr:row>
      <xdr:rowOff>77933</xdr:rowOff>
    </xdr:from>
    <xdr:to>
      <xdr:col>26</xdr:col>
      <xdr:colOff>327573</xdr:colOff>
      <xdr:row>32</xdr:row>
      <xdr:rowOff>69540</xdr:rowOff>
    </xdr:to>
    <xdr:pic>
      <xdr:nvPicPr>
        <xdr:cNvPr id="9" name="Grafik 8">
          <a:extLst>
            <a:ext uri="{FF2B5EF4-FFF2-40B4-BE49-F238E27FC236}">
              <a16:creationId xmlns:a16="http://schemas.microsoft.com/office/drawing/2014/main" id="{547FB202-E3DE-AF18-B430-A862A3DEE401}"/>
            </a:ext>
          </a:extLst>
        </xdr:cNvPr>
        <xdr:cNvPicPr>
          <a:picLocks noChangeAspect="1"/>
        </xdr:cNvPicPr>
      </xdr:nvPicPr>
      <xdr:blipFill>
        <a:blip xmlns:r="http://schemas.openxmlformats.org/officeDocument/2006/relationships" r:embed="rId11"/>
        <a:stretch>
          <a:fillRect/>
        </a:stretch>
      </xdr:blipFill>
      <xdr:spPr>
        <a:xfrm>
          <a:off x="10408227" y="4875069"/>
          <a:ext cx="8068801" cy="19052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21</xdr:col>
      <xdr:colOff>40699</xdr:colOff>
      <xdr:row>1</xdr:row>
      <xdr:rowOff>42429</xdr:rowOff>
    </xdr:from>
    <xdr:to>
      <xdr:col>26</xdr:col>
      <xdr:colOff>592699</xdr:colOff>
      <xdr:row>9</xdr:row>
      <xdr:rowOff>89829</xdr:rowOff>
    </xdr:to>
    <xdr:graphicFrame macro="">
      <xdr:nvGraphicFramePr>
        <xdr:cNvPr id="4" name="Chart 3">
          <a:extLst>
            <a:ext uri="{FF2B5EF4-FFF2-40B4-BE49-F238E27FC236}">
              <a16:creationId xmlns:a16="http://schemas.microsoft.com/office/drawing/2014/main" id="{1A1BBF02-E174-FB50-ED43-6816EF516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97847</xdr:colOff>
      <xdr:row>1</xdr:row>
      <xdr:rowOff>34637</xdr:rowOff>
    </xdr:from>
    <xdr:to>
      <xdr:col>20</xdr:col>
      <xdr:colOff>583172</xdr:colOff>
      <xdr:row>9</xdr:row>
      <xdr:rowOff>82037</xdr:rowOff>
    </xdr:to>
    <xdr:graphicFrame macro="">
      <xdr:nvGraphicFramePr>
        <xdr:cNvPr id="5" name="Chart 4">
          <a:extLst>
            <a:ext uri="{FF2B5EF4-FFF2-40B4-BE49-F238E27FC236}">
              <a16:creationId xmlns:a16="http://schemas.microsoft.com/office/drawing/2014/main" id="{6BE7BBC7-7F0C-4C40-A924-7C83496BD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562841</xdr:colOff>
      <xdr:row>1</xdr:row>
      <xdr:rowOff>80529</xdr:rowOff>
    </xdr:from>
    <xdr:to>
      <xdr:col>32</xdr:col>
      <xdr:colOff>505241</xdr:colOff>
      <xdr:row>9</xdr:row>
      <xdr:rowOff>127929</xdr:rowOff>
    </xdr:to>
    <xdr:graphicFrame macro="">
      <xdr:nvGraphicFramePr>
        <xdr:cNvPr id="6" name="Chart 5">
          <a:extLst>
            <a:ext uri="{FF2B5EF4-FFF2-40B4-BE49-F238E27FC236}">
              <a16:creationId xmlns:a16="http://schemas.microsoft.com/office/drawing/2014/main" id="{B8155A94-76D0-465A-8DD5-82A2D990E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516081</xdr:colOff>
      <xdr:row>13</xdr:row>
      <xdr:rowOff>164523</xdr:rowOff>
    </xdr:from>
    <xdr:to>
      <xdr:col>26</xdr:col>
      <xdr:colOff>458481</xdr:colOff>
      <xdr:row>23</xdr:row>
      <xdr:rowOff>49998</xdr:rowOff>
    </xdr:to>
    <xdr:graphicFrame macro="">
      <xdr:nvGraphicFramePr>
        <xdr:cNvPr id="8" name="Chart 7">
          <a:extLst>
            <a:ext uri="{FF2B5EF4-FFF2-40B4-BE49-F238E27FC236}">
              <a16:creationId xmlns:a16="http://schemas.microsoft.com/office/drawing/2014/main" id="{F84E27B7-19D2-A319-49F3-32805EB91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115167</xdr:colOff>
      <xdr:row>13</xdr:row>
      <xdr:rowOff>169717</xdr:rowOff>
    </xdr:from>
    <xdr:to>
      <xdr:col>20</xdr:col>
      <xdr:colOff>600492</xdr:colOff>
      <xdr:row>23</xdr:row>
      <xdr:rowOff>55192</xdr:rowOff>
    </xdr:to>
    <xdr:graphicFrame macro="">
      <xdr:nvGraphicFramePr>
        <xdr:cNvPr id="10" name="Chart 9">
          <a:extLst>
            <a:ext uri="{FF2B5EF4-FFF2-40B4-BE49-F238E27FC236}">
              <a16:creationId xmlns:a16="http://schemas.microsoft.com/office/drawing/2014/main" id="{AFB2B020-AE92-4B6A-97D2-9AAA47B75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458932</xdr:colOff>
      <xdr:row>0</xdr:row>
      <xdr:rowOff>17319</xdr:rowOff>
    </xdr:from>
    <xdr:to>
      <xdr:col>12</xdr:col>
      <xdr:colOff>348962</xdr:colOff>
      <xdr:row>0</xdr:row>
      <xdr:rowOff>336611</xdr:rowOff>
    </xdr:to>
    <xdr:pic>
      <xdr:nvPicPr>
        <xdr:cNvPr id="2" name="Picture 1">
          <a:extLst>
            <a:ext uri="{FF2B5EF4-FFF2-40B4-BE49-F238E27FC236}">
              <a16:creationId xmlns:a16="http://schemas.microsoft.com/office/drawing/2014/main" id="{AF537232-96AD-4F45-AACF-79792E55A569}"/>
            </a:ext>
          </a:extLst>
        </xdr:cNvPr>
        <xdr:cNvPicPr>
          <a:picLocks noChangeAspect="1"/>
        </xdr:cNvPicPr>
      </xdr:nvPicPr>
      <xdr:blipFill>
        <a:blip xmlns:r="http://schemas.openxmlformats.org/officeDocument/2006/relationships" r:embed="rId6"/>
        <a:stretch>
          <a:fillRect/>
        </a:stretch>
      </xdr:blipFill>
      <xdr:spPr>
        <a:xfrm>
          <a:off x="5082887" y="17319"/>
          <a:ext cx="1076325" cy="319292"/>
        </a:xfrm>
        <a:prstGeom prst="rect">
          <a:avLst/>
        </a:prstGeom>
      </xdr:spPr>
    </xdr:pic>
    <xdr:clientData/>
  </xdr:twoCellAnchor>
  <xdr:twoCellAnchor>
    <xdr:from>
      <xdr:col>16</xdr:col>
      <xdr:colOff>240723</xdr:colOff>
      <xdr:row>25</xdr:row>
      <xdr:rowOff>123825</xdr:rowOff>
    </xdr:from>
    <xdr:to>
      <xdr:col>21</xdr:col>
      <xdr:colOff>116448</xdr:colOff>
      <xdr:row>35</xdr:row>
      <xdr:rowOff>18825</xdr:rowOff>
    </xdr:to>
    <xdr:graphicFrame macro="">
      <xdr:nvGraphicFramePr>
        <xdr:cNvPr id="11" name="Diagramm 10">
          <a:extLst>
            <a:ext uri="{FF2B5EF4-FFF2-40B4-BE49-F238E27FC236}">
              <a16:creationId xmlns:a16="http://schemas.microsoft.com/office/drawing/2014/main" id="{6D40AF15-9E66-4148-B0F2-F8F7C02DB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1160318</xdr:colOff>
      <xdr:row>0</xdr:row>
      <xdr:rowOff>95250</xdr:rowOff>
    </xdr:from>
    <xdr:to>
      <xdr:col>15</xdr:col>
      <xdr:colOff>61479</xdr:colOff>
      <xdr:row>0</xdr:row>
      <xdr:rowOff>272612</xdr:rowOff>
    </xdr:to>
    <xdr:pic>
      <xdr:nvPicPr>
        <xdr:cNvPr id="13" name="Grafik 12">
          <a:extLst>
            <a:ext uri="{FF2B5EF4-FFF2-40B4-BE49-F238E27FC236}">
              <a16:creationId xmlns:a16="http://schemas.microsoft.com/office/drawing/2014/main" id="{FBA1DA2E-BA70-47BD-9A13-E0D835C506F0}"/>
            </a:ext>
          </a:extLst>
        </xdr:cNvPr>
        <xdr:cNvPicPr>
          <a:picLocks noChangeAspect="1"/>
        </xdr:cNvPicPr>
      </xdr:nvPicPr>
      <xdr:blipFill>
        <a:blip xmlns:r="http://schemas.openxmlformats.org/officeDocument/2006/relationships" r:embed="rId8"/>
        <a:stretch>
          <a:fillRect/>
        </a:stretch>
      </xdr:blipFill>
      <xdr:spPr>
        <a:xfrm>
          <a:off x="7559386" y="95250"/>
          <a:ext cx="771525" cy="177362"/>
        </a:xfrm>
        <a:prstGeom prst="rect">
          <a:avLst/>
        </a:prstGeom>
      </xdr:spPr>
    </xdr:pic>
    <xdr:clientData/>
  </xdr:twoCellAnchor>
  <xdr:twoCellAnchor>
    <xdr:from>
      <xdr:col>28</xdr:col>
      <xdr:colOff>238125</xdr:colOff>
      <xdr:row>10</xdr:row>
      <xdr:rowOff>133350</xdr:rowOff>
    </xdr:from>
    <xdr:to>
      <xdr:col>34</xdr:col>
      <xdr:colOff>577561</xdr:colOff>
      <xdr:row>24</xdr:row>
      <xdr:rowOff>45893</xdr:rowOff>
    </xdr:to>
    <xdr:graphicFrame macro="">
      <xdr:nvGraphicFramePr>
        <xdr:cNvPr id="15" name="Chart 5">
          <a:extLst>
            <a:ext uri="{FF2B5EF4-FFF2-40B4-BE49-F238E27FC236}">
              <a16:creationId xmlns:a16="http://schemas.microsoft.com/office/drawing/2014/main" id="{29D3F358-54EA-4790-909B-3AB2D194F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333375</xdr:colOff>
      <xdr:row>0</xdr:row>
      <xdr:rowOff>0</xdr:rowOff>
    </xdr:from>
    <xdr:to>
      <xdr:col>18</xdr:col>
      <xdr:colOff>47625</xdr:colOff>
      <xdr:row>0</xdr:row>
      <xdr:rowOff>363716</xdr:rowOff>
    </xdr:to>
    <xdr:pic>
      <xdr:nvPicPr>
        <xdr:cNvPr id="18" name="Grafik 17">
          <a:extLst>
            <a:ext uri="{FF2B5EF4-FFF2-40B4-BE49-F238E27FC236}">
              <a16:creationId xmlns:a16="http://schemas.microsoft.com/office/drawing/2014/main" id="{58C97D49-E7AE-47A8-B16F-DBE2BC52135E}"/>
            </a:ext>
          </a:extLst>
        </xdr:cNvPr>
        <xdr:cNvPicPr>
          <a:picLocks noChangeAspect="1"/>
        </xdr:cNvPicPr>
      </xdr:nvPicPr>
      <xdr:blipFill>
        <a:blip xmlns:r="http://schemas.openxmlformats.org/officeDocument/2006/relationships" r:embed="rId10"/>
        <a:stretch>
          <a:fillRect/>
        </a:stretch>
      </xdr:blipFill>
      <xdr:spPr>
        <a:xfrm>
          <a:off x="8620125" y="0"/>
          <a:ext cx="2657475" cy="36371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981075</xdr:colOff>
      <xdr:row>1</xdr:row>
      <xdr:rowOff>47625</xdr:rowOff>
    </xdr:from>
    <xdr:to>
      <xdr:col>13</xdr:col>
      <xdr:colOff>571500</xdr:colOff>
      <xdr:row>1</xdr:row>
      <xdr:rowOff>366917</xdr:rowOff>
    </xdr:to>
    <xdr:pic>
      <xdr:nvPicPr>
        <xdr:cNvPr id="17" name="Picture 16">
          <a:extLst>
            <a:ext uri="{FF2B5EF4-FFF2-40B4-BE49-F238E27FC236}">
              <a16:creationId xmlns:a16="http://schemas.microsoft.com/office/drawing/2014/main" id="{0C230721-D7E1-40D4-BC5F-C450F4B48421}"/>
            </a:ext>
          </a:extLst>
        </xdr:cNvPr>
        <xdr:cNvPicPr>
          <a:picLocks noChangeAspect="1"/>
        </xdr:cNvPicPr>
      </xdr:nvPicPr>
      <xdr:blipFill>
        <a:blip xmlns:r="http://schemas.openxmlformats.org/officeDocument/2006/relationships" r:embed="rId1"/>
        <a:stretch>
          <a:fillRect/>
        </a:stretch>
      </xdr:blipFill>
      <xdr:spPr>
        <a:xfrm>
          <a:off x="5514975" y="47625"/>
          <a:ext cx="1076325" cy="319292"/>
        </a:xfrm>
        <a:prstGeom prst="rect">
          <a:avLst/>
        </a:prstGeom>
      </xdr:spPr>
    </xdr:pic>
    <xdr:clientData/>
  </xdr:twoCellAnchor>
  <xdr:twoCellAnchor editAs="oneCell">
    <xdr:from>
      <xdr:col>15</xdr:col>
      <xdr:colOff>0</xdr:colOff>
      <xdr:row>1</xdr:row>
      <xdr:rowOff>0</xdr:rowOff>
    </xdr:from>
    <xdr:to>
      <xdr:col>18</xdr:col>
      <xdr:colOff>428625</xdr:colOff>
      <xdr:row>1</xdr:row>
      <xdr:rowOff>363716</xdr:rowOff>
    </xdr:to>
    <xdr:pic>
      <xdr:nvPicPr>
        <xdr:cNvPr id="18" name="Grafik 18">
          <a:extLst>
            <a:ext uri="{FF2B5EF4-FFF2-40B4-BE49-F238E27FC236}">
              <a16:creationId xmlns:a16="http://schemas.microsoft.com/office/drawing/2014/main" id="{7F48AC15-D563-471E-A95C-96C91AB728E7}"/>
            </a:ext>
          </a:extLst>
        </xdr:cNvPr>
        <xdr:cNvPicPr>
          <a:picLocks noChangeAspect="1"/>
        </xdr:cNvPicPr>
      </xdr:nvPicPr>
      <xdr:blipFill>
        <a:blip xmlns:r="http://schemas.openxmlformats.org/officeDocument/2006/relationships" r:embed="rId2"/>
        <a:stretch>
          <a:fillRect/>
        </a:stretch>
      </xdr:blipFill>
      <xdr:spPr>
        <a:xfrm>
          <a:off x="7943850" y="0"/>
          <a:ext cx="2657475" cy="36371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28</xdr:col>
      <xdr:colOff>485775</xdr:colOff>
      <xdr:row>1</xdr:row>
      <xdr:rowOff>0</xdr:rowOff>
    </xdr:from>
    <xdr:to>
      <xdr:col>35</xdr:col>
      <xdr:colOff>420543</xdr:colOff>
      <xdr:row>16</xdr:row>
      <xdr:rowOff>123825</xdr:rowOff>
    </xdr:to>
    <xdr:graphicFrame macro="">
      <xdr:nvGraphicFramePr>
        <xdr:cNvPr id="2" name="Chart 1">
          <a:extLst>
            <a:ext uri="{FF2B5EF4-FFF2-40B4-BE49-F238E27FC236}">
              <a16:creationId xmlns:a16="http://schemas.microsoft.com/office/drawing/2014/main" id="{0A28D718-DF62-1904-ECBA-FD1A0D84C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66675</xdr:colOff>
      <xdr:row>1</xdr:row>
      <xdr:rowOff>9525</xdr:rowOff>
    </xdr:from>
    <xdr:to>
      <xdr:col>21</xdr:col>
      <xdr:colOff>493316</xdr:colOff>
      <xdr:row>16</xdr:row>
      <xdr:rowOff>115238</xdr:rowOff>
    </xdr:to>
    <xdr:graphicFrame macro="">
      <xdr:nvGraphicFramePr>
        <xdr:cNvPr id="3" name="Chart 2">
          <a:extLst>
            <a:ext uri="{FF2B5EF4-FFF2-40B4-BE49-F238E27FC236}">
              <a16:creationId xmlns:a16="http://schemas.microsoft.com/office/drawing/2014/main" id="{53482C8B-EF14-B6AB-B4D5-E135931C4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542925</xdr:colOff>
      <xdr:row>1</xdr:row>
      <xdr:rowOff>0</xdr:rowOff>
    </xdr:from>
    <xdr:to>
      <xdr:col>28</xdr:col>
      <xdr:colOff>441469</xdr:colOff>
      <xdr:row>16</xdr:row>
      <xdr:rowOff>114769</xdr:rowOff>
    </xdr:to>
    <xdr:graphicFrame macro="">
      <xdr:nvGraphicFramePr>
        <xdr:cNvPr id="4" name="Chart 3">
          <a:extLst>
            <a:ext uri="{FF2B5EF4-FFF2-40B4-BE49-F238E27FC236}">
              <a16:creationId xmlns:a16="http://schemas.microsoft.com/office/drawing/2014/main" id="{3530883B-1328-0C4C-2981-3E793ADA6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495301</xdr:colOff>
      <xdr:row>17</xdr:row>
      <xdr:rowOff>28575</xdr:rowOff>
    </xdr:from>
    <xdr:to>
      <xdr:col>34</xdr:col>
      <xdr:colOff>437701</xdr:colOff>
      <xdr:row>26</xdr:row>
      <xdr:rowOff>114075</xdr:rowOff>
    </xdr:to>
    <xdr:graphicFrame macro="">
      <xdr:nvGraphicFramePr>
        <xdr:cNvPr id="5" name="Chart 4">
          <a:extLst>
            <a:ext uri="{FF2B5EF4-FFF2-40B4-BE49-F238E27FC236}">
              <a16:creationId xmlns:a16="http://schemas.microsoft.com/office/drawing/2014/main" id="{8D825C75-C433-9790-2670-784F87E90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66675</xdr:colOff>
      <xdr:row>17</xdr:row>
      <xdr:rowOff>66674</xdr:rowOff>
    </xdr:from>
    <xdr:to>
      <xdr:col>21</xdr:col>
      <xdr:colOff>485775</xdr:colOff>
      <xdr:row>28</xdr:row>
      <xdr:rowOff>66675</xdr:rowOff>
    </xdr:to>
    <xdr:graphicFrame macro="">
      <xdr:nvGraphicFramePr>
        <xdr:cNvPr id="6" name="Chart 5">
          <a:extLst>
            <a:ext uri="{FF2B5EF4-FFF2-40B4-BE49-F238E27FC236}">
              <a16:creationId xmlns:a16="http://schemas.microsoft.com/office/drawing/2014/main" id="{2356BE3F-DD06-B031-B1E8-90B31FAA8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95249</xdr:colOff>
      <xdr:row>35</xdr:row>
      <xdr:rowOff>9524</xdr:rowOff>
    </xdr:from>
    <xdr:to>
      <xdr:col>22</xdr:col>
      <xdr:colOff>38100</xdr:colOff>
      <xdr:row>46</xdr:row>
      <xdr:rowOff>19049</xdr:rowOff>
    </xdr:to>
    <xdr:graphicFrame macro="">
      <xdr:nvGraphicFramePr>
        <xdr:cNvPr id="7" name="Chart 6">
          <a:extLst>
            <a:ext uri="{FF2B5EF4-FFF2-40B4-BE49-F238E27FC236}">
              <a16:creationId xmlns:a16="http://schemas.microsoft.com/office/drawing/2014/main" id="{BD4180DA-43EE-93C5-9365-C5AA739D2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66675</xdr:colOff>
      <xdr:row>61</xdr:row>
      <xdr:rowOff>9525</xdr:rowOff>
    </xdr:from>
    <xdr:to>
      <xdr:col>21</xdr:col>
      <xdr:colOff>592138</xdr:colOff>
      <xdr:row>72</xdr:row>
      <xdr:rowOff>142875</xdr:rowOff>
    </xdr:to>
    <xdr:graphicFrame macro="">
      <xdr:nvGraphicFramePr>
        <xdr:cNvPr id="8" name="Chart 7">
          <a:extLst>
            <a:ext uri="{FF2B5EF4-FFF2-40B4-BE49-F238E27FC236}">
              <a16:creationId xmlns:a16="http://schemas.microsoft.com/office/drawing/2014/main" id="{6AC975EE-6E5A-F1EC-8D96-6B6FA2A7E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542925</xdr:colOff>
      <xdr:row>17</xdr:row>
      <xdr:rowOff>38100</xdr:rowOff>
    </xdr:from>
    <xdr:to>
      <xdr:col>28</xdr:col>
      <xdr:colOff>438150</xdr:colOff>
      <xdr:row>28</xdr:row>
      <xdr:rowOff>38101</xdr:rowOff>
    </xdr:to>
    <xdr:graphicFrame macro="">
      <xdr:nvGraphicFramePr>
        <xdr:cNvPr id="9" name="Chart 8">
          <a:extLst>
            <a:ext uri="{FF2B5EF4-FFF2-40B4-BE49-F238E27FC236}">
              <a16:creationId xmlns:a16="http://schemas.microsoft.com/office/drawing/2014/main" id="{58E38B54-9A8D-48A2-9FA3-9B2CB7B2F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95249</xdr:colOff>
      <xdr:row>34</xdr:row>
      <xdr:rowOff>190499</xdr:rowOff>
    </xdr:from>
    <xdr:to>
      <xdr:col>28</xdr:col>
      <xdr:colOff>523874</xdr:colOff>
      <xdr:row>46</xdr:row>
      <xdr:rowOff>9524</xdr:rowOff>
    </xdr:to>
    <xdr:graphicFrame macro="">
      <xdr:nvGraphicFramePr>
        <xdr:cNvPr id="10" name="Chart 9">
          <a:extLst>
            <a:ext uri="{FF2B5EF4-FFF2-40B4-BE49-F238E27FC236}">
              <a16:creationId xmlns:a16="http://schemas.microsoft.com/office/drawing/2014/main" id="{55D0760A-0DFD-4AD3-AC68-1EAE4B74F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57150</xdr:colOff>
      <xdr:row>61</xdr:row>
      <xdr:rowOff>19050</xdr:rowOff>
    </xdr:from>
    <xdr:to>
      <xdr:col>28</xdr:col>
      <xdr:colOff>504825</xdr:colOff>
      <xdr:row>72</xdr:row>
      <xdr:rowOff>152400</xdr:rowOff>
    </xdr:to>
    <xdr:graphicFrame macro="">
      <xdr:nvGraphicFramePr>
        <xdr:cNvPr id="11" name="Chart 10">
          <a:extLst>
            <a:ext uri="{FF2B5EF4-FFF2-40B4-BE49-F238E27FC236}">
              <a16:creationId xmlns:a16="http://schemas.microsoft.com/office/drawing/2014/main" id="{DE374BFF-E472-4A86-BB78-EC47286FA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29</xdr:col>
      <xdr:colOff>200025</xdr:colOff>
      <xdr:row>61</xdr:row>
      <xdr:rowOff>9525</xdr:rowOff>
    </xdr:from>
    <xdr:to>
      <xdr:col>36</xdr:col>
      <xdr:colOff>38100</xdr:colOff>
      <xdr:row>72</xdr:row>
      <xdr:rowOff>142875</xdr:rowOff>
    </xdr:to>
    <xdr:graphicFrame macro="">
      <xdr:nvGraphicFramePr>
        <xdr:cNvPr id="12" name="Chart 11">
          <a:extLst>
            <a:ext uri="{FF2B5EF4-FFF2-40B4-BE49-F238E27FC236}">
              <a16:creationId xmlns:a16="http://schemas.microsoft.com/office/drawing/2014/main" id="{371406C8-3B9B-4642-835E-217FB13D1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0</xdr:colOff>
      <xdr:row>35</xdr:row>
      <xdr:rowOff>0</xdr:rowOff>
    </xdr:from>
    <xdr:to>
      <xdr:col>35</xdr:col>
      <xdr:colOff>228600</xdr:colOff>
      <xdr:row>46</xdr:row>
      <xdr:rowOff>9525</xdr:rowOff>
    </xdr:to>
    <xdr:graphicFrame macro="">
      <xdr:nvGraphicFramePr>
        <xdr:cNvPr id="13" name="Chart 12">
          <a:extLst>
            <a:ext uri="{FF2B5EF4-FFF2-40B4-BE49-F238E27FC236}">
              <a16:creationId xmlns:a16="http://schemas.microsoft.com/office/drawing/2014/main" id="{16C0717E-22DB-49D2-83D1-42D18A520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80962</xdr:colOff>
      <xdr:row>46</xdr:row>
      <xdr:rowOff>104775</xdr:rowOff>
    </xdr:from>
    <xdr:to>
      <xdr:col>22</xdr:col>
      <xdr:colOff>15059</xdr:colOff>
      <xdr:row>60</xdr:row>
      <xdr:rowOff>123825</xdr:rowOff>
    </xdr:to>
    <xdr:graphicFrame macro="">
      <xdr:nvGraphicFramePr>
        <xdr:cNvPr id="15" name="Chart 14">
          <a:extLst>
            <a:ext uri="{FF2B5EF4-FFF2-40B4-BE49-F238E27FC236}">
              <a16:creationId xmlns:a16="http://schemas.microsoft.com/office/drawing/2014/main" id="{9EE53F29-E1CD-417B-7DCF-E47528630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76200</xdr:colOff>
      <xdr:row>46</xdr:row>
      <xdr:rowOff>85725</xdr:rowOff>
    </xdr:from>
    <xdr:to>
      <xdr:col>28</xdr:col>
      <xdr:colOff>523875</xdr:colOff>
      <xdr:row>60</xdr:row>
      <xdr:rowOff>104775</xdr:rowOff>
    </xdr:to>
    <xdr:graphicFrame macro="">
      <xdr:nvGraphicFramePr>
        <xdr:cNvPr id="16" name="Chart 15">
          <a:extLst>
            <a:ext uri="{FF2B5EF4-FFF2-40B4-BE49-F238E27FC236}">
              <a16:creationId xmlns:a16="http://schemas.microsoft.com/office/drawing/2014/main" id="{BEDF11EA-EC53-4415-A8C3-760FDDC7C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xdr:col>
      <xdr:colOff>600075</xdr:colOff>
      <xdr:row>46</xdr:row>
      <xdr:rowOff>76200</xdr:rowOff>
    </xdr:from>
    <xdr:to>
      <xdr:col>34</xdr:col>
      <xdr:colOff>542475</xdr:colOff>
      <xdr:row>55</xdr:row>
      <xdr:rowOff>161700</xdr:rowOff>
    </xdr:to>
    <xdr:graphicFrame macro="">
      <xdr:nvGraphicFramePr>
        <xdr:cNvPr id="17" name="Chart 16">
          <a:extLst>
            <a:ext uri="{FF2B5EF4-FFF2-40B4-BE49-F238E27FC236}">
              <a16:creationId xmlns:a16="http://schemas.microsoft.com/office/drawing/2014/main" id="{6E2723F2-FBDE-4B2D-8742-C05041A1C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10</xdr:col>
      <xdr:colOff>981075</xdr:colOff>
      <xdr:row>0</xdr:row>
      <xdr:rowOff>47625</xdr:rowOff>
    </xdr:from>
    <xdr:to>
      <xdr:col>12</xdr:col>
      <xdr:colOff>571500</xdr:colOff>
      <xdr:row>0</xdr:row>
      <xdr:rowOff>366917</xdr:rowOff>
    </xdr:to>
    <xdr:pic>
      <xdr:nvPicPr>
        <xdr:cNvPr id="18" name="Picture 17">
          <a:extLst>
            <a:ext uri="{FF2B5EF4-FFF2-40B4-BE49-F238E27FC236}">
              <a16:creationId xmlns:a16="http://schemas.microsoft.com/office/drawing/2014/main" id="{6755CEF8-940A-4082-BEBB-C10AEDACD77E}"/>
            </a:ext>
          </a:extLst>
        </xdr:cNvPr>
        <xdr:cNvPicPr>
          <a:picLocks noChangeAspect="1"/>
        </xdr:cNvPicPr>
      </xdr:nvPicPr>
      <xdr:blipFill>
        <a:blip xmlns:r="http://schemas.openxmlformats.org/officeDocument/2006/relationships" r:embed="rId16"/>
        <a:stretch>
          <a:fillRect/>
        </a:stretch>
      </xdr:blipFill>
      <xdr:spPr>
        <a:xfrm>
          <a:off x="5657850" y="47625"/>
          <a:ext cx="1076325" cy="319292"/>
        </a:xfrm>
        <a:prstGeom prst="rect">
          <a:avLst/>
        </a:prstGeom>
      </xdr:spPr>
    </xdr:pic>
    <xdr:clientData/>
  </xdr:twoCellAnchor>
  <xdr:twoCellAnchor editAs="oneCell">
    <xdr:from>
      <xdr:col>14</xdr:col>
      <xdr:colOff>0</xdr:colOff>
      <xdr:row>0</xdr:row>
      <xdr:rowOff>0</xdr:rowOff>
    </xdr:from>
    <xdr:to>
      <xdr:col>17</xdr:col>
      <xdr:colOff>428625</xdr:colOff>
      <xdr:row>0</xdr:row>
      <xdr:rowOff>363716</xdr:rowOff>
    </xdr:to>
    <xdr:pic>
      <xdr:nvPicPr>
        <xdr:cNvPr id="19" name="Grafik 18">
          <a:extLst>
            <a:ext uri="{FF2B5EF4-FFF2-40B4-BE49-F238E27FC236}">
              <a16:creationId xmlns:a16="http://schemas.microsoft.com/office/drawing/2014/main" id="{290D593A-C87F-453F-890C-AEAC27323C83}"/>
            </a:ext>
          </a:extLst>
        </xdr:cNvPr>
        <xdr:cNvPicPr>
          <a:picLocks noChangeAspect="1"/>
        </xdr:cNvPicPr>
      </xdr:nvPicPr>
      <xdr:blipFill>
        <a:blip xmlns:r="http://schemas.openxmlformats.org/officeDocument/2006/relationships" r:embed="rId17"/>
        <a:stretch>
          <a:fillRect/>
        </a:stretch>
      </xdr:blipFill>
      <xdr:spPr>
        <a:xfrm>
          <a:off x="7943850" y="0"/>
          <a:ext cx="2657475" cy="36371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0</xdr:colOff>
      <xdr:row>63</xdr:row>
      <xdr:rowOff>0</xdr:rowOff>
    </xdr:from>
    <xdr:to>
      <xdr:col>18</xdr:col>
      <xdr:colOff>304800</xdr:colOff>
      <xdr:row>64</xdr:row>
      <xdr:rowOff>114300</xdr:rowOff>
    </xdr:to>
    <xdr:sp macro="" textlink="">
      <xdr:nvSpPr>
        <xdr:cNvPr id="3073" name="AutoShape 1">
          <a:extLst>
            <a:ext uri="{FF2B5EF4-FFF2-40B4-BE49-F238E27FC236}">
              <a16:creationId xmlns:a16="http://schemas.microsoft.com/office/drawing/2014/main" id="{2F6FC807-4810-E243-984B-5A3B34ABB114}"/>
            </a:ext>
          </a:extLst>
        </xdr:cNvPr>
        <xdr:cNvSpPr>
          <a:spLocks noChangeAspect="1" noChangeArrowheads="1"/>
        </xdr:cNvSpPr>
      </xdr:nvSpPr>
      <xdr:spPr bwMode="auto">
        <a:xfrm>
          <a:off x="6934200" y="634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63</xdr:row>
      <xdr:rowOff>0</xdr:rowOff>
    </xdr:from>
    <xdr:to>
      <xdr:col>18</xdr:col>
      <xdr:colOff>304800</xdr:colOff>
      <xdr:row>64</xdr:row>
      <xdr:rowOff>114300</xdr:rowOff>
    </xdr:to>
    <xdr:sp macro="" textlink="">
      <xdr:nvSpPr>
        <xdr:cNvPr id="3075" name="AutoShape 3">
          <a:extLst>
            <a:ext uri="{FF2B5EF4-FFF2-40B4-BE49-F238E27FC236}">
              <a16:creationId xmlns:a16="http://schemas.microsoft.com/office/drawing/2014/main" id="{EA3A205C-A921-D72D-0898-97C881C9638C}"/>
            </a:ext>
          </a:extLst>
        </xdr:cNvPr>
        <xdr:cNvSpPr>
          <a:spLocks noChangeAspect="1" noChangeArrowheads="1"/>
        </xdr:cNvSpPr>
      </xdr:nvSpPr>
      <xdr:spPr bwMode="auto">
        <a:xfrm>
          <a:off x="6934200" y="634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466725</xdr:colOff>
      <xdr:row>0</xdr:row>
      <xdr:rowOff>28575</xdr:rowOff>
    </xdr:from>
    <xdr:to>
      <xdr:col>11</xdr:col>
      <xdr:colOff>695325</xdr:colOff>
      <xdr:row>0</xdr:row>
      <xdr:rowOff>302658</xdr:rowOff>
    </xdr:to>
    <xdr:pic>
      <xdr:nvPicPr>
        <xdr:cNvPr id="3" name="Picture 2">
          <a:extLst>
            <a:ext uri="{FF2B5EF4-FFF2-40B4-BE49-F238E27FC236}">
              <a16:creationId xmlns:a16="http://schemas.microsoft.com/office/drawing/2014/main" id="{8FE26084-3C38-AB9C-3093-F224F1523474}"/>
            </a:ext>
          </a:extLst>
        </xdr:cNvPr>
        <xdr:cNvPicPr>
          <a:picLocks noChangeAspect="1"/>
        </xdr:cNvPicPr>
      </xdr:nvPicPr>
      <xdr:blipFill>
        <a:blip xmlns:r="http://schemas.openxmlformats.org/officeDocument/2006/relationships" r:embed="rId1"/>
        <a:stretch>
          <a:fillRect/>
        </a:stretch>
      </xdr:blipFill>
      <xdr:spPr>
        <a:xfrm>
          <a:off x="5915025" y="28575"/>
          <a:ext cx="923925" cy="274083"/>
        </a:xfrm>
        <a:prstGeom prst="rect">
          <a:avLst/>
        </a:prstGeom>
      </xdr:spPr>
    </xdr:pic>
    <xdr:clientData/>
  </xdr:twoCellAnchor>
  <xdr:twoCellAnchor>
    <xdr:from>
      <xdr:col>29</xdr:col>
      <xdr:colOff>266699</xdr:colOff>
      <xdr:row>35</xdr:row>
      <xdr:rowOff>33338</xdr:rowOff>
    </xdr:from>
    <xdr:to>
      <xdr:col>35</xdr:col>
      <xdr:colOff>209550</xdr:colOff>
      <xdr:row>44</xdr:row>
      <xdr:rowOff>75847</xdr:rowOff>
    </xdr:to>
    <xdr:graphicFrame macro="">
      <xdr:nvGraphicFramePr>
        <xdr:cNvPr id="4" name="Chart 3">
          <a:extLst>
            <a:ext uri="{FF2B5EF4-FFF2-40B4-BE49-F238E27FC236}">
              <a16:creationId xmlns:a16="http://schemas.microsoft.com/office/drawing/2014/main" id="{D811EB12-9C9C-9A96-0DE2-1DEC3F68B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xdr:colOff>
      <xdr:row>35</xdr:row>
      <xdr:rowOff>4763</xdr:rowOff>
    </xdr:from>
    <xdr:to>
      <xdr:col>23</xdr:col>
      <xdr:colOff>65397</xdr:colOff>
      <xdr:row>44</xdr:row>
      <xdr:rowOff>120201</xdr:rowOff>
    </xdr:to>
    <xdr:graphicFrame macro="">
      <xdr:nvGraphicFramePr>
        <xdr:cNvPr id="6" name="Chart 5">
          <a:extLst>
            <a:ext uri="{FF2B5EF4-FFF2-40B4-BE49-F238E27FC236}">
              <a16:creationId xmlns:a16="http://schemas.microsoft.com/office/drawing/2014/main" id="{E71A336A-5128-91CF-5F73-383F8B0D5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128588</xdr:colOff>
      <xdr:row>35</xdr:row>
      <xdr:rowOff>9526</xdr:rowOff>
    </xdr:from>
    <xdr:to>
      <xdr:col>29</xdr:col>
      <xdr:colOff>152048</xdr:colOff>
      <xdr:row>44</xdr:row>
      <xdr:rowOff>71226</xdr:rowOff>
    </xdr:to>
    <xdr:graphicFrame macro="">
      <xdr:nvGraphicFramePr>
        <xdr:cNvPr id="8" name="Chart 7">
          <a:extLst>
            <a:ext uri="{FF2B5EF4-FFF2-40B4-BE49-F238E27FC236}">
              <a16:creationId xmlns:a16="http://schemas.microsoft.com/office/drawing/2014/main" id="{298560BD-9992-8362-8F85-982761B35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190500</xdr:colOff>
      <xdr:row>45</xdr:row>
      <xdr:rowOff>9525</xdr:rowOff>
    </xdr:from>
    <xdr:to>
      <xdr:col>35</xdr:col>
      <xdr:colOff>219075</xdr:colOff>
      <xdr:row>56</xdr:row>
      <xdr:rowOff>66675</xdr:rowOff>
    </xdr:to>
    <xdr:graphicFrame macro="">
      <xdr:nvGraphicFramePr>
        <xdr:cNvPr id="12" name="Chart 11">
          <a:extLst>
            <a:ext uri="{FF2B5EF4-FFF2-40B4-BE49-F238E27FC236}">
              <a16:creationId xmlns:a16="http://schemas.microsoft.com/office/drawing/2014/main" id="{B3BE4612-837D-1B9B-58A9-32CC21D1E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57150</xdr:colOff>
      <xdr:row>45</xdr:row>
      <xdr:rowOff>66675</xdr:rowOff>
    </xdr:from>
    <xdr:to>
      <xdr:col>23</xdr:col>
      <xdr:colOff>0</xdr:colOff>
      <xdr:row>56</xdr:row>
      <xdr:rowOff>85724</xdr:rowOff>
    </xdr:to>
    <xdr:graphicFrame macro="">
      <xdr:nvGraphicFramePr>
        <xdr:cNvPr id="13" name="Chart 12">
          <a:extLst>
            <a:ext uri="{FF2B5EF4-FFF2-40B4-BE49-F238E27FC236}">
              <a16:creationId xmlns:a16="http://schemas.microsoft.com/office/drawing/2014/main" id="{5720E0F1-7FE3-B76D-021D-8ED47E5B0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90487</xdr:colOff>
      <xdr:row>62</xdr:row>
      <xdr:rowOff>0</xdr:rowOff>
    </xdr:from>
    <xdr:to>
      <xdr:col>23</xdr:col>
      <xdr:colOff>533400</xdr:colOff>
      <xdr:row>71</xdr:row>
      <xdr:rowOff>142875</xdr:rowOff>
    </xdr:to>
    <xdr:graphicFrame macro="">
      <xdr:nvGraphicFramePr>
        <xdr:cNvPr id="15" name="Chart 14">
          <a:extLst>
            <a:ext uri="{FF2B5EF4-FFF2-40B4-BE49-F238E27FC236}">
              <a16:creationId xmlns:a16="http://schemas.microsoft.com/office/drawing/2014/main" id="{D282EB0F-0982-BAC8-4EBB-20F3C91A1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295275</xdr:colOff>
      <xdr:row>61</xdr:row>
      <xdr:rowOff>180975</xdr:rowOff>
    </xdr:from>
    <xdr:to>
      <xdr:col>36</xdr:col>
      <xdr:colOff>319087</xdr:colOff>
      <xdr:row>71</xdr:row>
      <xdr:rowOff>114300</xdr:rowOff>
    </xdr:to>
    <xdr:graphicFrame macro="">
      <xdr:nvGraphicFramePr>
        <xdr:cNvPr id="16" name="Chart 15">
          <a:extLst>
            <a:ext uri="{FF2B5EF4-FFF2-40B4-BE49-F238E27FC236}">
              <a16:creationId xmlns:a16="http://schemas.microsoft.com/office/drawing/2014/main" id="{E5DAB7B4-B9A6-849C-D821-291CCC801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566737</xdr:colOff>
      <xdr:row>62</xdr:row>
      <xdr:rowOff>0</xdr:rowOff>
    </xdr:from>
    <xdr:to>
      <xdr:col>30</xdr:col>
      <xdr:colOff>228600</xdr:colOff>
      <xdr:row>71</xdr:row>
      <xdr:rowOff>133350</xdr:rowOff>
    </xdr:to>
    <xdr:graphicFrame macro="">
      <xdr:nvGraphicFramePr>
        <xdr:cNvPr id="17" name="Chart 16">
          <a:extLst>
            <a:ext uri="{FF2B5EF4-FFF2-40B4-BE49-F238E27FC236}">
              <a16:creationId xmlns:a16="http://schemas.microsoft.com/office/drawing/2014/main" id="{757341E6-DD48-958F-90DE-91FDE0692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261936</xdr:colOff>
      <xdr:row>72</xdr:row>
      <xdr:rowOff>9525</xdr:rowOff>
    </xdr:from>
    <xdr:to>
      <xdr:col>36</xdr:col>
      <xdr:colOff>476249</xdr:colOff>
      <xdr:row>84</xdr:row>
      <xdr:rowOff>0</xdr:rowOff>
    </xdr:to>
    <xdr:graphicFrame macro="">
      <xdr:nvGraphicFramePr>
        <xdr:cNvPr id="18" name="Chart 17">
          <a:extLst>
            <a:ext uri="{FF2B5EF4-FFF2-40B4-BE49-F238E27FC236}">
              <a16:creationId xmlns:a16="http://schemas.microsoft.com/office/drawing/2014/main" id="{0FEEFA30-8D14-EA28-F438-7FA64072C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104774</xdr:colOff>
      <xdr:row>45</xdr:row>
      <xdr:rowOff>38099</xdr:rowOff>
    </xdr:from>
    <xdr:to>
      <xdr:col>29</xdr:col>
      <xdr:colOff>142875</xdr:colOff>
      <xdr:row>56</xdr:row>
      <xdr:rowOff>66674</xdr:rowOff>
    </xdr:to>
    <xdr:graphicFrame macro="">
      <xdr:nvGraphicFramePr>
        <xdr:cNvPr id="19" name="Chart 18">
          <a:extLst>
            <a:ext uri="{FF2B5EF4-FFF2-40B4-BE49-F238E27FC236}">
              <a16:creationId xmlns:a16="http://schemas.microsoft.com/office/drawing/2014/main" id="{8A56EC90-51EE-D2DF-D949-73CACCC82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80962</xdr:colOff>
      <xdr:row>72</xdr:row>
      <xdr:rowOff>28575</xdr:rowOff>
    </xdr:from>
    <xdr:to>
      <xdr:col>23</xdr:col>
      <xdr:colOff>523875</xdr:colOff>
      <xdr:row>83</xdr:row>
      <xdr:rowOff>85725</xdr:rowOff>
    </xdr:to>
    <xdr:graphicFrame macro="">
      <xdr:nvGraphicFramePr>
        <xdr:cNvPr id="20" name="Chart 19">
          <a:extLst>
            <a:ext uri="{FF2B5EF4-FFF2-40B4-BE49-F238E27FC236}">
              <a16:creationId xmlns:a16="http://schemas.microsoft.com/office/drawing/2014/main" id="{B4E06137-E333-C305-5D62-134DC3342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47625</xdr:colOff>
      <xdr:row>0</xdr:row>
      <xdr:rowOff>104775</xdr:rowOff>
    </xdr:from>
    <xdr:to>
      <xdr:col>22</xdr:col>
      <xdr:colOff>599625</xdr:colOff>
      <xdr:row>7</xdr:row>
      <xdr:rowOff>28350</xdr:rowOff>
    </xdr:to>
    <xdr:graphicFrame macro="">
      <xdr:nvGraphicFramePr>
        <xdr:cNvPr id="26" name="Chart 25">
          <a:extLst>
            <a:ext uri="{FF2B5EF4-FFF2-40B4-BE49-F238E27FC236}">
              <a16:creationId xmlns:a16="http://schemas.microsoft.com/office/drawing/2014/main" id="{F1EEB971-69FB-101F-02DB-6ECF71BCB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66675</xdr:colOff>
      <xdr:row>0</xdr:row>
      <xdr:rowOff>104775</xdr:rowOff>
    </xdr:from>
    <xdr:to>
      <xdr:col>29</xdr:col>
      <xdr:colOff>9075</xdr:colOff>
      <xdr:row>7</xdr:row>
      <xdr:rowOff>28350</xdr:rowOff>
    </xdr:to>
    <xdr:graphicFrame macro="">
      <xdr:nvGraphicFramePr>
        <xdr:cNvPr id="27" name="Chart 26">
          <a:extLst>
            <a:ext uri="{FF2B5EF4-FFF2-40B4-BE49-F238E27FC236}">
              <a16:creationId xmlns:a16="http://schemas.microsoft.com/office/drawing/2014/main" id="{78189EB9-8D42-4C79-8D99-69A3BB083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95250</xdr:colOff>
      <xdr:row>0</xdr:row>
      <xdr:rowOff>114300</xdr:rowOff>
    </xdr:from>
    <xdr:to>
      <xdr:col>35</xdr:col>
      <xdr:colOff>37650</xdr:colOff>
      <xdr:row>7</xdr:row>
      <xdr:rowOff>37875</xdr:rowOff>
    </xdr:to>
    <xdr:graphicFrame macro="">
      <xdr:nvGraphicFramePr>
        <xdr:cNvPr id="2" name="Chart 1">
          <a:extLst>
            <a:ext uri="{FF2B5EF4-FFF2-40B4-BE49-F238E27FC236}">
              <a16:creationId xmlns:a16="http://schemas.microsoft.com/office/drawing/2014/main" id="{4C59CECA-5A76-480F-AEAB-0636D564E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52388</xdr:colOff>
      <xdr:row>28</xdr:row>
      <xdr:rowOff>1</xdr:rowOff>
    </xdr:from>
    <xdr:to>
      <xdr:col>23</xdr:col>
      <xdr:colOff>66676</xdr:colOff>
      <xdr:row>34</xdr:row>
      <xdr:rowOff>123826</xdr:rowOff>
    </xdr:to>
    <xdr:graphicFrame macro="">
      <xdr:nvGraphicFramePr>
        <xdr:cNvPr id="9" name="Chart 8">
          <a:extLst>
            <a:ext uri="{FF2B5EF4-FFF2-40B4-BE49-F238E27FC236}">
              <a16:creationId xmlns:a16="http://schemas.microsoft.com/office/drawing/2014/main" id="{8802F293-2C40-A22C-B0AA-786EB08CE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133350</xdr:colOff>
      <xdr:row>28</xdr:row>
      <xdr:rowOff>1</xdr:rowOff>
    </xdr:from>
    <xdr:to>
      <xdr:col>29</xdr:col>
      <xdr:colOff>195263</xdr:colOff>
      <xdr:row>34</xdr:row>
      <xdr:rowOff>123826</xdr:rowOff>
    </xdr:to>
    <xdr:graphicFrame macro="">
      <xdr:nvGraphicFramePr>
        <xdr:cNvPr id="10" name="Chart 9">
          <a:extLst>
            <a:ext uri="{FF2B5EF4-FFF2-40B4-BE49-F238E27FC236}">
              <a16:creationId xmlns:a16="http://schemas.microsoft.com/office/drawing/2014/main" id="{CA375C14-0649-44A2-9BA1-66CAC76D5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29</xdr:col>
      <xdr:colOff>266700</xdr:colOff>
      <xdr:row>28</xdr:row>
      <xdr:rowOff>1</xdr:rowOff>
    </xdr:from>
    <xdr:to>
      <xdr:col>35</xdr:col>
      <xdr:colOff>209100</xdr:colOff>
      <xdr:row>33</xdr:row>
      <xdr:rowOff>828451</xdr:rowOff>
    </xdr:to>
    <xdr:graphicFrame macro="">
      <xdr:nvGraphicFramePr>
        <xdr:cNvPr id="11" name="Chart 10">
          <a:extLst>
            <a:ext uri="{FF2B5EF4-FFF2-40B4-BE49-F238E27FC236}">
              <a16:creationId xmlns:a16="http://schemas.microsoft.com/office/drawing/2014/main" id="{193F5E1C-86E3-47F4-BF7C-E6BB89A93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566737</xdr:colOff>
      <xdr:row>72</xdr:row>
      <xdr:rowOff>19050</xdr:rowOff>
    </xdr:from>
    <xdr:to>
      <xdr:col>30</xdr:col>
      <xdr:colOff>209550</xdr:colOff>
      <xdr:row>83</xdr:row>
      <xdr:rowOff>123825</xdr:rowOff>
    </xdr:to>
    <xdr:graphicFrame macro="">
      <xdr:nvGraphicFramePr>
        <xdr:cNvPr id="21" name="Chart 20">
          <a:extLst>
            <a:ext uri="{FF2B5EF4-FFF2-40B4-BE49-F238E27FC236}">
              <a16:creationId xmlns:a16="http://schemas.microsoft.com/office/drawing/2014/main" id="{B19E409F-5D96-0972-E546-EFEC52576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90487</xdr:colOff>
      <xdr:row>15</xdr:row>
      <xdr:rowOff>152400</xdr:rowOff>
    </xdr:from>
    <xdr:to>
      <xdr:col>23</xdr:col>
      <xdr:colOff>32887</xdr:colOff>
      <xdr:row>25</xdr:row>
      <xdr:rowOff>47400</xdr:rowOff>
    </xdr:to>
    <xdr:graphicFrame macro="">
      <xdr:nvGraphicFramePr>
        <xdr:cNvPr id="7" name="Chart 6">
          <a:extLst>
            <a:ext uri="{FF2B5EF4-FFF2-40B4-BE49-F238E27FC236}">
              <a16:creationId xmlns:a16="http://schemas.microsoft.com/office/drawing/2014/main" id="{8F510F51-A659-C5DA-15F0-A67984017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23</xdr:col>
      <xdr:colOff>142875</xdr:colOff>
      <xdr:row>15</xdr:row>
      <xdr:rowOff>152400</xdr:rowOff>
    </xdr:from>
    <xdr:to>
      <xdr:col>29</xdr:col>
      <xdr:colOff>85275</xdr:colOff>
      <xdr:row>25</xdr:row>
      <xdr:rowOff>47400</xdr:rowOff>
    </xdr:to>
    <xdr:graphicFrame macro="">
      <xdr:nvGraphicFramePr>
        <xdr:cNvPr id="14" name="Chart 13">
          <a:extLst>
            <a:ext uri="{FF2B5EF4-FFF2-40B4-BE49-F238E27FC236}">
              <a16:creationId xmlns:a16="http://schemas.microsoft.com/office/drawing/2014/main" id="{9E3F122C-6712-46E4-B933-392CAF33B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12</xdr:col>
      <xdr:colOff>0</xdr:colOff>
      <xdr:row>0</xdr:row>
      <xdr:rowOff>0</xdr:rowOff>
    </xdr:from>
    <xdr:to>
      <xdr:col>14</xdr:col>
      <xdr:colOff>723900</xdr:colOff>
      <xdr:row>0</xdr:row>
      <xdr:rowOff>363716</xdr:rowOff>
    </xdr:to>
    <xdr:pic>
      <xdr:nvPicPr>
        <xdr:cNvPr id="23" name="Grafik 22">
          <a:extLst>
            <a:ext uri="{FF2B5EF4-FFF2-40B4-BE49-F238E27FC236}">
              <a16:creationId xmlns:a16="http://schemas.microsoft.com/office/drawing/2014/main" id="{7EE85AEB-4DDB-4B51-8A99-A55B66C9C666}"/>
            </a:ext>
          </a:extLst>
        </xdr:cNvPr>
        <xdr:cNvPicPr>
          <a:picLocks noChangeAspect="1"/>
        </xdr:cNvPicPr>
      </xdr:nvPicPr>
      <xdr:blipFill>
        <a:blip xmlns:r="http://schemas.openxmlformats.org/officeDocument/2006/relationships" r:embed="rId22"/>
        <a:stretch>
          <a:fillRect/>
        </a:stretch>
      </xdr:blipFill>
      <xdr:spPr>
        <a:xfrm>
          <a:off x="6905625" y="0"/>
          <a:ext cx="2657475" cy="36371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27</xdr:col>
      <xdr:colOff>4762</xdr:colOff>
      <xdr:row>52</xdr:row>
      <xdr:rowOff>9524</xdr:rowOff>
    </xdr:from>
    <xdr:to>
      <xdr:col>32</xdr:col>
      <xdr:colOff>495300</xdr:colOff>
      <xdr:row>60</xdr:row>
      <xdr:rowOff>190499</xdr:rowOff>
    </xdr:to>
    <xdr:graphicFrame macro="">
      <xdr:nvGraphicFramePr>
        <xdr:cNvPr id="2" name="Chart 1">
          <a:extLst>
            <a:ext uri="{FF2B5EF4-FFF2-40B4-BE49-F238E27FC236}">
              <a16:creationId xmlns:a16="http://schemas.microsoft.com/office/drawing/2014/main" id="{6C2FF55D-84DF-733D-E8C3-D68E05FF2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66675</xdr:colOff>
      <xdr:row>52</xdr:row>
      <xdr:rowOff>0</xdr:rowOff>
    </xdr:from>
    <xdr:to>
      <xdr:col>26</xdr:col>
      <xdr:colOff>557213</xdr:colOff>
      <xdr:row>60</xdr:row>
      <xdr:rowOff>180975</xdr:rowOff>
    </xdr:to>
    <xdr:graphicFrame macro="">
      <xdr:nvGraphicFramePr>
        <xdr:cNvPr id="3" name="Chart 2">
          <a:extLst>
            <a:ext uri="{FF2B5EF4-FFF2-40B4-BE49-F238E27FC236}">
              <a16:creationId xmlns:a16="http://schemas.microsoft.com/office/drawing/2014/main" id="{91187133-E711-4452-B9F2-2C6655FA4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85725</xdr:colOff>
      <xdr:row>52</xdr:row>
      <xdr:rowOff>9525</xdr:rowOff>
    </xdr:from>
    <xdr:to>
      <xdr:col>20</xdr:col>
      <xdr:colOff>576263</xdr:colOff>
      <xdr:row>61</xdr:row>
      <xdr:rowOff>0</xdr:rowOff>
    </xdr:to>
    <xdr:graphicFrame macro="">
      <xdr:nvGraphicFramePr>
        <xdr:cNvPr id="4" name="Chart 3">
          <a:extLst>
            <a:ext uri="{FF2B5EF4-FFF2-40B4-BE49-F238E27FC236}">
              <a16:creationId xmlns:a16="http://schemas.microsoft.com/office/drawing/2014/main" id="{D59EA2C2-C6E8-409B-8527-17EC50C50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600075</xdr:colOff>
      <xdr:row>29</xdr:row>
      <xdr:rowOff>47625</xdr:rowOff>
    </xdr:from>
    <xdr:to>
      <xdr:col>32</xdr:col>
      <xdr:colOff>485775</xdr:colOff>
      <xdr:row>38</xdr:row>
      <xdr:rowOff>152400</xdr:rowOff>
    </xdr:to>
    <xdr:graphicFrame macro="">
      <xdr:nvGraphicFramePr>
        <xdr:cNvPr id="6" name="Chart 5">
          <a:extLst>
            <a:ext uri="{FF2B5EF4-FFF2-40B4-BE49-F238E27FC236}">
              <a16:creationId xmlns:a16="http://schemas.microsoft.com/office/drawing/2014/main" id="{745FB1BA-B7FD-F469-BBC4-D6A7A9122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47625</xdr:colOff>
      <xdr:row>42</xdr:row>
      <xdr:rowOff>28575</xdr:rowOff>
    </xdr:from>
    <xdr:to>
      <xdr:col>20</xdr:col>
      <xdr:colOff>542925</xdr:colOff>
      <xdr:row>52</xdr:row>
      <xdr:rowOff>133350</xdr:rowOff>
    </xdr:to>
    <xdr:graphicFrame macro="">
      <xdr:nvGraphicFramePr>
        <xdr:cNvPr id="7" name="Chart 6">
          <a:extLst>
            <a:ext uri="{FF2B5EF4-FFF2-40B4-BE49-F238E27FC236}">
              <a16:creationId xmlns:a16="http://schemas.microsoft.com/office/drawing/2014/main" id="{60A28E95-164E-462E-B8FE-231FEE1EA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19050</xdr:colOff>
      <xdr:row>29</xdr:row>
      <xdr:rowOff>28575</xdr:rowOff>
    </xdr:from>
    <xdr:to>
      <xdr:col>26</xdr:col>
      <xdr:colOff>514350</xdr:colOff>
      <xdr:row>38</xdr:row>
      <xdr:rowOff>133350</xdr:rowOff>
    </xdr:to>
    <xdr:graphicFrame macro="">
      <xdr:nvGraphicFramePr>
        <xdr:cNvPr id="9" name="Chart 8">
          <a:extLst>
            <a:ext uri="{FF2B5EF4-FFF2-40B4-BE49-F238E27FC236}">
              <a16:creationId xmlns:a16="http://schemas.microsoft.com/office/drawing/2014/main" id="{28369F09-654C-42F1-A96D-BEC5C808D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33337</xdr:colOff>
      <xdr:row>39</xdr:row>
      <xdr:rowOff>57150</xdr:rowOff>
    </xdr:from>
    <xdr:to>
      <xdr:col>20</xdr:col>
      <xdr:colOff>542925</xdr:colOff>
      <xdr:row>50</xdr:row>
      <xdr:rowOff>85725</xdr:rowOff>
    </xdr:to>
    <xdr:graphicFrame macro="">
      <xdr:nvGraphicFramePr>
        <xdr:cNvPr id="10" name="Chart 9">
          <a:extLst>
            <a:ext uri="{FF2B5EF4-FFF2-40B4-BE49-F238E27FC236}">
              <a16:creationId xmlns:a16="http://schemas.microsoft.com/office/drawing/2014/main" id="{D22A4FF9-A162-DAC7-0127-8E6776144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19050</xdr:colOff>
      <xdr:row>39</xdr:row>
      <xdr:rowOff>57150</xdr:rowOff>
    </xdr:from>
    <xdr:to>
      <xdr:col>26</xdr:col>
      <xdr:colOff>528638</xdr:colOff>
      <xdr:row>50</xdr:row>
      <xdr:rowOff>85725</xdr:rowOff>
    </xdr:to>
    <xdr:graphicFrame macro="">
      <xdr:nvGraphicFramePr>
        <xdr:cNvPr id="11" name="Chart 10">
          <a:extLst>
            <a:ext uri="{FF2B5EF4-FFF2-40B4-BE49-F238E27FC236}">
              <a16:creationId xmlns:a16="http://schemas.microsoft.com/office/drawing/2014/main" id="{91637D91-7695-4E05-BDEC-5AE95B3D1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600075</xdr:colOff>
      <xdr:row>39</xdr:row>
      <xdr:rowOff>38100</xdr:rowOff>
    </xdr:from>
    <xdr:to>
      <xdr:col>32</xdr:col>
      <xdr:colOff>500063</xdr:colOff>
      <xdr:row>50</xdr:row>
      <xdr:rowOff>66675</xdr:rowOff>
    </xdr:to>
    <xdr:graphicFrame macro="">
      <xdr:nvGraphicFramePr>
        <xdr:cNvPr id="12" name="Chart 11">
          <a:extLst>
            <a:ext uri="{FF2B5EF4-FFF2-40B4-BE49-F238E27FC236}">
              <a16:creationId xmlns:a16="http://schemas.microsoft.com/office/drawing/2014/main" id="{A24EAB98-D4C5-472E-8B9A-892CDF23A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80962</xdr:colOff>
      <xdr:row>61</xdr:row>
      <xdr:rowOff>57150</xdr:rowOff>
    </xdr:from>
    <xdr:to>
      <xdr:col>20</xdr:col>
      <xdr:colOff>590550</xdr:colOff>
      <xdr:row>70</xdr:row>
      <xdr:rowOff>152400</xdr:rowOff>
    </xdr:to>
    <xdr:graphicFrame macro="">
      <xdr:nvGraphicFramePr>
        <xdr:cNvPr id="13" name="Chart 12">
          <a:extLst>
            <a:ext uri="{FF2B5EF4-FFF2-40B4-BE49-F238E27FC236}">
              <a16:creationId xmlns:a16="http://schemas.microsoft.com/office/drawing/2014/main" id="{8BF6D209-8358-9F9E-7F09-DC9F0CE5B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52387</xdr:colOff>
      <xdr:row>61</xdr:row>
      <xdr:rowOff>38100</xdr:rowOff>
    </xdr:from>
    <xdr:to>
      <xdr:col>26</xdr:col>
      <xdr:colOff>552450</xdr:colOff>
      <xdr:row>70</xdr:row>
      <xdr:rowOff>171450</xdr:rowOff>
    </xdr:to>
    <xdr:graphicFrame macro="">
      <xdr:nvGraphicFramePr>
        <xdr:cNvPr id="15" name="Chart 14">
          <a:extLst>
            <a:ext uri="{FF2B5EF4-FFF2-40B4-BE49-F238E27FC236}">
              <a16:creationId xmlns:a16="http://schemas.microsoft.com/office/drawing/2014/main" id="{CAF163DE-1CF9-2E27-C419-FE654D35B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595312</xdr:colOff>
      <xdr:row>61</xdr:row>
      <xdr:rowOff>28575</xdr:rowOff>
    </xdr:from>
    <xdr:to>
      <xdr:col>32</xdr:col>
      <xdr:colOff>485775</xdr:colOff>
      <xdr:row>70</xdr:row>
      <xdr:rowOff>171450</xdr:rowOff>
    </xdr:to>
    <xdr:graphicFrame macro="">
      <xdr:nvGraphicFramePr>
        <xdr:cNvPr id="16" name="Chart 15">
          <a:extLst>
            <a:ext uri="{FF2B5EF4-FFF2-40B4-BE49-F238E27FC236}">
              <a16:creationId xmlns:a16="http://schemas.microsoft.com/office/drawing/2014/main" id="{937B8A1A-0E4F-08E4-ACB2-244B15140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204787</xdr:colOff>
      <xdr:row>0</xdr:row>
      <xdr:rowOff>180975</xdr:rowOff>
    </xdr:from>
    <xdr:to>
      <xdr:col>21</xdr:col>
      <xdr:colOff>19050</xdr:colOff>
      <xdr:row>14</xdr:row>
      <xdr:rowOff>38100</xdr:rowOff>
    </xdr:to>
    <xdr:graphicFrame macro="">
      <xdr:nvGraphicFramePr>
        <xdr:cNvPr id="5" name="Chart 4">
          <a:extLst>
            <a:ext uri="{FF2B5EF4-FFF2-40B4-BE49-F238E27FC236}">
              <a16:creationId xmlns:a16="http://schemas.microsoft.com/office/drawing/2014/main" id="{D1FC3D96-141D-F31F-4696-9EC851046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133350</xdr:colOff>
      <xdr:row>1</xdr:row>
      <xdr:rowOff>0</xdr:rowOff>
    </xdr:from>
    <xdr:to>
      <xdr:col>26</xdr:col>
      <xdr:colOff>557213</xdr:colOff>
      <xdr:row>14</xdr:row>
      <xdr:rowOff>47625</xdr:rowOff>
    </xdr:to>
    <xdr:graphicFrame macro="">
      <xdr:nvGraphicFramePr>
        <xdr:cNvPr id="8" name="Chart 7">
          <a:extLst>
            <a:ext uri="{FF2B5EF4-FFF2-40B4-BE49-F238E27FC236}">
              <a16:creationId xmlns:a16="http://schemas.microsoft.com/office/drawing/2014/main" id="{4B18E792-25B5-45CB-80A7-6A5FDAAB2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27</xdr:col>
      <xdr:colOff>95250</xdr:colOff>
      <xdr:row>1</xdr:row>
      <xdr:rowOff>19050</xdr:rowOff>
    </xdr:from>
    <xdr:to>
      <xdr:col>32</xdr:col>
      <xdr:colOff>519113</xdr:colOff>
      <xdr:row>14</xdr:row>
      <xdr:rowOff>66675</xdr:rowOff>
    </xdr:to>
    <xdr:graphicFrame macro="">
      <xdr:nvGraphicFramePr>
        <xdr:cNvPr id="14" name="Chart 13">
          <a:extLst>
            <a:ext uri="{FF2B5EF4-FFF2-40B4-BE49-F238E27FC236}">
              <a16:creationId xmlns:a16="http://schemas.microsoft.com/office/drawing/2014/main" id="{855E3DDA-9CE2-4409-BD97-641CBE66B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219076</xdr:colOff>
      <xdr:row>14</xdr:row>
      <xdr:rowOff>123825</xdr:rowOff>
    </xdr:from>
    <xdr:to>
      <xdr:col>21</xdr:col>
      <xdr:colOff>47626</xdr:colOff>
      <xdr:row>27</xdr:row>
      <xdr:rowOff>47625</xdr:rowOff>
    </xdr:to>
    <xdr:graphicFrame macro="">
      <xdr:nvGraphicFramePr>
        <xdr:cNvPr id="17" name="Chart 16">
          <a:extLst>
            <a:ext uri="{FF2B5EF4-FFF2-40B4-BE49-F238E27FC236}">
              <a16:creationId xmlns:a16="http://schemas.microsoft.com/office/drawing/2014/main" id="{39F567F3-97D0-0888-D1C1-DDCFBAA1E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21</xdr:col>
      <xdr:colOff>123825</xdr:colOff>
      <xdr:row>14</xdr:row>
      <xdr:rowOff>57150</xdr:rowOff>
    </xdr:from>
    <xdr:to>
      <xdr:col>26</xdr:col>
      <xdr:colOff>561975</xdr:colOff>
      <xdr:row>26</xdr:row>
      <xdr:rowOff>171450</xdr:rowOff>
    </xdr:to>
    <xdr:graphicFrame macro="">
      <xdr:nvGraphicFramePr>
        <xdr:cNvPr id="18" name="Chart 17">
          <a:extLst>
            <a:ext uri="{FF2B5EF4-FFF2-40B4-BE49-F238E27FC236}">
              <a16:creationId xmlns:a16="http://schemas.microsoft.com/office/drawing/2014/main" id="{77DF5638-48D0-4AC7-BC90-01763626D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27</xdr:col>
      <xdr:colOff>104775</xdr:colOff>
      <xdr:row>14</xdr:row>
      <xdr:rowOff>95250</xdr:rowOff>
    </xdr:from>
    <xdr:to>
      <xdr:col>32</xdr:col>
      <xdr:colOff>542925</xdr:colOff>
      <xdr:row>27</xdr:row>
      <xdr:rowOff>0</xdr:rowOff>
    </xdr:to>
    <xdr:graphicFrame macro="">
      <xdr:nvGraphicFramePr>
        <xdr:cNvPr id="19" name="Chart 18">
          <a:extLst>
            <a:ext uri="{FF2B5EF4-FFF2-40B4-BE49-F238E27FC236}">
              <a16:creationId xmlns:a16="http://schemas.microsoft.com/office/drawing/2014/main" id="{EC439FD4-FC53-4002-A290-9B1EDEDFC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11</xdr:col>
      <xdr:colOff>0</xdr:colOff>
      <xdr:row>0</xdr:row>
      <xdr:rowOff>0</xdr:rowOff>
    </xdr:from>
    <xdr:to>
      <xdr:col>11</xdr:col>
      <xdr:colOff>1076325</xdr:colOff>
      <xdr:row>0</xdr:row>
      <xdr:rowOff>319292</xdr:rowOff>
    </xdr:to>
    <xdr:pic>
      <xdr:nvPicPr>
        <xdr:cNvPr id="20" name="Picture 19">
          <a:extLst>
            <a:ext uri="{FF2B5EF4-FFF2-40B4-BE49-F238E27FC236}">
              <a16:creationId xmlns:a16="http://schemas.microsoft.com/office/drawing/2014/main" id="{B3EC1F54-2753-4999-BC71-B615D28AD5BB}"/>
            </a:ext>
          </a:extLst>
        </xdr:cNvPr>
        <xdr:cNvPicPr>
          <a:picLocks noChangeAspect="1"/>
        </xdr:cNvPicPr>
      </xdr:nvPicPr>
      <xdr:blipFill>
        <a:blip xmlns:r="http://schemas.openxmlformats.org/officeDocument/2006/relationships" r:embed="rId19"/>
        <a:stretch>
          <a:fillRect/>
        </a:stretch>
      </xdr:blipFill>
      <xdr:spPr>
        <a:xfrm>
          <a:off x="5943600" y="0"/>
          <a:ext cx="1076325" cy="319292"/>
        </a:xfrm>
        <a:prstGeom prst="rect">
          <a:avLst/>
        </a:prstGeom>
      </xdr:spPr>
    </xdr:pic>
    <xdr:clientData/>
  </xdr:twoCellAnchor>
  <xdr:twoCellAnchor>
    <xdr:from>
      <xdr:col>15</xdr:col>
      <xdr:colOff>0</xdr:colOff>
      <xdr:row>29</xdr:row>
      <xdr:rowOff>0</xdr:rowOff>
    </xdr:from>
    <xdr:to>
      <xdr:col>20</xdr:col>
      <xdr:colOff>495300</xdr:colOff>
      <xdr:row>38</xdr:row>
      <xdr:rowOff>104775</xdr:rowOff>
    </xdr:to>
    <xdr:graphicFrame macro="">
      <xdr:nvGraphicFramePr>
        <xdr:cNvPr id="21" name="Chart 8">
          <a:extLst>
            <a:ext uri="{FF2B5EF4-FFF2-40B4-BE49-F238E27FC236}">
              <a16:creationId xmlns:a16="http://schemas.microsoft.com/office/drawing/2014/main" id="{FB3B14AD-5B89-422A-B477-7065CD00F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12</xdr:col>
      <xdr:colOff>0</xdr:colOff>
      <xdr:row>0</xdr:row>
      <xdr:rowOff>0</xdr:rowOff>
    </xdr:from>
    <xdr:to>
      <xdr:col>14</xdr:col>
      <xdr:colOff>619125</xdr:colOff>
      <xdr:row>0</xdr:row>
      <xdr:rowOff>363716</xdr:rowOff>
    </xdr:to>
    <xdr:pic>
      <xdr:nvPicPr>
        <xdr:cNvPr id="22" name="Grafik 21">
          <a:extLst>
            <a:ext uri="{FF2B5EF4-FFF2-40B4-BE49-F238E27FC236}">
              <a16:creationId xmlns:a16="http://schemas.microsoft.com/office/drawing/2014/main" id="{4D2342A0-2010-4F89-82C0-73CAE46A21BC}"/>
            </a:ext>
          </a:extLst>
        </xdr:cNvPr>
        <xdr:cNvPicPr>
          <a:picLocks noChangeAspect="1"/>
        </xdr:cNvPicPr>
      </xdr:nvPicPr>
      <xdr:blipFill>
        <a:blip xmlns:r="http://schemas.openxmlformats.org/officeDocument/2006/relationships" r:embed="rId21"/>
        <a:stretch>
          <a:fillRect/>
        </a:stretch>
      </xdr:blipFill>
      <xdr:spPr>
        <a:xfrm>
          <a:off x="7829550" y="0"/>
          <a:ext cx="2657475" cy="363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E2A4-6787-4B9E-A1AE-2C60A04951A7}">
  <dimension ref="A1:A15"/>
  <sheetViews>
    <sheetView tabSelected="1" workbookViewId="0">
      <selection activeCell="A19" sqref="A19"/>
    </sheetView>
  </sheetViews>
  <sheetFormatPr defaultColWidth="9.140625" defaultRowHeight="15.75" x14ac:dyDescent="0.25"/>
  <cols>
    <col min="1" max="1" width="119" style="108" customWidth="1"/>
  </cols>
  <sheetData>
    <row r="1" spans="1:1" x14ac:dyDescent="0.25">
      <c r="A1" s="108" t="s">
        <v>217</v>
      </c>
    </row>
    <row r="3" spans="1:1" x14ac:dyDescent="0.25">
      <c r="A3" s="108" t="s">
        <v>98</v>
      </c>
    </row>
    <row r="4" spans="1:1" x14ac:dyDescent="0.25">
      <c r="A4" s="108" t="s">
        <v>99</v>
      </c>
    </row>
    <row r="5" spans="1:1" ht="63" x14ac:dyDescent="0.25">
      <c r="A5" s="109" t="s">
        <v>100</v>
      </c>
    </row>
    <row r="6" spans="1:1" x14ac:dyDescent="0.25">
      <c r="A6" s="108" t="s">
        <v>101</v>
      </c>
    </row>
    <row r="7" spans="1:1" x14ac:dyDescent="0.25">
      <c r="A7" s="108" t="s">
        <v>96</v>
      </c>
    </row>
    <row r="9" spans="1:1" ht="31.5" x14ac:dyDescent="0.25">
      <c r="A9" s="109" t="s">
        <v>97</v>
      </c>
    </row>
    <row r="11" spans="1:1" ht="47.25" x14ac:dyDescent="0.25">
      <c r="A11" s="109" t="s">
        <v>103</v>
      </c>
    </row>
    <row r="14" spans="1:1" x14ac:dyDescent="0.25">
      <c r="A14" s="108" t="s">
        <v>218</v>
      </c>
    </row>
    <row r="15" spans="1:1" ht="17.25" x14ac:dyDescent="0.3">
      <c r="A15" s="110"/>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6E626-0C49-460B-A046-7A79D52ED3E9}">
  <dimension ref="A1:P36"/>
  <sheetViews>
    <sheetView showGridLines="0" zoomScaleNormal="100" workbookViewId="0">
      <selection activeCell="U27" sqref="U27"/>
    </sheetView>
  </sheetViews>
  <sheetFormatPr defaultColWidth="9.140625" defaultRowHeight="15" x14ac:dyDescent="0.25"/>
  <cols>
    <col min="1" max="1" width="18.28515625" customWidth="1"/>
    <col min="2" max="2" width="5.42578125" style="2" customWidth="1"/>
    <col min="3" max="3" width="4.7109375" style="2" customWidth="1"/>
    <col min="4" max="4" width="8" style="9" customWidth="1"/>
    <col min="5" max="5" width="7.85546875" style="2" bestFit="1" customWidth="1"/>
    <col min="6" max="6" width="9.140625" style="9"/>
    <col min="7" max="8" width="9.140625" style="99"/>
    <col min="9" max="9" width="11.140625" style="18" customWidth="1"/>
    <col min="10" max="10" width="6.7109375" style="9" customWidth="1"/>
    <col min="11" max="11" width="6.42578125" style="5" bestFit="1" customWidth="1"/>
    <col min="12" max="12" width="9.140625" customWidth="1"/>
    <col min="13" max="13" width="7.5703125" style="99" bestFit="1" customWidth="1"/>
    <col min="14" max="14" width="9.28515625" style="45" customWidth="1"/>
    <col min="15" max="15" width="19.5703125" style="149" customWidth="1"/>
    <col min="16" max="16" width="15.140625" style="149" customWidth="1"/>
  </cols>
  <sheetData>
    <row r="1" spans="1:16" x14ac:dyDescent="0.25">
      <c r="A1" t="s">
        <v>230</v>
      </c>
    </row>
    <row r="2" spans="1:16" ht="32.25" customHeight="1" x14ac:dyDescent="0.25">
      <c r="C2" s="44" t="s">
        <v>34</v>
      </c>
    </row>
    <row r="3" spans="1:16" ht="34.5" customHeight="1" x14ac:dyDescent="0.25">
      <c r="B3" s="11" t="s">
        <v>0</v>
      </c>
      <c r="C3" s="11" t="s">
        <v>10</v>
      </c>
      <c r="D3" s="33" t="s">
        <v>11</v>
      </c>
      <c r="E3" s="11" t="s">
        <v>9</v>
      </c>
      <c r="F3" s="33" t="s">
        <v>3</v>
      </c>
      <c r="G3" s="98" t="s">
        <v>29</v>
      </c>
      <c r="H3" s="98" t="s">
        <v>27</v>
      </c>
      <c r="I3" s="22" t="s">
        <v>28</v>
      </c>
      <c r="J3" s="33" t="s">
        <v>25</v>
      </c>
      <c r="K3" s="16" t="s">
        <v>26</v>
      </c>
      <c r="L3" s="22" t="s">
        <v>151</v>
      </c>
      <c r="M3" s="98" t="s">
        <v>153</v>
      </c>
      <c r="N3" s="163" t="s">
        <v>152</v>
      </c>
      <c r="O3" s="150" t="s">
        <v>187</v>
      </c>
      <c r="P3" s="162" t="s">
        <v>156</v>
      </c>
    </row>
    <row r="4" spans="1:16" x14ac:dyDescent="0.25">
      <c r="B4" s="19">
        <v>20</v>
      </c>
      <c r="C4" s="19">
        <v>20</v>
      </c>
      <c r="D4" s="34">
        <v>1000</v>
      </c>
      <c r="E4" s="187">
        <v>1E-3</v>
      </c>
      <c r="F4" s="164">
        <v>100000</v>
      </c>
      <c r="G4" s="142">
        <v>0.99803850000000005</v>
      </c>
      <c r="H4" s="142">
        <v>1.9615000000000001E-3</v>
      </c>
      <c r="I4" s="133">
        <v>1.3986310000000001E-4</v>
      </c>
      <c r="J4" s="164">
        <v>3303.59</v>
      </c>
      <c r="K4" s="165">
        <v>1602.88</v>
      </c>
      <c r="L4" s="143">
        <f t="shared" ref="L4" si="0">H4-I4</f>
        <v>1.8216369E-3</v>
      </c>
      <c r="M4" s="132">
        <f t="shared" ref="M4" si="1">(1-EXP(-2*E4))/(1-EXP(-4*D4*E4))</f>
        <v>2.0352787635377887E-3</v>
      </c>
      <c r="N4" s="133">
        <f t="shared" ref="N4" si="2">H4+I4</f>
        <v>2.1013631000000002E-3</v>
      </c>
      <c r="O4" s="140">
        <f t="shared" ref="O4" si="3">M4/H4</f>
        <v>1.0376134404984902</v>
      </c>
      <c r="P4" s="132" t="b">
        <f t="shared" ref="P4" si="4">AND(M4&gt;=L4,M4&lt;=N4)</f>
        <v>1</v>
      </c>
    </row>
    <row r="6" spans="1:16" x14ac:dyDescent="0.25">
      <c r="A6" s="471" t="s">
        <v>223</v>
      </c>
      <c r="D6" s="10"/>
      <c r="F6" s="10"/>
      <c r="G6" s="76"/>
      <c r="H6" s="76"/>
      <c r="N6"/>
      <c r="O6"/>
      <c r="P6"/>
    </row>
    <row r="7" spans="1:16" s="1" customFormat="1" ht="31.5" customHeight="1" x14ac:dyDescent="0.25">
      <c r="B7" s="11" t="s">
        <v>0</v>
      </c>
      <c r="C7" s="11" t="s">
        <v>227</v>
      </c>
      <c r="D7" s="33" t="s">
        <v>11</v>
      </c>
      <c r="E7" s="11" t="s">
        <v>9</v>
      </c>
      <c r="F7" s="127" t="s">
        <v>3</v>
      </c>
      <c r="G7" s="475" t="s">
        <v>29</v>
      </c>
      <c r="H7" s="475" t="s">
        <v>27</v>
      </c>
      <c r="I7" s="473" t="s">
        <v>28</v>
      </c>
      <c r="J7" s="476" t="s">
        <v>25</v>
      </c>
      <c r="K7" s="472" t="s">
        <v>26</v>
      </c>
      <c r="L7" s="22" t="s">
        <v>151</v>
      </c>
      <c r="M7" s="98" t="s">
        <v>153</v>
      </c>
      <c r="N7" s="163" t="s">
        <v>152</v>
      </c>
      <c r="O7" s="150" t="s">
        <v>187</v>
      </c>
      <c r="P7" s="162" t="s">
        <v>156</v>
      </c>
    </row>
    <row r="8" spans="1:16" x14ac:dyDescent="0.25">
      <c r="A8" t="s">
        <v>228</v>
      </c>
      <c r="B8" s="19">
        <v>20</v>
      </c>
      <c r="C8" s="19">
        <v>1</v>
      </c>
      <c r="D8" s="116">
        <v>1000</v>
      </c>
      <c r="E8" s="19">
        <v>1E-3</v>
      </c>
      <c r="F8" s="116">
        <v>10000</v>
      </c>
      <c r="G8" s="474">
        <v>0.99812500000000004</v>
      </c>
      <c r="H8" s="474">
        <v>1.8749999999999999E-3</v>
      </c>
      <c r="I8" s="23">
        <v>4.3057039999999999E-4</v>
      </c>
      <c r="J8" s="34">
        <v>3347.4</v>
      </c>
      <c r="K8" s="24">
        <v>1501.43</v>
      </c>
      <c r="L8" s="143">
        <f t="shared" ref="L8" si="5">H8-I8</f>
        <v>1.4444295999999999E-3</v>
      </c>
      <c r="M8" s="132">
        <f t="shared" ref="M8" si="6">(1-EXP(-2*E8))/(1-EXP(-4*D8*E8))</f>
        <v>2.0352787635377887E-3</v>
      </c>
      <c r="N8" s="133">
        <f t="shared" ref="N8" si="7">H8+I8</f>
        <v>2.3055704E-3</v>
      </c>
      <c r="O8" s="140">
        <f t="shared" ref="O8" si="8">M8/H8</f>
        <v>1.0854820072201541</v>
      </c>
      <c r="P8" s="132" t="b">
        <f t="shared" ref="P8" si="9">AND(M8&gt;=L8,M8&lt;=N8)</f>
        <v>1</v>
      </c>
    </row>
    <row r="9" spans="1:16" x14ac:dyDescent="0.25">
      <c r="B9" s="19">
        <v>20</v>
      </c>
      <c r="C9" s="19">
        <v>2</v>
      </c>
      <c r="D9" s="116">
        <v>10000</v>
      </c>
      <c r="E9" s="19">
        <v>1E-3</v>
      </c>
      <c r="F9" s="116">
        <v>100000</v>
      </c>
      <c r="G9" s="474">
        <v>0.997973</v>
      </c>
      <c r="H9" s="474">
        <v>2.0270000000000002E-3</v>
      </c>
      <c r="I9" s="23">
        <v>1.4212360000000001E-4</v>
      </c>
      <c r="J9" s="34">
        <v>8477.31</v>
      </c>
      <c r="K9" s="24">
        <v>1938.29</v>
      </c>
      <c r="L9" s="143">
        <f>H9-I9</f>
        <v>1.8848764000000001E-3</v>
      </c>
      <c r="M9" s="132">
        <f>(1-EXP(-2*E9))/(1-EXP(-4*D9*E9))</f>
        <v>1.998001332666921E-3</v>
      </c>
      <c r="N9" s="133">
        <f>H9+I9</f>
        <v>2.1691236E-3</v>
      </c>
      <c r="O9" s="140">
        <f>M9/H9</f>
        <v>0.98569380003301477</v>
      </c>
      <c r="P9" s="132" t="b">
        <f>AND(M9&gt;=L9,M9&lt;=N9)</f>
        <v>1</v>
      </c>
    </row>
    <row r="10" spans="1:16" x14ac:dyDescent="0.25">
      <c r="B10" s="19">
        <v>20</v>
      </c>
      <c r="C10" s="19">
        <v>1</v>
      </c>
      <c r="D10" s="116">
        <v>50000</v>
      </c>
      <c r="E10" s="19">
        <v>1E-3</v>
      </c>
      <c r="F10" s="116">
        <v>1000000</v>
      </c>
      <c r="G10" s="474">
        <v>0.99799530000000003</v>
      </c>
      <c r="H10" s="474">
        <v>2.0046999999999999E-3</v>
      </c>
      <c r="I10" s="23">
        <v>4.4725699999999998E-5</v>
      </c>
      <c r="J10" s="34">
        <v>11733.95</v>
      </c>
      <c r="K10" s="24">
        <v>1865.84</v>
      </c>
      <c r="L10" s="143">
        <f t="shared" ref="L10" si="10">H10-I10</f>
        <v>1.9599742999999998E-3</v>
      </c>
      <c r="M10" s="132">
        <f t="shared" ref="M10" si="11">(1-EXP(-2*E10))/(1-EXP(-4*D10*E10))</f>
        <v>1.998001332666921E-3</v>
      </c>
      <c r="N10" s="133">
        <f t="shared" ref="N10" si="12">H10+I10</f>
        <v>2.0494256999999999E-3</v>
      </c>
      <c r="O10" s="140">
        <f t="shared" ref="O10" si="13">M10/H10</f>
        <v>0.99665851881424705</v>
      </c>
      <c r="P10" s="132" t="b">
        <f t="shared" ref="P10" si="14">AND(M10&gt;=L10,M10&lt;=N10)</f>
        <v>1</v>
      </c>
    </row>
    <row r="11" spans="1:16" x14ac:dyDescent="0.25">
      <c r="B11" s="19">
        <v>20</v>
      </c>
      <c r="C11" s="19">
        <v>2</v>
      </c>
      <c r="D11" s="34">
        <v>100000</v>
      </c>
      <c r="E11" s="19">
        <v>1E-3</v>
      </c>
      <c r="F11" s="34">
        <v>1000000</v>
      </c>
      <c r="G11" s="141">
        <v>0.99800560000000005</v>
      </c>
      <c r="H11" s="141">
        <v>1.9943999999999999E-3</v>
      </c>
      <c r="I11" s="23">
        <v>4.4612700000000001E-5</v>
      </c>
      <c r="J11" s="34">
        <v>13122.18</v>
      </c>
      <c r="K11" s="24">
        <v>1850.49</v>
      </c>
      <c r="L11" s="143">
        <f>H11-I11</f>
        <v>1.9497872999999998E-3</v>
      </c>
      <c r="M11" s="132">
        <f>(1-EXP(-2*E11))/(1-EXP(-4*D11*E11))</f>
        <v>1.998001332666921E-3</v>
      </c>
      <c r="N11" s="133">
        <f>H11+I11</f>
        <v>2.0390127E-3</v>
      </c>
      <c r="O11" s="140">
        <f>M11/H11</f>
        <v>1.0018057223560575</v>
      </c>
      <c r="P11" s="132" t="b">
        <f>AND(M11&gt;=L11,M11&lt;=N11)</f>
        <v>1</v>
      </c>
    </row>
    <row r="13" spans="1:16" x14ac:dyDescent="0.25">
      <c r="A13" s="471" t="s">
        <v>226</v>
      </c>
      <c r="C13" s="3"/>
      <c r="D13" s="10"/>
      <c r="F13" s="10"/>
      <c r="G13" s="76"/>
      <c r="H13" s="76"/>
      <c r="N13"/>
      <c r="O13"/>
      <c r="P13"/>
    </row>
    <row r="14" spans="1:16" s="1" customFormat="1" ht="33" customHeight="1" x14ac:dyDescent="0.25">
      <c r="A14" s="1" t="s">
        <v>228</v>
      </c>
      <c r="B14" s="11" t="s">
        <v>0</v>
      </c>
      <c r="C14" s="11" t="s">
        <v>227</v>
      </c>
      <c r="D14" s="33" t="s">
        <v>11</v>
      </c>
      <c r="E14" s="11" t="s">
        <v>9</v>
      </c>
      <c r="F14" s="127" t="s">
        <v>3</v>
      </c>
      <c r="G14" s="98" t="s">
        <v>29</v>
      </c>
      <c r="H14" s="98" t="s">
        <v>27</v>
      </c>
      <c r="I14" s="22" t="s">
        <v>28</v>
      </c>
      <c r="J14" s="33" t="s">
        <v>25</v>
      </c>
      <c r="K14" s="16" t="s">
        <v>26</v>
      </c>
      <c r="M14" s="469"/>
    </row>
    <row r="15" spans="1:16" x14ac:dyDescent="0.25">
      <c r="B15" s="19">
        <v>20</v>
      </c>
      <c r="C15" s="19">
        <v>1</v>
      </c>
      <c r="D15" s="116">
        <v>1000</v>
      </c>
      <c r="E15" s="19">
        <v>1E-3</v>
      </c>
      <c r="F15" s="116">
        <v>10000</v>
      </c>
      <c r="G15" s="474">
        <v>0.99870999999999999</v>
      </c>
      <c r="H15" s="474">
        <v>1.2899999999999999E-3</v>
      </c>
      <c r="I15" s="23">
        <v>3.575653E-4</v>
      </c>
      <c r="J15" s="34">
        <v>3866.81</v>
      </c>
      <c r="K15" s="24">
        <v>1920.71</v>
      </c>
      <c r="L15" s="143">
        <f t="shared" ref="L15:L16" si="15">H15-I15</f>
        <v>9.3243469999999991E-4</v>
      </c>
      <c r="M15" s="132">
        <f t="shared" ref="M15:M16" si="16">(1-EXP(-2*E15))/(1-EXP(-4*D15*E15))</f>
        <v>2.0352787635377887E-3</v>
      </c>
      <c r="N15" s="133">
        <f t="shared" ref="N15:N16" si="17">H15+I15</f>
        <v>1.6475652999999998E-3</v>
      </c>
      <c r="O15" s="140">
        <f t="shared" ref="O15:O16" si="18">M15/H15</f>
        <v>1.5777354756106889</v>
      </c>
      <c r="P15" s="132" t="b">
        <f t="shared" ref="P15:P16" si="19">AND(M15&gt;=L15,M15&lt;=N15)</f>
        <v>0</v>
      </c>
    </row>
    <row r="16" spans="1:16" x14ac:dyDescent="0.25">
      <c r="B16" s="19">
        <v>20</v>
      </c>
      <c r="C16" s="19">
        <v>2</v>
      </c>
      <c r="D16" s="116">
        <v>10000</v>
      </c>
      <c r="E16" s="19">
        <v>1E-3</v>
      </c>
      <c r="F16" s="116">
        <v>100000</v>
      </c>
      <c r="G16" s="474">
        <v>0.99899700000000002</v>
      </c>
      <c r="H16" s="474">
        <v>1.003E-3</v>
      </c>
      <c r="I16" s="23">
        <v>9.9988200000000006E-5</v>
      </c>
      <c r="J16" s="34">
        <v>14079.04</v>
      </c>
      <c r="K16" s="24">
        <v>4110.32</v>
      </c>
      <c r="L16" s="143">
        <f t="shared" si="15"/>
        <v>9.0301179999999995E-4</v>
      </c>
      <c r="M16" s="132">
        <f t="shared" si="16"/>
        <v>1.998001332666921E-3</v>
      </c>
      <c r="N16" s="133">
        <f t="shared" si="17"/>
        <v>1.1029881999999999E-3</v>
      </c>
      <c r="O16" s="140">
        <f t="shared" si="18"/>
        <v>1.9920252568962324</v>
      </c>
      <c r="P16" s="132" t="b">
        <f t="shared" si="19"/>
        <v>0</v>
      </c>
    </row>
    <row r="17" spans="1:16" x14ac:dyDescent="0.25">
      <c r="B17" s="19">
        <v>20</v>
      </c>
      <c r="C17" s="19">
        <v>1</v>
      </c>
      <c r="D17" s="116">
        <v>50000</v>
      </c>
      <c r="E17" s="19">
        <v>1E-3</v>
      </c>
      <c r="F17" s="116">
        <v>1000000</v>
      </c>
      <c r="G17" s="474">
        <v>0.99901445</v>
      </c>
      <c r="H17" s="474">
        <v>9.8554999999999997E-4</v>
      </c>
      <c r="I17" s="23">
        <v>3.1374200000000002E-5</v>
      </c>
      <c r="J17" s="34">
        <v>20659.37</v>
      </c>
      <c r="K17" s="24">
        <v>3781.49</v>
      </c>
      <c r="L17" s="143">
        <f t="shared" ref="L17" si="20">H17-I17</f>
        <v>9.5417579999999998E-4</v>
      </c>
      <c r="M17" s="132">
        <f t="shared" ref="M17" si="21">(1-EXP(-2*E17))/(1-EXP(-4*D17*E17))</f>
        <v>1.998001332666921E-3</v>
      </c>
      <c r="N17" s="133">
        <f t="shared" ref="N17" si="22">H17+I17</f>
        <v>1.0169242000000001E-3</v>
      </c>
      <c r="O17" s="140">
        <f t="shared" ref="O17" si="23">M17/H17</f>
        <v>2.0272957563461227</v>
      </c>
      <c r="P17" s="132" t="b">
        <f t="shared" ref="P17" si="24">AND(M17&gt;=L17,M17&lt;=N17)</f>
        <v>0</v>
      </c>
    </row>
    <row r="18" spans="1:16" x14ac:dyDescent="0.25">
      <c r="B18" s="19">
        <v>20</v>
      </c>
      <c r="C18" s="19">
        <v>2</v>
      </c>
      <c r="D18" s="116">
        <v>100000</v>
      </c>
      <c r="E18" s="19">
        <v>1E-3</v>
      </c>
      <c r="F18" s="116">
        <v>1000000</v>
      </c>
      <c r="G18" s="474">
        <v>0.99899395000000002</v>
      </c>
      <c r="H18" s="474">
        <v>1.0060500000000001E-3</v>
      </c>
      <c r="I18" s="23">
        <v>3.1700299999999999E-5</v>
      </c>
      <c r="J18" s="34">
        <v>23463.119999999999</v>
      </c>
      <c r="K18" s="24">
        <v>3721.35</v>
      </c>
      <c r="L18" s="143">
        <f>H18-I18</f>
        <v>9.7434970000000014E-4</v>
      </c>
      <c r="M18" s="132">
        <f>(1-EXP(-2*E18))/(1-EXP(-4*D18*E18))</f>
        <v>1.998001332666921E-3</v>
      </c>
      <c r="N18" s="133">
        <f>H18+I18</f>
        <v>1.0377503000000001E-3</v>
      </c>
      <c r="O18" s="140">
        <f>M18/H18</f>
        <v>1.985986116661121</v>
      </c>
      <c r="P18" s="132" t="b">
        <f>AND(M18&gt;=L18,M18&lt;=N18)</f>
        <v>0</v>
      </c>
    </row>
    <row r="20" spans="1:16" x14ac:dyDescent="0.25">
      <c r="A20" s="471" t="s">
        <v>223</v>
      </c>
      <c r="D20" s="10"/>
      <c r="F20" s="10"/>
      <c r="G20" s="76"/>
      <c r="H20" s="76"/>
      <c r="N20"/>
      <c r="O20"/>
      <c r="P20"/>
    </row>
    <row r="21" spans="1:16" s="1" customFormat="1" ht="28.5" customHeight="1" x14ac:dyDescent="0.25">
      <c r="A21" s="1" t="s">
        <v>229</v>
      </c>
      <c r="B21" s="11" t="s">
        <v>0</v>
      </c>
      <c r="C21" s="11" t="s">
        <v>227</v>
      </c>
      <c r="D21" s="33" t="s">
        <v>11</v>
      </c>
      <c r="E21" s="11" t="s">
        <v>9</v>
      </c>
      <c r="F21" s="127" t="s">
        <v>3</v>
      </c>
      <c r="G21" s="98" t="s">
        <v>29</v>
      </c>
      <c r="H21" s="98" t="s">
        <v>27</v>
      </c>
      <c r="I21" s="22" t="s">
        <v>28</v>
      </c>
      <c r="J21" s="33" t="s">
        <v>25</v>
      </c>
      <c r="K21" s="16" t="s">
        <v>26</v>
      </c>
      <c r="M21" s="469"/>
    </row>
    <row r="22" spans="1:16" x14ac:dyDescent="0.25">
      <c r="B22" s="19">
        <v>20</v>
      </c>
      <c r="C22" s="19">
        <v>1</v>
      </c>
      <c r="D22" s="116">
        <v>6</v>
      </c>
      <c r="E22" s="19">
        <v>0</v>
      </c>
      <c r="F22" s="116">
        <v>10000</v>
      </c>
      <c r="G22" s="474">
        <v>0.49889</v>
      </c>
      <c r="H22" s="474">
        <v>0.50111000000000006</v>
      </c>
      <c r="I22" s="23">
        <v>4.9998769999999998E-3</v>
      </c>
      <c r="J22" s="34">
        <v>15.31</v>
      </c>
      <c r="K22" s="24">
        <v>11.62</v>
      </c>
      <c r="N22"/>
      <c r="O22"/>
      <c r="P22"/>
    </row>
    <row r="23" spans="1:16" x14ac:dyDescent="0.25">
      <c r="B23" s="19">
        <v>20</v>
      </c>
      <c r="C23" s="19">
        <v>2</v>
      </c>
      <c r="D23" s="116">
        <v>10</v>
      </c>
      <c r="E23" s="19">
        <v>0</v>
      </c>
      <c r="F23" s="116">
        <v>10000</v>
      </c>
      <c r="G23" s="474">
        <v>0.50204000000000004</v>
      </c>
      <c r="H23" s="474">
        <v>0.49796000000000001</v>
      </c>
      <c r="I23" s="23">
        <v>4.9997912E-3</v>
      </c>
      <c r="J23" s="34">
        <v>26.22</v>
      </c>
      <c r="K23" s="24">
        <v>19.739999999999998</v>
      </c>
      <c r="N23"/>
      <c r="O23"/>
      <c r="P23"/>
    </row>
    <row r="24" spans="1:16" x14ac:dyDescent="0.25">
      <c r="B24" s="19">
        <v>20</v>
      </c>
      <c r="C24" s="19">
        <v>3</v>
      </c>
      <c r="D24" s="116">
        <v>20</v>
      </c>
      <c r="E24" s="19">
        <v>0</v>
      </c>
      <c r="F24" s="116">
        <v>10000</v>
      </c>
      <c r="G24" s="474">
        <v>0.49987500000000001</v>
      </c>
      <c r="H24" s="474">
        <v>0.50012500000000004</v>
      </c>
      <c r="I24" s="23">
        <v>4.9998331E-3</v>
      </c>
      <c r="J24" s="34">
        <v>53.74</v>
      </c>
      <c r="K24" s="24">
        <v>40.03</v>
      </c>
      <c r="N24"/>
      <c r="O24"/>
      <c r="P24"/>
    </row>
    <row r="25" spans="1:16" x14ac:dyDescent="0.25">
      <c r="B25" s="19">
        <v>20</v>
      </c>
      <c r="C25" s="19">
        <v>4</v>
      </c>
      <c r="D25" s="116">
        <v>50</v>
      </c>
      <c r="E25" s="19">
        <v>0</v>
      </c>
      <c r="F25" s="116">
        <v>10000</v>
      </c>
      <c r="G25" s="474">
        <v>0.49997000000000003</v>
      </c>
      <c r="H25" s="474">
        <v>0.50002999999999997</v>
      </c>
      <c r="I25" s="23">
        <v>4.9997097000000004E-3</v>
      </c>
      <c r="J25" s="34">
        <v>136.27000000000001</v>
      </c>
      <c r="K25" s="24">
        <v>100.76</v>
      </c>
      <c r="N25"/>
      <c r="O25"/>
      <c r="P25"/>
    </row>
    <row r="26" spans="1:16" x14ac:dyDescent="0.25">
      <c r="B26" s="19">
        <v>20</v>
      </c>
      <c r="C26" s="19">
        <v>5</v>
      </c>
      <c r="D26" s="116">
        <v>100</v>
      </c>
      <c r="E26" s="19">
        <v>0</v>
      </c>
      <c r="F26" s="116">
        <v>10000</v>
      </c>
      <c r="G26" s="474">
        <v>0.50004000000000004</v>
      </c>
      <c r="H26" s="474">
        <v>0.49996000000000002</v>
      </c>
      <c r="I26" s="23">
        <v>4.9998834999999998E-3</v>
      </c>
      <c r="J26" s="34">
        <v>275.43</v>
      </c>
      <c r="K26" s="24">
        <v>203.58</v>
      </c>
      <c r="N26"/>
      <c r="O26"/>
      <c r="P26"/>
    </row>
    <row r="27" spans="1:16" x14ac:dyDescent="0.25">
      <c r="B27" s="19">
        <v>20</v>
      </c>
      <c r="C27" s="19">
        <v>1</v>
      </c>
      <c r="D27" s="116">
        <v>1000</v>
      </c>
      <c r="E27" s="19">
        <v>0</v>
      </c>
      <c r="F27" s="116">
        <v>10000</v>
      </c>
      <c r="G27" s="474">
        <v>0.50014499999999995</v>
      </c>
      <c r="H27" s="474">
        <v>0.49985499999999999</v>
      </c>
      <c r="I27" s="23">
        <v>4.9997130000000002E-3</v>
      </c>
      <c r="J27" s="34">
        <v>2779.78</v>
      </c>
      <c r="K27" s="24">
        <v>2056.0500000000002</v>
      </c>
      <c r="N27"/>
      <c r="O27"/>
      <c r="P27"/>
    </row>
    <row r="28" spans="1:16" x14ac:dyDescent="0.25">
      <c r="B28" s="19">
        <v>20</v>
      </c>
      <c r="C28" s="19">
        <v>2</v>
      </c>
      <c r="D28" s="116">
        <v>10000</v>
      </c>
      <c r="E28" s="19">
        <v>0</v>
      </c>
      <c r="F28" s="116">
        <v>10000</v>
      </c>
      <c r="G28" s="474">
        <v>0.49915999999999999</v>
      </c>
      <c r="H28" s="474">
        <v>0.50083999999999995</v>
      </c>
      <c r="I28" s="23">
        <v>4.9996766999999996E-3</v>
      </c>
      <c r="J28" s="34">
        <v>27824.639999999999</v>
      </c>
      <c r="K28" s="24">
        <v>20389.11</v>
      </c>
      <c r="L28" s="93"/>
      <c r="M28" s="95"/>
      <c r="N28" s="29"/>
      <c r="O28" s="427"/>
      <c r="P28" s="95"/>
    </row>
    <row r="30" spans="1:16" x14ac:dyDescent="0.25">
      <c r="A30" s="471" t="s">
        <v>226</v>
      </c>
      <c r="D30" s="10"/>
      <c r="F30" s="10"/>
      <c r="G30" s="76"/>
      <c r="H30" s="76"/>
      <c r="N30"/>
      <c r="O30"/>
      <c r="P30"/>
    </row>
    <row r="31" spans="1:16" s="1" customFormat="1" ht="27.75" customHeight="1" x14ac:dyDescent="0.25">
      <c r="A31" s="1" t="s">
        <v>229</v>
      </c>
      <c r="B31" s="11" t="s">
        <v>0</v>
      </c>
      <c r="C31" s="11" t="s">
        <v>227</v>
      </c>
      <c r="D31" s="33" t="s">
        <v>11</v>
      </c>
      <c r="E31" s="11" t="s">
        <v>9</v>
      </c>
      <c r="F31" s="127" t="s">
        <v>3</v>
      </c>
      <c r="G31" s="98" t="s">
        <v>29</v>
      </c>
      <c r="H31" s="98" t="s">
        <v>27</v>
      </c>
      <c r="I31" s="22" t="s">
        <v>28</v>
      </c>
      <c r="J31" s="33" t="s">
        <v>25</v>
      </c>
      <c r="K31" s="16" t="s">
        <v>26</v>
      </c>
      <c r="M31" s="469"/>
    </row>
    <row r="32" spans="1:16" x14ac:dyDescent="0.25">
      <c r="B32" s="19">
        <v>20</v>
      </c>
      <c r="C32" s="19">
        <v>1</v>
      </c>
      <c r="D32" s="116">
        <v>6</v>
      </c>
      <c r="E32" s="19">
        <v>0</v>
      </c>
      <c r="F32" s="116">
        <v>10000</v>
      </c>
      <c r="G32" s="474">
        <v>0.49969999999999998</v>
      </c>
      <c r="H32" s="474">
        <v>0.50029999999999997</v>
      </c>
      <c r="I32" s="23">
        <v>4.9998244999999997E-3</v>
      </c>
      <c r="J32" s="34">
        <v>15.34</v>
      </c>
      <c r="K32" s="24">
        <v>11.69</v>
      </c>
      <c r="N32"/>
      <c r="O32"/>
      <c r="P32"/>
    </row>
    <row r="33" spans="2:16" x14ac:dyDescent="0.25">
      <c r="B33" s="19">
        <v>20</v>
      </c>
      <c r="C33" s="19">
        <v>2</v>
      </c>
      <c r="D33" s="477">
        <v>10</v>
      </c>
      <c r="E33" s="19">
        <v>0</v>
      </c>
      <c r="F33" s="34">
        <v>10000</v>
      </c>
      <c r="G33" s="141">
        <v>0.49958000000000002</v>
      </c>
      <c r="H33" s="141">
        <v>0.50041999999999998</v>
      </c>
      <c r="I33" s="23">
        <v>4.9997289E-3</v>
      </c>
      <c r="J33" s="34">
        <v>26.29</v>
      </c>
      <c r="K33" s="24">
        <v>19.84</v>
      </c>
      <c r="N33"/>
      <c r="O33"/>
      <c r="P33"/>
    </row>
    <row r="34" spans="2:16" x14ac:dyDescent="0.25">
      <c r="B34" s="19">
        <v>20</v>
      </c>
      <c r="C34" s="19">
        <v>3</v>
      </c>
      <c r="D34" s="477">
        <v>20</v>
      </c>
      <c r="E34" s="19">
        <v>0</v>
      </c>
      <c r="F34" s="34">
        <v>10000</v>
      </c>
      <c r="G34" s="141">
        <v>0.49903500000000001</v>
      </c>
      <c r="H34" s="141">
        <v>0.50096499999999999</v>
      </c>
      <c r="I34" s="23">
        <v>4.9995895999999998E-3</v>
      </c>
      <c r="J34" s="34">
        <v>53.64</v>
      </c>
      <c r="K34" s="24">
        <v>40.130000000000003</v>
      </c>
    </row>
    <row r="35" spans="2:16" x14ac:dyDescent="0.25">
      <c r="B35" s="19">
        <v>20</v>
      </c>
      <c r="C35" s="19">
        <v>4</v>
      </c>
      <c r="D35" s="477">
        <v>50</v>
      </c>
      <c r="E35" s="19">
        <v>0</v>
      </c>
      <c r="F35" s="34">
        <v>10000</v>
      </c>
      <c r="G35" s="141">
        <v>0.49971500000000002</v>
      </c>
      <c r="H35" s="141">
        <v>0.50028499999999998</v>
      </c>
      <c r="I35" s="23">
        <v>4.9998209999999998E-3</v>
      </c>
      <c r="J35" s="34">
        <v>136.41</v>
      </c>
      <c r="K35" s="24">
        <v>100.78</v>
      </c>
    </row>
    <row r="36" spans="2:16" x14ac:dyDescent="0.25">
      <c r="B36" s="19">
        <v>20</v>
      </c>
      <c r="C36" s="19">
        <v>5</v>
      </c>
      <c r="D36" s="477">
        <v>100</v>
      </c>
      <c r="E36" s="19">
        <v>0</v>
      </c>
      <c r="F36" s="34">
        <v>10000</v>
      </c>
      <c r="G36" s="141">
        <v>0.50116000000000005</v>
      </c>
      <c r="H36" s="141">
        <v>0.49884000000000001</v>
      </c>
      <c r="I36" s="23">
        <v>4.9997720000000004E-3</v>
      </c>
      <c r="J36" s="34">
        <v>274.39</v>
      </c>
      <c r="K36" s="24">
        <v>202.55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7208-213B-4CF8-B6C5-A70C7B4F8A0F}">
  <dimension ref="A1:J18"/>
  <sheetViews>
    <sheetView workbookViewId="0">
      <selection sqref="A1:XFD18"/>
    </sheetView>
  </sheetViews>
  <sheetFormatPr defaultRowHeight="15" x14ac:dyDescent="0.25"/>
  <cols>
    <col min="1" max="2" width="9.140625" style="2"/>
    <col min="6" max="6" width="10.28515625" style="76" customWidth="1"/>
    <col min="7" max="7" width="9.140625" style="76"/>
    <col min="8" max="8" width="9.140625" style="18"/>
    <col min="9" max="10" width="9.140625" style="5"/>
  </cols>
  <sheetData>
    <row r="1" spans="1:10" x14ac:dyDescent="0.25">
      <c r="A1" s="8" t="s">
        <v>223</v>
      </c>
    </row>
    <row r="2" spans="1:10" s="1" customFormat="1" ht="31.5" customHeight="1" x14ac:dyDescent="0.25">
      <c r="A2" s="3" t="s">
        <v>0</v>
      </c>
      <c r="B2" s="3" t="s">
        <v>227</v>
      </c>
      <c r="C2" s="1" t="s">
        <v>1</v>
      </c>
      <c r="D2" s="1" t="s">
        <v>2</v>
      </c>
      <c r="E2" s="1" t="s">
        <v>3</v>
      </c>
      <c r="F2" s="470" t="s">
        <v>4</v>
      </c>
      <c r="G2" s="470" t="s">
        <v>5</v>
      </c>
      <c r="H2" s="74" t="s">
        <v>224</v>
      </c>
      <c r="I2" s="75" t="s">
        <v>6</v>
      </c>
      <c r="J2" s="75" t="s">
        <v>225</v>
      </c>
    </row>
    <row r="3" spans="1:10" x14ac:dyDescent="0.25">
      <c r="A3" s="2">
        <v>20</v>
      </c>
      <c r="B3" s="2">
        <v>1</v>
      </c>
      <c r="C3">
        <v>1000</v>
      </c>
      <c r="D3">
        <v>1E-3</v>
      </c>
      <c r="E3">
        <v>10000</v>
      </c>
      <c r="F3" s="76">
        <v>0.99812500000000004</v>
      </c>
      <c r="G3" s="76">
        <v>1.8749999999999999E-3</v>
      </c>
      <c r="H3" s="18">
        <v>4.3057039999999999E-4</v>
      </c>
      <c r="I3" s="5">
        <v>3347.4</v>
      </c>
      <c r="J3" s="5">
        <v>1501.43</v>
      </c>
    </row>
    <row r="4" spans="1:10" x14ac:dyDescent="0.25">
      <c r="A4" s="2">
        <v>20</v>
      </c>
      <c r="B4" s="2">
        <v>2</v>
      </c>
      <c r="C4">
        <v>10000</v>
      </c>
      <c r="D4">
        <v>1E-3</v>
      </c>
      <c r="E4">
        <v>100000</v>
      </c>
      <c r="F4" s="76">
        <v>0.997973</v>
      </c>
      <c r="G4" s="76">
        <v>2.0270000000000002E-3</v>
      </c>
      <c r="H4" s="18">
        <v>1.4212360000000001E-4</v>
      </c>
      <c r="I4" s="5">
        <v>8477.31</v>
      </c>
      <c r="J4" s="5">
        <v>1938.29</v>
      </c>
    </row>
    <row r="5" spans="1:10" x14ac:dyDescent="0.25">
      <c r="A5" s="2" t="s">
        <v>226</v>
      </c>
      <c r="B5" s="3"/>
    </row>
    <row r="6" spans="1:10" s="1" customFormat="1" ht="33" customHeight="1" x14ac:dyDescent="0.25">
      <c r="A6" s="3" t="s">
        <v>0</v>
      </c>
      <c r="B6" s="3" t="s">
        <v>227</v>
      </c>
      <c r="C6" s="1" t="s">
        <v>1</v>
      </c>
      <c r="D6" s="1" t="s">
        <v>2</v>
      </c>
      <c r="E6" s="1" t="s">
        <v>3</v>
      </c>
      <c r="F6" s="470" t="s">
        <v>4</v>
      </c>
      <c r="G6" s="470" t="s">
        <v>5</v>
      </c>
      <c r="H6" s="74" t="s">
        <v>224</v>
      </c>
      <c r="I6" s="75" t="s">
        <v>6</v>
      </c>
      <c r="J6" s="75" t="s">
        <v>225</v>
      </c>
    </row>
    <row r="7" spans="1:10" x14ac:dyDescent="0.25">
      <c r="A7" s="2">
        <v>20</v>
      </c>
      <c r="B7" s="2">
        <v>1</v>
      </c>
      <c r="C7">
        <v>1000</v>
      </c>
      <c r="D7">
        <v>1E-3</v>
      </c>
      <c r="E7">
        <v>10000</v>
      </c>
      <c r="F7" s="76">
        <v>0.99870999999999999</v>
      </c>
      <c r="G7" s="76">
        <v>1.2899999999999999E-3</v>
      </c>
      <c r="H7" s="18">
        <v>3.575653E-4</v>
      </c>
      <c r="I7" s="5">
        <v>3866.81</v>
      </c>
      <c r="J7" s="5">
        <v>1920.71</v>
      </c>
    </row>
    <row r="8" spans="1:10" x14ac:dyDescent="0.25">
      <c r="A8" s="2">
        <v>20</v>
      </c>
      <c r="B8" s="2">
        <v>2</v>
      </c>
      <c r="C8">
        <v>10000</v>
      </c>
      <c r="D8">
        <v>1E-3</v>
      </c>
      <c r="E8">
        <v>100000</v>
      </c>
      <c r="F8" s="76">
        <v>0.99899700000000002</v>
      </c>
      <c r="G8" s="76">
        <v>1.003E-3</v>
      </c>
      <c r="H8" s="18">
        <v>9.9988200000000006E-5</v>
      </c>
      <c r="I8" s="5">
        <v>14079.04</v>
      </c>
      <c r="J8" s="5">
        <v>4110.32</v>
      </c>
    </row>
    <row r="10" spans="1:10" x14ac:dyDescent="0.25">
      <c r="A10" s="8" t="s">
        <v>223</v>
      </c>
    </row>
    <row r="11" spans="1:10" s="1" customFormat="1" ht="28.5" customHeight="1" x14ac:dyDescent="0.25">
      <c r="A11" s="3" t="s">
        <v>0</v>
      </c>
      <c r="B11" s="3" t="s">
        <v>227</v>
      </c>
      <c r="C11" s="1" t="s">
        <v>1</v>
      </c>
      <c r="D11" s="1" t="s">
        <v>2</v>
      </c>
      <c r="E11" s="1" t="s">
        <v>3</v>
      </c>
      <c r="F11" s="470" t="s">
        <v>4</v>
      </c>
      <c r="G11" s="470" t="s">
        <v>5</v>
      </c>
      <c r="H11" s="74" t="s">
        <v>224</v>
      </c>
      <c r="I11" s="75" t="s">
        <v>6</v>
      </c>
      <c r="J11" s="75" t="s">
        <v>225</v>
      </c>
    </row>
    <row r="12" spans="1:10" x14ac:dyDescent="0.25">
      <c r="A12" s="2">
        <v>20</v>
      </c>
      <c r="B12" s="2">
        <v>1</v>
      </c>
      <c r="C12">
        <v>10</v>
      </c>
      <c r="D12">
        <v>0</v>
      </c>
      <c r="E12">
        <v>10000</v>
      </c>
      <c r="F12" s="76">
        <v>0.50063999999999997</v>
      </c>
      <c r="G12" s="76">
        <v>0.49936000000000003</v>
      </c>
      <c r="H12" s="18">
        <v>4.9997185E-3</v>
      </c>
      <c r="I12" s="5">
        <v>26.2</v>
      </c>
      <c r="J12" s="5">
        <v>19.77</v>
      </c>
    </row>
    <row r="13" spans="1:10" x14ac:dyDescent="0.25">
      <c r="A13" s="2">
        <v>20</v>
      </c>
      <c r="B13" s="2">
        <v>2</v>
      </c>
      <c r="C13">
        <v>100</v>
      </c>
      <c r="D13">
        <v>0</v>
      </c>
      <c r="E13">
        <v>100000</v>
      </c>
      <c r="F13" s="76">
        <v>0.500004</v>
      </c>
      <c r="G13" s="76">
        <v>0.499996</v>
      </c>
      <c r="H13" s="18">
        <v>1.5811289000000001E-3</v>
      </c>
      <c r="I13" s="5">
        <v>275.3</v>
      </c>
      <c r="J13" s="5">
        <v>203.13</v>
      </c>
    </row>
    <row r="15" spans="1:10" x14ac:dyDescent="0.25">
      <c r="A15" s="2" t="s">
        <v>226</v>
      </c>
    </row>
    <row r="16" spans="1:10" s="1" customFormat="1" ht="27.75" customHeight="1" x14ac:dyDescent="0.25">
      <c r="A16" s="3" t="s">
        <v>0</v>
      </c>
      <c r="B16" s="3" t="s">
        <v>227</v>
      </c>
      <c r="C16" s="1" t="s">
        <v>1</v>
      </c>
      <c r="D16" s="1" t="s">
        <v>2</v>
      </c>
      <c r="E16" s="1" t="s">
        <v>3</v>
      </c>
      <c r="F16" s="470" t="s">
        <v>4</v>
      </c>
      <c r="G16" s="470" t="s">
        <v>5</v>
      </c>
      <c r="H16" s="74" t="s">
        <v>224</v>
      </c>
      <c r="I16" s="75" t="s">
        <v>6</v>
      </c>
      <c r="J16" s="75" t="s">
        <v>225</v>
      </c>
    </row>
    <row r="17" spans="1:10" x14ac:dyDescent="0.25">
      <c r="A17" s="2">
        <v>20</v>
      </c>
      <c r="B17" s="2">
        <v>1</v>
      </c>
      <c r="C17">
        <v>10</v>
      </c>
      <c r="D17">
        <v>0</v>
      </c>
      <c r="E17">
        <v>10000</v>
      </c>
      <c r="F17" s="76">
        <v>0.50041000000000002</v>
      </c>
      <c r="G17" s="76">
        <v>0.49958999999999998</v>
      </c>
      <c r="H17" s="18">
        <v>4.9998031000000002E-3</v>
      </c>
      <c r="I17" s="5">
        <v>26.26</v>
      </c>
      <c r="J17" s="5">
        <v>19.920000000000002</v>
      </c>
    </row>
    <row r="18" spans="1:10" x14ac:dyDescent="0.25">
      <c r="A18" s="2">
        <v>20</v>
      </c>
      <c r="B18" s="2">
        <v>2</v>
      </c>
      <c r="C18">
        <v>100</v>
      </c>
      <c r="D18">
        <v>0</v>
      </c>
      <c r="E18">
        <v>100000</v>
      </c>
      <c r="F18" s="76">
        <v>0.50037549999999997</v>
      </c>
      <c r="G18" s="76">
        <v>0.49962450000000003</v>
      </c>
      <c r="H18" s="18">
        <v>1.5811288000000001E-3</v>
      </c>
      <c r="I18" s="5">
        <v>275.12</v>
      </c>
      <c r="J18" s="5">
        <v>202.86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141E2-9124-4A13-9160-D404939B1DA8}">
  <dimension ref="A1:S85"/>
  <sheetViews>
    <sheetView showGridLines="0" zoomScaleNormal="100" workbookViewId="0">
      <selection activeCell="R30" sqref="R30"/>
    </sheetView>
  </sheetViews>
  <sheetFormatPr defaultColWidth="9.140625" defaultRowHeight="15" x14ac:dyDescent="0.25"/>
  <cols>
    <col min="1" max="1" width="5.42578125" style="2" customWidth="1"/>
    <col min="2" max="2" width="4.7109375" style="2" customWidth="1"/>
    <col min="3" max="3" width="5" style="2" bestFit="1" customWidth="1"/>
    <col min="4" max="4" width="7.85546875" style="2" bestFit="1" customWidth="1"/>
    <col min="5" max="5" width="9.140625" style="9"/>
    <col min="6" max="7" width="9.140625" style="6"/>
    <col min="8" max="8" width="11.140625" customWidth="1"/>
    <col min="9" max="9" width="5.5703125" style="5" bestFit="1" customWidth="1"/>
    <col min="10" max="10" width="6.42578125" style="5" bestFit="1" customWidth="1"/>
    <col min="11" max="11" width="9.140625" customWidth="1"/>
    <col min="12" max="12" width="7.5703125" bestFit="1" customWidth="1"/>
    <col min="13" max="13" width="9.28515625" style="45" customWidth="1"/>
    <col min="14" max="14" width="19.5703125" style="149" customWidth="1"/>
    <col min="15" max="15" width="15.140625" style="149" customWidth="1"/>
  </cols>
  <sheetData>
    <row r="1" spans="1:15" ht="32.25" customHeight="1" x14ac:dyDescent="0.25">
      <c r="B1" s="44" t="s">
        <v>34</v>
      </c>
    </row>
    <row r="2" spans="1:15" ht="34.5" customHeight="1" x14ac:dyDescent="0.25">
      <c r="A2" s="11" t="s">
        <v>0</v>
      </c>
      <c r="B2" s="11" t="s">
        <v>10</v>
      </c>
      <c r="C2" s="16" t="s">
        <v>11</v>
      </c>
      <c r="D2" s="11" t="s">
        <v>9</v>
      </c>
      <c r="E2" s="33" t="s">
        <v>3</v>
      </c>
      <c r="F2" s="22" t="s">
        <v>29</v>
      </c>
      <c r="G2" s="22" t="s">
        <v>27</v>
      </c>
      <c r="H2" s="54" t="s">
        <v>28</v>
      </c>
      <c r="I2" s="16" t="s">
        <v>25</v>
      </c>
      <c r="J2" s="16" t="s">
        <v>26</v>
      </c>
      <c r="K2" s="22" t="s">
        <v>151</v>
      </c>
      <c r="L2" s="22" t="s">
        <v>153</v>
      </c>
      <c r="M2" s="163" t="s">
        <v>152</v>
      </c>
      <c r="N2" s="150" t="s">
        <v>187</v>
      </c>
      <c r="O2" s="162" t="s">
        <v>156</v>
      </c>
    </row>
    <row r="3" spans="1:15" ht="15" customHeight="1" x14ac:dyDescent="0.25">
      <c r="A3" s="19">
        <v>20</v>
      </c>
      <c r="B3" s="19">
        <v>1</v>
      </c>
      <c r="C3" s="19">
        <v>1000</v>
      </c>
      <c r="D3" s="19">
        <v>1</v>
      </c>
      <c r="E3" s="123">
        <v>100000</v>
      </c>
      <c r="F3" s="256">
        <v>0.20312549999999999</v>
      </c>
      <c r="G3" s="256">
        <v>0.79687450000000004</v>
      </c>
      <c r="H3" s="54">
        <v>1.2722574999999999E-3</v>
      </c>
      <c r="I3" s="16">
        <v>22.85</v>
      </c>
      <c r="J3" s="16">
        <v>2.36</v>
      </c>
      <c r="K3" s="160">
        <f>G3-H3</f>
        <v>0.7956022425</v>
      </c>
      <c r="L3" s="36">
        <f t="shared" ref="L3" si="0">(1-EXP(-2*D3))/(1-EXP(-4*C3*D3))</f>
        <v>0.8646647167633873</v>
      </c>
      <c r="M3" s="53">
        <f>G3+H3</f>
        <v>0.79814675750000008</v>
      </c>
      <c r="N3" s="139">
        <f>L3/G3</f>
        <v>1.0850701293157043</v>
      </c>
      <c r="O3" s="121" t="b">
        <f>AND(L3&gt;=K3,L3&lt;=M3)</f>
        <v>0</v>
      </c>
    </row>
    <row r="4" spans="1:15" ht="15" customHeight="1" x14ac:dyDescent="0.25">
      <c r="A4" s="19">
        <v>20</v>
      </c>
      <c r="B4" s="19">
        <v>2</v>
      </c>
      <c r="C4" s="19">
        <v>1000</v>
      </c>
      <c r="D4" s="19">
        <v>0.9</v>
      </c>
      <c r="E4" s="249">
        <v>100000</v>
      </c>
      <c r="F4" s="256">
        <v>0.23283799999999999</v>
      </c>
      <c r="G4" s="256">
        <v>0.76716200000000001</v>
      </c>
      <c r="H4" s="54">
        <v>1.3364969E-3</v>
      </c>
      <c r="I4" s="16">
        <v>24.54</v>
      </c>
      <c r="J4" s="16">
        <v>2.57</v>
      </c>
      <c r="K4" s="160">
        <f t="shared" ref="K4:K6" si="1">G4-H4</f>
        <v>0.76582550309999997</v>
      </c>
      <c r="L4" s="36">
        <f t="shared" ref="L4:L6" si="2">(1-EXP(-2*D4))/(1-EXP(-4*C4*D4))</f>
        <v>0.83470111177841344</v>
      </c>
      <c r="M4" s="53">
        <f t="shared" ref="M4:M6" si="3">G4+H4</f>
        <v>0.76849849690000005</v>
      </c>
      <c r="N4" s="139">
        <f t="shared" ref="N4:N6" si="4">L4/G4</f>
        <v>1.088037613670142</v>
      </c>
      <c r="O4" s="121" t="b">
        <f t="shared" ref="O4:O6" si="5">AND(L4&gt;=K4,L4&lt;=M4)</f>
        <v>0</v>
      </c>
    </row>
    <row r="5" spans="1:15" ht="15" customHeight="1" x14ac:dyDescent="0.25">
      <c r="A5" s="19">
        <v>20</v>
      </c>
      <c r="B5" s="19">
        <v>3</v>
      </c>
      <c r="C5" s="19">
        <v>1000</v>
      </c>
      <c r="D5" s="19">
        <v>0.8</v>
      </c>
      <c r="E5" s="249">
        <v>100000</v>
      </c>
      <c r="F5" s="256">
        <v>0.26828849999999999</v>
      </c>
      <c r="G5" s="256">
        <v>0.73171149999999996</v>
      </c>
      <c r="H5" s="54">
        <v>1.4010983E-3</v>
      </c>
      <c r="I5" s="16">
        <v>26.62</v>
      </c>
      <c r="J5" s="16">
        <v>2.82</v>
      </c>
      <c r="K5" s="160">
        <f t="shared" si="1"/>
        <v>0.73031040169999994</v>
      </c>
      <c r="L5" s="36">
        <f t="shared" si="2"/>
        <v>0.79810348200534464</v>
      </c>
      <c r="M5" s="53">
        <f t="shared" si="3"/>
        <v>0.73311259829999997</v>
      </c>
      <c r="N5" s="139">
        <f t="shared" si="4"/>
        <v>1.0907351900378013</v>
      </c>
      <c r="O5" s="121" t="b">
        <f t="shared" si="5"/>
        <v>0</v>
      </c>
    </row>
    <row r="6" spans="1:15" ht="15" customHeight="1" x14ac:dyDescent="0.25">
      <c r="A6" s="19">
        <v>20</v>
      </c>
      <c r="B6" s="19">
        <v>4</v>
      </c>
      <c r="C6" s="19">
        <v>1000</v>
      </c>
      <c r="D6" s="19">
        <v>0.7</v>
      </c>
      <c r="E6" s="249">
        <v>100000</v>
      </c>
      <c r="F6" s="256">
        <v>0.30855199999999999</v>
      </c>
      <c r="G6" s="256">
        <v>0.69144799999999995</v>
      </c>
      <c r="H6" s="54">
        <v>1.4606354E-3</v>
      </c>
      <c r="I6" s="16">
        <v>29.25</v>
      </c>
      <c r="J6" s="16">
        <v>3.16</v>
      </c>
      <c r="K6" s="160">
        <f t="shared" si="1"/>
        <v>0.68998736459999999</v>
      </c>
      <c r="L6" s="36">
        <f t="shared" si="2"/>
        <v>0.75340303605839354</v>
      </c>
      <c r="M6" s="53">
        <f t="shared" si="3"/>
        <v>0.69290863539999992</v>
      </c>
      <c r="N6" s="139">
        <f t="shared" si="4"/>
        <v>1.0896018732549571</v>
      </c>
      <c r="O6" s="121" t="b">
        <f t="shared" si="5"/>
        <v>0</v>
      </c>
    </row>
    <row r="7" spans="1:15" ht="15" customHeight="1" x14ac:dyDescent="0.25">
      <c r="A7" s="19">
        <v>20</v>
      </c>
      <c r="B7" s="19">
        <v>5</v>
      </c>
      <c r="C7" s="19">
        <v>1000</v>
      </c>
      <c r="D7" s="19">
        <v>0.6</v>
      </c>
      <c r="E7" s="249">
        <v>100000</v>
      </c>
      <c r="F7" s="256">
        <v>0.35788449999999999</v>
      </c>
      <c r="G7" s="256">
        <v>0.64211549999999995</v>
      </c>
      <c r="H7" s="54">
        <v>1.5159166E-3</v>
      </c>
      <c r="I7" s="16">
        <v>32.700000000000003</v>
      </c>
      <c r="J7" s="16">
        <v>3.59</v>
      </c>
      <c r="K7" s="160">
        <f t="shared" ref="K7" si="6">G7-H7</f>
        <v>0.64059958340000001</v>
      </c>
      <c r="L7" s="36">
        <f t="shared" ref="L7" si="7">(1-EXP(-2*D7))/(1-EXP(-4*C7*D7))</f>
        <v>0.69880578808779781</v>
      </c>
      <c r="M7" s="53">
        <f t="shared" ref="M7" si="8">G7+H7</f>
        <v>0.64363141659999989</v>
      </c>
      <c r="N7" s="139">
        <f t="shared" ref="N7" si="9">L7/G7</f>
        <v>1.0882867460570533</v>
      </c>
      <c r="O7" s="121" t="b">
        <f t="shared" ref="O7" si="10">AND(L7&gt;=K7,L7&lt;=M7)</f>
        <v>0</v>
      </c>
    </row>
    <row r="8" spans="1:15" x14ac:dyDescent="0.25">
      <c r="A8" s="19">
        <v>20</v>
      </c>
      <c r="B8" s="19">
        <v>1</v>
      </c>
      <c r="C8" s="19">
        <v>1000</v>
      </c>
      <c r="D8" s="19">
        <v>0.5</v>
      </c>
      <c r="E8" s="249">
        <v>100000</v>
      </c>
      <c r="F8" s="117">
        <v>0.417014</v>
      </c>
      <c r="G8" s="117">
        <v>0.582986</v>
      </c>
      <c r="H8" s="105">
        <v>1.5592033E-3</v>
      </c>
      <c r="I8" s="24">
        <v>37.409999999999997</v>
      </c>
      <c r="J8" s="24">
        <v>4.21</v>
      </c>
      <c r="K8" s="160">
        <f>G8-H8</f>
        <v>0.58142679669999997</v>
      </c>
      <c r="L8" s="36">
        <f t="shared" ref="L8:L29" si="11">(1-EXP(-2*D8))/(1-EXP(-4*C8*D8))</f>
        <v>0.63212055882855767</v>
      </c>
      <c r="M8" s="53">
        <f>G8+H8</f>
        <v>0.58454520330000004</v>
      </c>
      <c r="N8" s="139">
        <f>L8/G8</f>
        <v>1.0842808555069208</v>
      </c>
      <c r="O8" s="121" t="b">
        <f>AND(L8&gt;=K8,L8&lt;=M8)</f>
        <v>0</v>
      </c>
    </row>
    <row r="9" spans="1:15" x14ac:dyDescent="0.25">
      <c r="A9" s="19">
        <v>20</v>
      </c>
      <c r="B9" s="19">
        <v>2</v>
      </c>
      <c r="C9" s="19">
        <v>1000</v>
      </c>
      <c r="D9" s="19">
        <v>0.45</v>
      </c>
      <c r="E9" s="34">
        <v>100000</v>
      </c>
      <c r="F9" s="117">
        <v>0.45128750000000001</v>
      </c>
      <c r="G9" s="117">
        <v>0.54871250000000005</v>
      </c>
      <c r="H9" s="105">
        <v>1.5736092E-3</v>
      </c>
      <c r="I9" s="24">
        <v>40.49</v>
      </c>
      <c r="J9" s="24">
        <v>4.63</v>
      </c>
      <c r="K9" s="160">
        <f t="shared" ref="K9:K32" si="12">G9-H9</f>
        <v>0.5471388908</v>
      </c>
      <c r="L9" s="36">
        <f t="shared" si="11"/>
        <v>0.59343034025940089</v>
      </c>
      <c r="M9" s="53">
        <f t="shared" ref="M9:M32" si="13">G9+H9</f>
        <v>0.5502861092000001</v>
      </c>
      <c r="N9" s="139">
        <f t="shared" ref="N9:N32" si="14">L9/G9</f>
        <v>1.0814959386917573</v>
      </c>
      <c r="O9" s="121" t="b">
        <f t="shared" ref="O9:O29" si="15">AND(L9&gt;=K9,L9&lt;=M9)</f>
        <v>0</v>
      </c>
    </row>
    <row r="10" spans="1:15" x14ac:dyDescent="0.25">
      <c r="A10" s="19">
        <v>20</v>
      </c>
      <c r="B10" s="19">
        <v>3</v>
      </c>
      <c r="C10" s="19">
        <v>1000</v>
      </c>
      <c r="D10" s="19">
        <v>0.4</v>
      </c>
      <c r="E10" s="34">
        <v>100000</v>
      </c>
      <c r="F10" s="117">
        <v>0.48950749999999998</v>
      </c>
      <c r="G10" s="117">
        <v>0.51049250000000002</v>
      </c>
      <c r="H10" s="105">
        <v>1.5807845E-3</v>
      </c>
      <c r="I10" s="24">
        <v>44.28</v>
      </c>
      <c r="J10" s="24">
        <v>5.13</v>
      </c>
      <c r="K10" s="160">
        <f t="shared" si="12"/>
        <v>0.50891171550000003</v>
      </c>
      <c r="L10" s="36">
        <f t="shared" si="11"/>
        <v>0.55067103588277844</v>
      </c>
      <c r="M10" s="53">
        <f t="shared" si="13"/>
        <v>0.5120732845</v>
      </c>
      <c r="N10" s="139">
        <f t="shared" si="14"/>
        <v>1.0787054381460617</v>
      </c>
      <c r="O10" s="121" t="b">
        <f t="shared" si="15"/>
        <v>0</v>
      </c>
    </row>
    <row r="11" spans="1:15" x14ac:dyDescent="0.25">
      <c r="A11" s="19">
        <v>20</v>
      </c>
      <c r="B11" s="19">
        <v>4</v>
      </c>
      <c r="C11" s="19">
        <v>1000</v>
      </c>
      <c r="D11" s="19">
        <v>0.35</v>
      </c>
      <c r="E11" s="34">
        <v>100000</v>
      </c>
      <c r="F11" s="117">
        <v>0.53101299999999996</v>
      </c>
      <c r="G11" s="117">
        <v>0.46898699999999999</v>
      </c>
      <c r="H11" s="105">
        <v>1.5780822E-3</v>
      </c>
      <c r="I11" s="24">
        <v>49.09</v>
      </c>
      <c r="J11" s="24">
        <v>5.79</v>
      </c>
      <c r="K11" s="160">
        <f t="shared" si="12"/>
        <v>0.46740891779999999</v>
      </c>
      <c r="L11" s="36">
        <f t="shared" si="11"/>
        <v>0.50341469620859047</v>
      </c>
      <c r="M11" s="53">
        <f t="shared" si="13"/>
        <v>0.47056508219999998</v>
      </c>
      <c r="N11" s="139">
        <f t="shared" si="14"/>
        <v>1.0734086365050428</v>
      </c>
      <c r="O11" s="121" t="b">
        <f t="shared" si="15"/>
        <v>0</v>
      </c>
    </row>
    <row r="12" spans="1:15" x14ac:dyDescent="0.25">
      <c r="A12" s="19">
        <v>20</v>
      </c>
      <c r="B12" s="19">
        <v>5</v>
      </c>
      <c r="C12" s="19">
        <v>1000</v>
      </c>
      <c r="D12" s="19">
        <v>0.3</v>
      </c>
      <c r="E12" s="34">
        <v>100000</v>
      </c>
      <c r="F12" s="117">
        <v>0.577156</v>
      </c>
      <c r="G12" s="117">
        <v>0.422844</v>
      </c>
      <c r="H12" s="105">
        <v>1.5621929000000001E-3</v>
      </c>
      <c r="I12" s="24">
        <v>55.36</v>
      </c>
      <c r="J12" s="24">
        <v>6.67</v>
      </c>
      <c r="K12" s="160">
        <f t="shared" si="12"/>
        <v>0.42128180710000002</v>
      </c>
      <c r="L12" s="36">
        <f t="shared" si="11"/>
        <v>0.45118836390597361</v>
      </c>
      <c r="M12" s="53">
        <f t="shared" si="13"/>
        <v>0.42440619289999998</v>
      </c>
      <c r="N12" s="139">
        <f t="shared" si="14"/>
        <v>1.0670326737661493</v>
      </c>
      <c r="O12" s="121" t="b">
        <f t="shared" si="15"/>
        <v>0</v>
      </c>
    </row>
    <row r="13" spans="1:15" x14ac:dyDescent="0.25">
      <c r="A13" s="19">
        <v>20</v>
      </c>
      <c r="B13" s="19">
        <v>6</v>
      </c>
      <c r="C13" s="19">
        <v>1000</v>
      </c>
      <c r="D13" s="19">
        <v>0.25</v>
      </c>
      <c r="E13" s="34">
        <v>100000</v>
      </c>
      <c r="F13" s="117">
        <v>0.62888299999999997</v>
      </c>
      <c r="G13" s="117">
        <v>0.37111699999999997</v>
      </c>
      <c r="H13" s="105">
        <v>1.5276978E-3</v>
      </c>
      <c r="I13" s="24">
        <v>63.93</v>
      </c>
      <c r="J13" s="24">
        <v>7.9</v>
      </c>
      <c r="K13" s="160">
        <f t="shared" si="12"/>
        <v>0.36958930219999997</v>
      </c>
      <c r="L13" s="36">
        <f t="shared" si="11"/>
        <v>0.39346934028736658</v>
      </c>
      <c r="M13" s="53">
        <f t="shared" si="13"/>
        <v>0.37264469779999998</v>
      </c>
      <c r="N13" s="139">
        <f t="shared" si="14"/>
        <v>1.0602299013178231</v>
      </c>
      <c r="O13" s="121" t="b">
        <f t="shared" si="15"/>
        <v>0</v>
      </c>
    </row>
    <row r="14" spans="1:15" x14ac:dyDescent="0.25">
      <c r="A14" s="19">
        <v>20</v>
      </c>
      <c r="B14" s="19">
        <v>7</v>
      </c>
      <c r="C14" s="19">
        <v>1000</v>
      </c>
      <c r="D14" s="19">
        <v>0.2</v>
      </c>
      <c r="E14" s="34">
        <v>100000</v>
      </c>
      <c r="F14" s="117">
        <v>0.68640849999999998</v>
      </c>
      <c r="G14" s="117">
        <v>0.31359150000000002</v>
      </c>
      <c r="H14" s="105">
        <v>1.4671399E-3</v>
      </c>
      <c r="I14" s="24">
        <v>76.44</v>
      </c>
      <c r="J14" s="24">
        <v>9.75</v>
      </c>
      <c r="K14" s="160">
        <f t="shared" si="12"/>
        <v>0.3121243601</v>
      </c>
      <c r="L14" s="36">
        <f t="shared" si="11"/>
        <v>0.32967995396436067</v>
      </c>
      <c r="M14" s="53">
        <f t="shared" si="13"/>
        <v>0.31505863990000005</v>
      </c>
      <c r="N14" s="139">
        <f t="shared" si="14"/>
        <v>1.0513038585687451</v>
      </c>
      <c r="O14" s="121" t="b">
        <f t="shared" si="15"/>
        <v>0</v>
      </c>
    </row>
    <row r="15" spans="1:15" x14ac:dyDescent="0.25">
      <c r="A15" s="19">
        <v>20</v>
      </c>
      <c r="B15" s="19">
        <v>8</v>
      </c>
      <c r="C15" s="19">
        <v>1000</v>
      </c>
      <c r="D15" s="19">
        <v>0.15</v>
      </c>
      <c r="E15" s="34">
        <v>100000</v>
      </c>
      <c r="F15" s="117">
        <v>0.75089249999999996</v>
      </c>
      <c r="G15" s="117">
        <v>0.24910750000000001</v>
      </c>
      <c r="H15" s="105">
        <v>1.3676643000000001E-3</v>
      </c>
      <c r="I15" s="24">
        <v>96.49</v>
      </c>
      <c r="J15" s="24">
        <v>12.84</v>
      </c>
      <c r="K15" s="160">
        <f t="shared" si="12"/>
        <v>0.24773983570000002</v>
      </c>
      <c r="L15" s="36">
        <f t="shared" si="11"/>
        <v>0.25918177931828212</v>
      </c>
      <c r="M15" s="53">
        <f t="shared" si="13"/>
        <v>0.2504751643</v>
      </c>
      <c r="N15" s="139">
        <f t="shared" si="14"/>
        <v>1.0404414934045829</v>
      </c>
      <c r="O15" s="121" t="b">
        <f t="shared" si="15"/>
        <v>0</v>
      </c>
    </row>
    <row r="16" spans="1:15" x14ac:dyDescent="0.25">
      <c r="A16" s="19">
        <v>20</v>
      </c>
      <c r="B16" s="19">
        <v>9</v>
      </c>
      <c r="C16" s="19">
        <v>1000</v>
      </c>
      <c r="D16" s="19">
        <v>0.1</v>
      </c>
      <c r="E16" s="34">
        <v>100000</v>
      </c>
      <c r="F16" s="117">
        <v>0.82362299999999999</v>
      </c>
      <c r="G16" s="117">
        <v>0.17637700000000001</v>
      </c>
      <c r="H16" s="105">
        <v>1.2052644999999999E-3</v>
      </c>
      <c r="I16" s="24">
        <v>134.35</v>
      </c>
      <c r="J16" s="24">
        <v>19.09</v>
      </c>
      <c r="K16" s="160">
        <f t="shared" si="12"/>
        <v>0.17517173550000001</v>
      </c>
      <c r="L16" s="36">
        <f t="shared" si="11"/>
        <v>0.18126924692201818</v>
      </c>
      <c r="M16" s="53">
        <f t="shared" si="13"/>
        <v>0.1775822645</v>
      </c>
      <c r="N16" s="139">
        <f t="shared" si="14"/>
        <v>1.0277374426485208</v>
      </c>
      <c r="O16" s="121" t="b">
        <f t="shared" si="15"/>
        <v>0</v>
      </c>
    </row>
    <row r="17" spans="1:19" x14ac:dyDescent="0.25">
      <c r="A17" s="19">
        <v>20</v>
      </c>
      <c r="B17" s="19">
        <v>10</v>
      </c>
      <c r="C17" s="19">
        <v>1000</v>
      </c>
      <c r="D17" s="19">
        <v>0.05</v>
      </c>
      <c r="E17" s="34">
        <v>100000</v>
      </c>
      <c r="F17" s="117">
        <v>0.906196</v>
      </c>
      <c r="G17" s="117">
        <v>9.3803999999999998E-2</v>
      </c>
      <c r="H17" s="105">
        <v>9.2196529999999995E-4</v>
      </c>
      <c r="I17" s="24">
        <v>236.88</v>
      </c>
      <c r="J17" s="24">
        <v>37.880000000000003</v>
      </c>
      <c r="K17" s="160">
        <f t="shared" si="12"/>
        <v>9.2882034700000005E-2</v>
      </c>
      <c r="L17" s="36">
        <f t="shared" si="11"/>
        <v>9.5162581964040482E-2</v>
      </c>
      <c r="M17" s="53">
        <f t="shared" si="13"/>
        <v>9.4725965299999992E-2</v>
      </c>
      <c r="N17" s="139">
        <f t="shared" si="14"/>
        <v>1.0144831986273557</v>
      </c>
      <c r="O17" s="121" t="b">
        <f t="shared" si="15"/>
        <v>0</v>
      </c>
    </row>
    <row r="18" spans="1:19" x14ac:dyDescent="0.25">
      <c r="A18" s="19">
        <v>20</v>
      </c>
      <c r="B18" s="19">
        <v>11</v>
      </c>
      <c r="C18" s="19">
        <v>1000</v>
      </c>
      <c r="D18" s="187">
        <v>0.01</v>
      </c>
      <c r="E18" s="164">
        <v>100000</v>
      </c>
      <c r="F18" s="143">
        <v>0.98019350000000005</v>
      </c>
      <c r="G18" s="143">
        <v>1.9806500000000001E-2</v>
      </c>
      <c r="H18" s="129">
        <v>4.4059479999999999E-4</v>
      </c>
      <c r="I18" s="165">
        <v>847.43</v>
      </c>
      <c r="J18" s="165">
        <v>195.72</v>
      </c>
      <c r="K18" s="143">
        <f t="shared" si="12"/>
        <v>1.9365905200000002E-2</v>
      </c>
      <c r="L18" s="133">
        <f t="shared" si="11"/>
        <v>1.9801326693244747E-2</v>
      </c>
      <c r="M18" s="133">
        <f t="shared" si="13"/>
        <v>2.02470948E-2</v>
      </c>
      <c r="N18" s="140">
        <f t="shared" si="14"/>
        <v>0.99973880762601908</v>
      </c>
      <c r="O18" s="132" t="b">
        <f t="shared" si="15"/>
        <v>1</v>
      </c>
    </row>
    <row r="19" spans="1:19" x14ac:dyDescent="0.25">
      <c r="A19" s="19">
        <v>20</v>
      </c>
      <c r="B19" s="19">
        <v>12</v>
      </c>
      <c r="C19" s="19">
        <v>1000</v>
      </c>
      <c r="D19" s="130">
        <v>8.9999999999999993E-3</v>
      </c>
      <c r="E19" s="164">
        <v>100000</v>
      </c>
      <c r="F19" s="143">
        <v>0.98237750000000001</v>
      </c>
      <c r="G19" s="143">
        <v>1.7622499999999999E-2</v>
      </c>
      <c r="H19" s="129">
        <v>4.160546E-4</v>
      </c>
      <c r="I19" s="165">
        <v>919.45</v>
      </c>
      <c r="J19" s="165">
        <v>218.42</v>
      </c>
      <c r="K19" s="143">
        <f t="shared" si="12"/>
        <v>1.7206445399999999E-2</v>
      </c>
      <c r="L19" s="133">
        <f t="shared" si="11"/>
        <v>1.7838967641699236E-2</v>
      </c>
      <c r="M19" s="133">
        <f t="shared" si="13"/>
        <v>1.8038554599999999E-2</v>
      </c>
      <c r="N19" s="140">
        <f t="shared" si="14"/>
        <v>1.0122835943651149</v>
      </c>
      <c r="O19" s="132" t="b">
        <f t="shared" si="15"/>
        <v>1</v>
      </c>
    </row>
    <row r="20" spans="1:19" x14ac:dyDescent="0.25">
      <c r="A20" s="19">
        <v>20</v>
      </c>
      <c r="B20" s="19">
        <v>13</v>
      </c>
      <c r="C20" s="19">
        <v>1000</v>
      </c>
      <c r="D20" s="130">
        <v>8.0000000000000002E-3</v>
      </c>
      <c r="E20" s="164">
        <v>100000</v>
      </c>
      <c r="F20" s="143">
        <v>0.98412650000000002</v>
      </c>
      <c r="G20" s="143">
        <v>1.5873499999999999E-2</v>
      </c>
      <c r="H20" s="129">
        <v>3.952146E-4</v>
      </c>
      <c r="I20" s="165">
        <v>1001.68</v>
      </c>
      <c r="J20" s="165">
        <v>246.51</v>
      </c>
      <c r="K20" s="143">
        <f t="shared" si="12"/>
        <v>1.5478285399999998E-2</v>
      </c>
      <c r="L20" s="133">
        <f t="shared" si="11"/>
        <v>1.5872679944715064E-2</v>
      </c>
      <c r="M20" s="133">
        <f t="shared" si="13"/>
        <v>1.6268714599999998E-2</v>
      </c>
      <c r="N20" s="140">
        <f t="shared" si="14"/>
        <v>0.99994833809273731</v>
      </c>
      <c r="O20" s="132" t="b">
        <f t="shared" si="15"/>
        <v>1</v>
      </c>
    </row>
    <row r="21" spans="1:19" x14ac:dyDescent="0.25">
      <c r="A21" s="19">
        <v>20</v>
      </c>
      <c r="B21" s="19">
        <v>14</v>
      </c>
      <c r="C21" s="19">
        <v>1000</v>
      </c>
      <c r="D21" s="130">
        <v>7.0000000000000001E-3</v>
      </c>
      <c r="E21" s="164">
        <v>100000</v>
      </c>
      <c r="F21" s="143">
        <v>0.98607800000000001</v>
      </c>
      <c r="G21" s="143">
        <v>1.3922E-2</v>
      </c>
      <c r="H21" s="129">
        <v>3.7049609999999998E-4</v>
      </c>
      <c r="I21" s="165">
        <v>1108.44</v>
      </c>
      <c r="J21" s="165">
        <v>284.52999999999997</v>
      </c>
      <c r="K21" s="143">
        <f t="shared" si="12"/>
        <v>1.3551503900000001E-2</v>
      </c>
      <c r="L21" s="133">
        <f t="shared" si="11"/>
        <v>1.3902455737147721E-2</v>
      </c>
      <c r="M21" s="133">
        <f t="shared" si="13"/>
        <v>1.42924961E-2</v>
      </c>
      <c r="N21" s="140">
        <f t="shared" si="14"/>
        <v>0.99859615982960204</v>
      </c>
      <c r="O21" s="132" t="b">
        <f t="shared" si="15"/>
        <v>1</v>
      </c>
    </row>
    <row r="22" spans="1:19" x14ac:dyDescent="0.25">
      <c r="A22" s="19">
        <v>20</v>
      </c>
      <c r="B22" s="19">
        <v>15</v>
      </c>
      <c r="C22" s="19">
        <v>1000</v>
      </c>
      <c r="D22" s="130">
        <v>6.0000000000000001E-3</v>
      </c>
      <c r="E22" s="164">
        <v>100000</v>
      </c>
      <c r="F22" s="143">
        <v>0.98831250000000004</v>
      </c>
      <c r="G22" s="143">
        <v>1.16875E-2</v>
      </c>
      <c r="H22" s="129">
        <v>3.3983510000000001E-4</v>
      </c>
      <c r="I22" s="165">
        <v>1237.4100000000001</v>
      </c>
      <c r="J22" s="165">
        <v>333.23</v>
      </c>
      <c r="K22" s="143">
        <f t="shared" si="12"/>
        <v>1.13476649E-2</v>
      </c>
      <c r="L22" s="133">
        <f t="shared" si="11"/>
        <v>1.192828713851979E-2</v>
      </c>
      <c r="M22" s="133">
        <f t="shared" si="13"/>
        <v>1.20273351E-2</v>
      </c>
      <c r="N22" s="140">
        <f t="shared" si="14"/>
        <v>1.0206021081086452</v>
      </c>
      <c r="O22" s="132" t="b">
        <f t="shared" si="15"/>
        <v>1</v>
      </c>
    </row>
    <row r="23" spans="1:19" x14ac:dyDescent="0.25">
      <c r="A23" s="19">
        <v>20</v>
      </c>
      <c r="B23" s="19">
        <v>16</v>
      </c>
      <c r="C23" s="19">
        <v>1000</v>
      </c>
      <c r="D23" s="130">
        <v>5.0000000000000001E-3</v>
      </c>
      <c r="E23" s="164">
        <v>100000</v>
      </c>
      <c r="F23" s="143">
        <v>0.98999649999999995</v>
      </c>
      <c r="G23" s="143">
        <v>1.00035E-2</v>
      </c>
      <c r="H23" s="129">
        <v>3.1466490000000002E-4</v>
      </c>
      <c r="I23" s="165">
        <v>1403.9</v>
      </c>
      <c r="J23" s="165">
        <v>399.44</v>
      </c>
      <c r="K23" s="143">
        <f t="shared" si="12"/>
        <v>9.6888350999999994E-3</v>
      </c>
      <c r="L23" s="133">
        <f t="shared" si="11"/>
        <v>9.9501662713407137E-3</v>
      </c>
      <c r="M23" s="133">
        <f t="shared" si="13"/>
        <v>1.0318164900000001E-2</v>
      </c>
      <c r="N23" s="140">
        <f t="shared" si="14"/>
        <v>0.99466849316146488</v>
      </c>
      <c r="O23" s="132" t="b">
        <f t="shared" si="15"/>
        <v>1</v>
      </c>
    </row>
    <row r="24" spans="1:19" x14ac:dyDescent="0.25">
      <c r="A24" s="19">
        <v>20</v>
      </c>
      <c r="B24" s="19">
        <v>17</v>
      </c>
      <c r="C24" s="19">
        <v>1000</v>
      </c>
      <c r="D24" s="130">
        <v>4.0000000000000001E-3</v>
      </c>
      <c r="E24" s="164">
        <v>100000</v>
      </c>
      <c r="F24" s="143">
        <v>0.99209150000000002</v>
      </c>
      <c r="G24" s="143">
        <v>7.9085000000000006E-3</v>
      </c>
      <c r="H24" s="129">
        <v>2.8006720000000001E-4</v>
      </c>
      <c r="I24" s="165">
        <v>1641.76</v>
      </c>
      <c r="J24" s="165">
        <v>510.13</v>
      </c>
      <c r="K24" s="143">
        <f t="shared" si="12"/>
        <v>7.6284328000000004E-3</v>
      </c>
      <c r="L24" s="133">
        <f t="shared" si="11"/>
        <v>7.968086059629299E-3</v>
      </c>
      <c r="M24" s="133">
        <f t="shared" si="13"/>
        <v>8.1885672E-3</v>
      </c>
      <c r="N24" s="140">
        <f t="shared" si="14"/>
        <v>1.0075344325256748</v>
      </c>
      <c r="O24" s="132" t="b">
        <f t="shared" si="15"/>
        <v>1</v>
      </c>
    </row>
    <row r="25" spans="1:19" x14ac:dyDescent="0.25">
      <c r="A25" s="19">
        <v>20</v>
      </c>
      <c r="B25" s="19">
        <v>18</v>
      </c>
      <c r="C25" s="19">
        <v>1000</v>
      </c>
      <c r="D25" s="130">
        <v>3.0000000000000001E-3</v>
      </c>
      <c r="E25" s="164">
        <v>100000</v>
      </c>
      <c r="F25" s="143">
        <v>0.99408050000000003</v>
      </c>
      <c r="G25" s="143">
        <v>5.9195000000000003E-3</v>
      </c>
      <c r="H25" s="129">
        <v>2.425463E-4</v>
      </c>
      <c r="I25" s="165">
        <v>1982.16</v>
      </c>
      <c r="J25" s="165">
        <v>673.76</v>
      </c>
      <c r="K25" s="143">
        <f t="shared" si="12"/>
        <v>5.6769537E-3</v>
      </c>
      <c r="L25" s="133">
        <f t="shared" si="11"/>
        <v>5.9820727011897128E-3</v>
      </c>
      <c r="M25" s="133">
        <f t="shared" si="13"/>
        <v>6.1620463000000006E-3</v>
      </c>
      <c r="N25" s="140">
        <f t="shared" si="14"/>
        <v>1.010570605826457</v>
      </c>
      <c r="O25" s="132" t="b">
        <f t="shared" si="15"/>
        <v>1</v>
      </c>
    </row>
    <row r="26" spans="1:19" x14ac:dyDescent="0.25">
      <c r="A26" s="19">
        <v>20</v>
      </c>
      <c r="B26" s="19">
        <v>19</v>
      </c>
      <c r="C26" s="19">
        <v>1000</v>
      </c>
      <c r="D26" s="130">
        <v>2E-3</v>
      </c>
      <c r="E26" s="164">
        <v>100000</v>
      </c>
      <c r="F26" s="143">
        <v>0.99596600000000002</v>
      </c>
      <c r="G26" s="143">
        <v>4.0340000000000003E-3</v>
      </c>
      <c r="H26" s="129">
        <v>2.003955E-4</v>
      </c>
      <c r="I26" s="165">
        <v>2543.33</v>
      </c>
      <c r="J26" s="165">
        <v>1022.11</v>
      </c>
      <c r="K26" s="143">
        <f t="shared" si="12"/>
        <v>3.8336045000000002E-3</v>
      </c>
      <c r="L26" s="133">
        <f t="shared" si="11"/>
        <v>3.9933502757861662E-3</v>
      </c>
      <c r="M26" s="133">
        <f t="shared" si="13"/>
        <v>4.2343954999999999E-3</v>
      </c>
      <c r="N26" s="140">
        <f t="shared" si="14"/>
        <v>0.98992322156325385</v>
      </c>
      <c r="O26" s="132" t="b">
        <f t="shared" si="15"/>
        <v>1</v>
      </c>
    </row>
    <row r="27" spans="1:19" x14ac:dyDescent="0.25">
      <c r="A27" s="19">
        <v>20</v>
      </c>
      <c r="B27" s="19">
        <v>20</v>
      </c>
      <c r="C27" s="19">
        <v>1000</v>
      </c>
      <c r="D27" s="187">
        <v>1E-3</v>
      </c>
      <c r="E27" s="164">
        <v>100000</v>
      </c>
      <c r="F27" s="143">
        <v>0.99803850000000005</v>
      </c>
      <c r="G27" s="143">
        <v>1.9615000000000001E-3</v>
      </c>
      <c r="H27" s="129">
        <v>1.3986310000000001E-4</v>
      </c>
      <c r="I27" s="165">
        <v>3303.59</v>
      </c>
      <c r="J27" s="165">
        <v>1602.88</v>
      </c>
      <c r="K27" s="143">
        <f t="shared" si="12"/>
        <v>1.8216369E-3</v>
      </c>
      <c r="L27" s="133">
        <f t="shared" si="11"/>
        <v>2.0352787635377887E-3</v>
      </c>
      <c r="M27" s="133">
        <f t="shared" si="13"/>
        <v>2.1013631000000002E-3</v>
      </c>
      <c r="N27" s="140">
        <f t="shared" si="14"/>
        <v>1.0376134404984902</v>
      </c>
      <c r="O27" s="132" t="b">
        <f t="shared" si="15"/>
        <v>1</v>
      </c>
    </row>
    <row r="28" spans="1:19" ht="15.75" x14ac:dyDescent="0.25">
      <c r="A28" s="19">
        <v>20</v>
      </c>
      <c r="B28" s="19">
        <v>21</v>
      </c>
      <c r="C28" s="19">
        <v>1000</v>
      </c>
      <c r="D28" s="243">
        <v>1E-4</v>
      </c>
      <c r="E28" s="164">
        <v>100000</v>
      </c>
      <c r="F28" s="143">
        <v>0.99939549999999999</v>
      </c>
      <c r="G28" s="239">
        <v>6.045E-4</v>
      </c>
      <c r="H28" s="129">
        <v>7.7506699999999994E-5</v>
      </c>
      <c r="I28" s="236">
        <v>3990.92</v>
      </c>
      <c r="J28" s="165">
        <v>2110.4299999999998</v>
      </c>
      <c r="K28" s="143">
        <f t="shared" si="12"/>
        <v>5.2699330000000001E-4</v>
      </c>
      <c r="L28" s="133">
        <f t="shared" si="11"/>
        <v>6.0658829549240271E-4</v>
      </c>
      <c r="M28" s="133">
        <f t="shared" si="13"/>
        <v>6.820067E-4</v>
      </c>
      <c r="N28" s="140">
        <f t="shared" si="14"/>
        <v>1.0034545831139829</v>
      </c>
      <c r="O28" s="132" t="b">
        <f t="shared" si="15"/>
        <v>1</v>
      </c>
    </row>
    <row r="29" spans="1:19" x14ac:dyDescent="0.25">
      <c r="A29" s="19">
        <v>20</v>
      </c>
      <c r="B29" s="19">
        <v>22</v>
      </c>
      <c r="C29" s="19">
        <v>1000</v>
      </c>
      <c r="D29" s="175">
        <v>1.0000000000000001E-5</v>
      </c>
      <c r="E29" s="164">
        <v>100000</v>
      </c>
      <c r="F29" s="143">
        <v>0.999498</v>
      </c>
      <c r="G29" s="143">
        <v>5.0199999999999995E-4</v>
      </c>
      <c r="H29" s="129">
        <v>7.0544399999999995E-5</v>
      </c>
      <c r="I29" s="165">
        <v>3932.11</v>
      </c>
      <c r="J29" s="165">
        <v>2116.19</v>
      </c>
      <c r="K29" s="143">
        <f t="shared" si="12"/>
        <v>4.3145559999999996E-4</v>
      </c>
      <c r="L29" s="133">
        <f t="shared" si="11"/>
        <v>5.1006156425637266E-4</v>
      </c>
      <c r="M29" s="133">
        <f t="shared" si="13"/>
        <v>5.7254439999999995E-4</v>
      </c>
      <c r="N29" s="140">
        <f t="shared" si="14"/>
        <v>1.0160588929409815</v>
      </c>
      <c r="O29" s="132" t="b">
        <f t="shared" si="15"/>
        <v>1</v>
      </c>
    </row>
    <row r="30" spans="1:19" x14ac:dyDescent="0.25">
      <c r="A30" s="19">
        <v>20</v>
      </c>
      <c r="B30" s="19">
        <v>1</v>
      </c>
      <c r="C30" s="19">
        <v>1000</v>
      </c>
      <c r="D30" s="175">
        <v>9.9999999999999995E-7</v>
      </c>
      <c r="E30" s="164">
        <v>100000</v>
      </c>
      <c r="F30" s="143">
        <v>0.99948349999999997</v>
      </c>
      <c r="G30" s="143">
        <v>5.1650000000000003E-4</v>
      </c>
      <c r="H30" s="129">
        <v>7.1728400000000003E-5</v>
      </c>
      <c r="I30" s="165">
        <v>4062.34</v>
      </c>
      <c r="J30" s="165">
        <v>2127.0100000000002</v>
      </c>
      <c r="K30" s="143">
        <f t="shared" ref="K30:K31" si="16">G30-H30</f>
        <v>4.4477160000000004E-4</v>
      </c>
      <c r="L30" s="133">
        <f t="shared" ref="L30:L31" si="17">(1-EXP(-2*D30))/(1-EXP(-4*C30*D30))</f>
        <v>5.0100016566350227E-4</v>
      </c>
      <c r="M30" s="133">
        <f t="shared" ref="M30:M31" si="18">G30+H30</f>
        <v>5.8822840000000002E-4</v>
      </c>
      <c r="N30" s="140">
        <f t="shared" ref="N30:N31" si="19">L30/G30</f>
        <v>0.9699906402003915</v>
      </c>
      <c r="O30" s="132" t="b">
        <f t="shared" ref="O30:O31" si="20">AND(L30&gt;=K30,L30&lt;=M30)</f>
        <v>1</v>
      </c>
      <c r="R30" s="425"/>
      <c r="S30" s="424"/>
    </row>
    <row r="31" spans="1:19" x14ac:dyDescent="0.25">
      <c r="A31" s="19">
        <v>20</v>
      </c>
      <c r="B31" s="19">
        <v>2</v>
      </c>
      <c r="C31" s="19">
        <v>1000</v>
      </c>
      <c r="D31" s="175">
        <v>9.9999999999999995E-8</v>
      </c>
      <c r="E31" s="164">
        <v>100000</v>
      </c>
      <c r="F31" s="143">
        <v>0.99948199999999998</v>
      </c>
      <c r="G31" s="143">
        <v>5.1800000000000001E-4</v>
      </c>
      <c r="H31" s="129">
        <v>7.17212E-5</v>
      </c>
      <c r="I31" s="165">
        <v>4029.73</v>
      </c>
      <c r="J31" s="165">
        <v>2120.6999999999998</v>
      </c>
      <c r="K31" s="143">
        <f t="shared" si="16"/>
        <v>4.4627879999999999E-4</v>
      </c>
      <c r="L31" s="133">
        <f t="shared" si="17"/>
        <v>5.000999567110467E-4</v>
      </c>
      <c r="M31" s="133">
        <f t="shared" si="18"/>
        <v>5.8972120000000004E-4</v>
      </c>
      <c r="N31" s="140">
        <f t="shared" si="19"/>
        <v>0.96544393187460753</v>
      </c>
      <c r="O31" s="132" t="b">
        <f t="shared" si="20"/>
        <v>1</v>
      </c>
    </row>
    <row r="32" spans="1:19" ht="15.75" x14ac:dyDescent="0.25">
      <c r="A32" s="19">
        <v>20</v>
      </c>
      <c r="B32" s="19">
        <v>23</v>
      </c>
      <c r="C32" s="19">
        <v>1000</v>
      </c>
      <c r="D32" s="241">
        <v>0</v>
      </c>
      <c r="E32" s="164">
        <v>100000</v>
      </c>
      <c r="F32" s="143">
        <v>0.99949449999999995</v>
      </c>
      <c r="G32" s="239">
        <v>5.0549999999999998E-4</v>
      </c>
      <c r="H32" s="129">
        <v>7.0833499999999999E-5</v>
      </c>
      <c r="I32" s="236">
        <v>4016.64</v>
      </c>
      <c r="J32" s="165">
        <v>2133.59</v>
      </c>
      <c r="K32" s="143">
        <f t="shared" si="12"/>
        <v>4.3466649999999996E-4</v>
      </c>
      <c r="L32" s="133">
        <v>5.0000000000000001E-4</v>
      </c>
      <c r="M32" s="133">
        <f t="shared" si="13"/>
        <v>5.7633350000000001E-4</v>
      </c>
      <c r="N32" s="140">
        <f t="shared" si="14"/>
        <v>0.98911968348170132</v>
      </c>
      <c r="O32" s="132"/>
    </row>
    <row r="33" spans="1:15" x14ac:dyDescent="0.25">
      <c r="D33" s="2">
        <v>0</v>
      </c>
      <c r="H33" s="57" t="s">
        <v>102</v>
      </c>
      <c r="I33" s="5">
        <v>4000</v>
      </c>
    </row>
    <row r="34" spans="1:15" x14ac:dyDescent="0.25">
      <c r="G34" s="261" t="s">
        <v>174</v>
      </c>
    </row>
    <row r="35" spans="1:15" x14ac:dyDescent="0.25">
      <c r="B35" s="44" t="s">
        <v>35</v>
      </c>
    </row>
    <row r="36" spans="1:15" ht="30" x14ac:dyDescent="0.25">
      <c r="A36" s="11" t="s">
        <v>0</v>
      </c>
      <c r="B36" s="11" t="s">
        <v>10</v>
      </c>
      <c r="C36" s="16" t="s">
        <v>11</v>
      </c>
      <c r="D36" s="11" t="s">
        <v>9</v>
      </c>
      <c r="E36" s="33" t="s">
        <v>3</v>
      </c>
      <c r="F36" s="22" t="s">
        <v>29</v>
      </c>
      <c r="G36" s="22" t="s">
        <v>27</v>
      </c>
      <c r="H36" s="54" t="s">
        <v>28</v>
      </c>
      <c r="I36" s="16" t="s">
        <v>25</v>
      </c>
      <c r="J36" s="16" t="s">
        <v>26</v>
      </c>
      <c r="K36" s="22" t="s">
        <v>151</v>
      </c>
      <c r="L36" s="22" t="s">
        <v>153</v>
      </c>
      <c r="M36" s="163" t="s">
        <v>152</v>
      </c>
      <c r="N36" s="150" t="s">
        <v>187</v>
      </c>
      <c r="O36" s="162" t="s">
        <v>156</v>
      </c>
    </row>
    <row r="37" spans="1:15" x14ac:dyDescent="0.25">
      <c r="A37" s="2">
        <v>20</v>
      </c>
      <c r="B37" s="2">
        <v>1</v>
      </c>
      <c r="C37" s="2">
        <v>1000</v>
      </c>
      <c r="D37" s="2">
        <v>0.5</v>
      </c>
      <c r="E37" s="55">
        <v>10000</v>
      </c>
      <c r="F37" s="6">
        <v>0.41913</v>
      </c>
      <c r="G37" s="6">
        <v>0.58087</v>
      </c>
      <c r="H37">
        <v>4.9339244999999999E-3</v>
      </c>
      <c r="I37" s="5">
        <v>37.4</v>
      </c>
      <c r="J37" s="5">
        <v>4.21</v>
      </c>
      <c r="K37" s="160">
        <f>G37-H37</f>
        <v>0.57593607550000003</v>
      </c>
      <c r="L37" s="36">
        <f t="shared" ref="L37:L58" si="21">(1-EXP(-2*D37))/(1-EXP(-4*C37*D37))</f>
        <v>0.63212055882855767</v>
      </c>
      <c r="M37" s="53">
        <f>G37+H37</f>
        <v>0.58580392449999996</v>
      </c>
      <c r="N37" s="139">
        <f t="shared" ref="N37:N59" si="22">L37/G37</f>
        <v>1.0882306864333804</v>
      </c>
      <c r="O37" s="121" t="b">
        <f>AND(L37&gt;=K37,L37&lt;=M37)</f>
        <v>0</v>
      </c>
    </row>
    <row r="38" spans="1:15" x14ac:dyDescent="0.25">
      <c r="A38" s="2">
        <v>20</v>
      </c>
      <c r="B38" s="2">
        <v>2</v>
      </c>
      <c r="C38" s="2">
        <v>1000</v>
      </c>
      <c r="D38" s="2">
        <v>0.45</v>
      </c>
      <c r="E38" s="9">
        <v>10000</v>
      </c>
      <c r="F38" s="6">
        <v>0.45111499999999999</v>
      </c>
      <c r="G38" s="6">
        <v>0.54888499999999996</v>
      </c>
      <c r="H38">
        <v>4.9758327000000001E-3</v>
      </c>
      <c r="I38" s="5">
        <v>40.49</v>
      </c>
      <c r="J38" s="5">
        <v>4.62</v>
      </c>
      <c r="K38" s="160">
        <f t="shared" ref="K38:K59" si="23">G38-H38</f>
        <v>0.54390916729999994</v>
      </c>
      <c r="L38" s="36">
        <f t="shared" si="21"/>
        <v>0.59343034025940089</v>
      </c>
      <c r="M38" s="53">
        <f t="shared" ref="M38:M59" si="24">G38+H38</f>
        <v>0.55386083269999997</v>
      </c>
      <c r="N38" s="139">
        <f t="shared" si="22"/>
        <v>1.0811560531976661</v>
      </c>
      <c r="O38" s="121" t="b">
        <f t="shared" ref="O38:O58" si="25">AND(L38&gt;=K38,L38&lt;=M38)</f>
        <v>0</v>
      </c>
    </row>
    <row r="39" spans="1:15" x14ac:dyDescent="0.25">
      <c r="A39" s="2">
        <v>20</v>
      </c>
      <c r="B39" s="2">
        <v>3</v>
      </c>
      <c r="C39" s="2">
        <v>1000</v>
      </c>
      <c r="D39" s="2">
        <v>0.4</v>
      </c>
      <c r="E39" s="9">
        <v>10000</v>
      </c>
      <c r="F39" s="6">
        <v>0.490645</v>
      </c>
      <c r="G39" s="6">
        <v>0.509355</v>
      </c>
      <c r="H39">
        <v>4.9988734999999998E-3</v>
      </c>
      <c r="I39" s="5">
        <v>44.28</v>
      </c>
      <c r="J39" s="5">
        <v>5.12</v>
      </c>
      <c r="K39" s="160">
        <f t="shared" si="23"/>
        <v>0.50435612650000006</v>
      </c>
      <c r="L39" s="36">
        <f t="shared" si="21"/>
        <v>0.55067103588277844</v>
      </c>
      <c r="M39" s="53">
        <f t="shared" si="24"/>
        <v>0.51435387349999995</v>
      </c>
      <c r="N39" s="139">
        <f t="shared" si="22"/>
        <v>1.08111442094959</v>
      </c>
      <c r="O39" s="121" t="b">
        <f t="shared" si="25"/>
        <v>0</v>
      </c>
    </row>
    <row r="40" spans="1:15" x14ac:dyDescent="0.25">
      <c r="A40" s="2">
        <v>20</v>
      </c>
      <c r="B40" s="2">
        <v>4</v>
      </c>
      <c r="C40" s="2">
        <v>1000</v>
      </c>
      <c r="D40" s="2">
        <v>0.35</v>
      </c>
      <c r="E40" s="9">
        <v>10000</v>
      </c>
      <c r="F40" s="6">
        <v>0.53142</v>
      </c>
      <c r="G40" s="6">
        <v>0.46858</v>
      </c>
      <c r="H40">
        <v>4.9899310000000004E-3</v>
      </c>
      <c r="I40" s="5">
        <v>49.06</v>
      </c>
      <c r="J40" s="5">
        <v>5.78</v>
      </c>
      <c r="K40" s="160">
        <f t="shared" si="23"/>
        <v>0.46359006899999999</v>
      </c>
      <c r="L40" s="36">
        <f t="shared" si="21"/>
        <v>0.50341469620859047</v>
      </c>
      <c r="M40" s="53">
        <f t="shared" si="24"/>
        <v>0.473569931</v>
      </c>
      <c r="N40" s="139">
        <f t="shared" si="22"/>
        <v>1.074340979573585</v>
      </c>
      <c r="O40" s="121" t="b">
        <f t="shared" si="25"/>
        <v>0</v>
      </c>
    </row>
    <row r="41" spans="1:15" x14ac:dyDescent="0.25">
      <c r="A41" s="2">
        <v>20</v>
      </c>
      <c r="B41" s="2">
        <v>5</v>
      </c>
      <c r="C41" s="2">
        <v>1000</v>
      </c>
      <c r="D41" s="2">
        <v>0.3</v>
      </c>
      <c r="E41" s="9">
        <v>10000</v>
      </c>
      <c r="F41" s="6">
        <v>0.57841500000000001</v>
      </c>
      <c r="G41" s="6">
        <v>0.42158499999999999</v>
      </c>
      <c r="H41">
        <v>4.9380018999999999E-3</v>
      </c>
      <c r="I41" s="5">
        <v>55.37</v>
      </c>
      <c r="J41" s="5">
        <v>6.67</v>
      </c>
      <c r="K41" s="160">
        <f t="shared" si="23"/>
        <v>0.4166469981</v>
      </c>
      <c r="L41" s="36">
        <f t="shared" si="21"/>
        <v>0.45118836390597361</v>
      </c>
      <c r="M41" s="53">
        <f t="shared" si="24"/>
        <v>0.42652300189999998</v>
      </c>
      <c r="N41" s="139">
        <f t="shared" si="22"/>
        <v>1.0702192058682676</v>
      </c>
      <c r="O41" s="121" t="b">
        <f t="shared" si="25"/>
        <v>0</v>
      </c>
    </row>
    <row r="42" spans="1:15" x14ac:dyDescent="0.25">
      <c r="A42" s="2">
        <v>20</v>
      </c>
      <c r="B42" s="2">
        <v>6</v>
      </c>
      <c r="C42" s="2">
        <v>1000</v>
      </c>
      <c r="D42" s="2">
        <v>0.25</v>
      </c>
      <c r="E42" s="9">
        <v>10000</v>
      </c>
      <c r="F42" s="6">
        <v>0.63041999999999998</v>
      </c>
      <c r="G42" s="6">
        <v>0.36958000000000002</v>
      </c>
      <c r="H42">
        <v>4.8266658000000002E-3</v>
      </c>
      <c r="I42" s="5">
        <v>63.96</v>
      </c>
      <c r="J42" s="5">
        <v>7.93</v>
      </c>
      <c r="K42" s="160">
        <f t="shared" si="23"/>
        <v>0.3647533342</v>
      </c>
      <c r="L42" s="36">
        <f t="shared" si="21"/>
        <v>0.39346934028736658</v>
      </c>
      <c r="M42" s="53">
        <f t="shared" si="24"/>
        <v>0.37440666580000004</v>
      </c>
      <c r="N42" s="139">
        <f t="shared" si="22"/>
        <v>1.0646391587406423</v>
      </c>
      <c r="O42" s="121" t="b">
        <f t="shared" si="25"/>
        <v>0</v>
      </c>
    </row>
    <row r="43" spans="1:15" x14ac:dyDescent="0.25">
      <c r="A43" s="2">
        <v>20</v>
      </c>
      <c r="B43" s="2">
        <v>7</v>
      </c>
      <c r="C43" s="2">
        <v>1000</v>
      </c>
      <c r="D43" s="2">
        <v>0.2</v>
      </c>
      <c r="E43" s="9">
        <v>10000</v>
      </c>
      <c r="F43" s="6">
        <v>0.68645</v>
      </c>
      <c r="G43" s="6">
        <v>0.31355</v>
      </c>
      <c r="H43">
        <v>4.6390581999999998E-3</v>
      </c>
      <c r="I43" s="5">
        <v>76.42</v>
      </c>
      <c r="J43" s="5">
        <v>9.73</v>
      </c>
      <c r="K43" s="160">
        <f t="shared" si="23"/>
        <v>0.30891094180000001</v>
      </c>
      <c r="L43" s="36">
        <f t="shared" si="21"/>
        <v>0.32967995396436067</v>
      </c>
      <c r="M43" s="53">
        <f t="shared" si="24"/>
        <v>0.31818905819999999</v>
      </c>
      <c r="N43" s="139">
        <f t="shared" si="22"/>
        <v>1.0514430041918694</v>
      </c>
      <c r="O43" s="121" t="b">
        <f t="shared" si="25"/>
        <v>0</v>
      </c>
    </row>
    <row r="44" spans="1:15" x14ac:dyDescent="0.25">
      <c r="A44" s="2">
        <v>20</v>
      </c>
      <c r="B44" s="2">
        <v>8</v>
      </c>
      <c r="C44" s="2">
        <v>1000</v>
      </c>
      <c r="D44" s="2">
        <v>0.15</v>
      </c>
      <c r="E44" s="9">
        <v>10000</v>
      </c>
      <c r="F44" s="6">
        <v>0.75161500000000003</v>
      </c>
      <c r="G44" s="6">
        <v>0.24838499999999999</v>
      </c>
      <c r="H44">
        <v>4.3204886999999997E-3</v>
      </c>
      <c r="I44" s="5">
        <v>96.49</v>
      </c>
      <c r="J44" s="5">
        <v>12.85</v>
      </c>
      <c r="K44" s="160">
        <f t="shared" si="23"/>
        <v>0.24406451130000001</v>
      </c>
      <c r="L44" s="36">
        <f t="shared" si="21"/>
        <v>0.25918177931828212</v>
      </c>
      <c r="M44" s="53">
        <f t="shared" si="24"/>
        <v>0.25270548869999998</v>
      </c>
      <c r="N44" s="139">
        <f t="shared" si="22"/>
        <v>1.0434679200365646</v>
      </c>
      <c r="O44" s="121" t="b">
        <f t="shared" si="25"/>
        <v>0</v>
      </c>
    </row>
    <row r="45" spans="1:15" x14ac:dyDescent="0.25">
      <c r="A45" s="2">
        <v>20</v>
      </c>
      <c r="B45" s="2">
        <v>9</v>
      </c>
      <c r="C45" s="2">
        <v>1000</v>
      </c>
      <c r="D45" s="2">
        <v>0.1</v>
      </c>
      <c r="E45" s="9">
        <v>10000</v>
      </c>
      <c r="F45" s="6">
        <v>0.82460999999999995</v>
      </c>
      <c r="G45" s="6">
        <v>0.17538999999999999</v>
      </c>
      <c r="H45">
        <v>3.8028026999999999E-3</v>
      </c>
      <c r="I45" s="5">
        <v>134.32</v>
      </c>
      <c r="J45" s="5">
        <v>18.93</v>
      </c>
      <c r="K45" s="160">
        <f t="shared" si="23"/>
        <v>0.17158719729999999</v>
      </c>
      <c r="L45" s="36">
        <f t="shared" si="21"/>
        <v>0.18126924692201818</v>
      </c>
      <c r="M45" s="53">
        <f t="shared" si="24"/>
        <v>0.17919280269999999</v>
      </c>
      <c r="N45" s="139">
        <f t="shared" si="22"/>
        <v>1.0335209927705011</v>
      </c>
      <c r="O45" s="121" t="b">
        <f t="shared" si="25"/>
        <v>0</v>
      </c>
    </row>
    <row r="46" spans="1:15" x14ac:dyDescent="0.25">
      <c r="A46" s="2">
        <v>20</v>
      </c>
      <c r="B46" s="2">
        <v>10</v>
      </c>
      <c r="C46" s="2">
        <v>1000</v>
      </c>
      <c r="D46" s="2">
        <v>0.05</v>
      </c>
      <c r="E46" s="9">
        <v>10000</v>
      </c>
      <c r="F46" s="6">
        <v>0.90634499999999996</v>
      </c>
      <c r="G46" s="6">
        <v>9.3655000000000002E-2</v>
      </c>
      <c r="H46">
        <v>2.9132117E-3</v>
      </c>
      <c r="I46" s="5">
        <v>237.43</v>
      </c>
      <c r="J46" s="5">
        <v>37.86</v>
      </c>
      <c r="K46" s="160">
        <f t="shared" si="23"/>
        <v>9.0741788300000001E-2</v>
      </c>
      <c r="L46" s="36">
        <f t="shared" si="21"/>
        <v>9.5162581964040482E-2</v>
      </c>
      <c r="M46" s="53">
        <f t="shared" si="24"/>
        <v>9.6568211700000003E-2</v>
      </c>
      <c r="N46" s="139">
        <f t="shared" si="22"/>
        <v>1.0160971860983448</v>
      </c>
      <c r="O46" s="121" t="b">
        <f t="shared" si="25"/>
        <v>1</v>
      </c>
    </row>
    <row r="47" spans="1:15" x14ac:dyDescent="0.25">
      <c r="A47" s="2">
        <v>20</v>
      </c>
      <c r="B47" s="2">
        <v>11</v>
      </c>
      <c r="C47" s="2">
        <v>1000</v>
      </c>
      <c r="D47" s="167">
        <v>0.01</v>
      </c>
      <c r="E47" s="168">
        <v>10000</v>
      </c>
      <c r="F47" s="173">
        <v>0.98022500000000001</v>
      </c>
      <c r="G47" s="173">
        <v>1.9775000000000001E-2</v>
      </c>
      <c r="H47" s="159">
        <v>1.3913344000000001E-3</v>
      </c>
      <c r="I47" s="169">
        <v>847.34</v>
      </c>
      <c r="J47" s="169">
        <v>200.56</v>
      </c>
      <c r="K47" s="143">
        <f t="shared" si="23"/>
        <v>1.8383665600000001E-2</v>
      </c>
      <c r="L47" s="133">
        <f t="shared" si="21"/>
        <v>1.9801326693244747E-2</v>
      </c>
      <c r="M47" s="133">
        <f t="shared" si="24"/>
        <v>2.11663344E-2</v>
      </c>
      <c r="N47" s="140">
        <f t="shared" si="22"/>
        <v>1.0013313119213525</v>
      </c>
      <c r="O47" s="132" t="b">
        <f t="shared" si="25"/>
        <v>1</v>
      </c>
    </row>
    <row r="48" spans="1:15" x14ac:dyDescent="0.25">
      <c r="A48" s="2">
        <v>20</v>
      </c>
      <c r="B48" s="2">
        <v>12</v>
      </c>
      <c r="C48" s="2">
        <v>1000</v>
      </c>
      <c r="D48" s="167">
        <v>8.9999999999999993E-3</v>
      </c>
      <c r="E48" s="168">
        <v>10000</v>
      </c>
      <c r="F48" s="173">
        <v>0.98202500000000004</v>
      </c>
      <c r="G48" s="173">
        <v>1.7975000000000001E-2</v>
      </c>
      <c r="H48" s="159">
        <v>1.3274694999999999E-3</v>
      </c>
      <c r="I48" s="169">
        <v>911.68</v>
      </c>
      <c r="J48" s="169">
        <v>216.04</v>
      </c>
      <c r="K48" s="143">
        <f t="shared" si="23"/>
        <v>1.66475305E-2</v>
      </c>
      <c r="L48" s="133">
        <f t="shared" si="21"/>
        <v>1.7838967641699236E-2</v>
      </c>
      <c r="M48" s="133">
        <f t="shared" si="24"/>
        <v>1.9302469500000002E-2</v>
      </c>
      <c r="N48" s="140">
        <f t="shared" si="22"/>
        <v>0.99243213583862222</v>
      </c>
      <c r="O48" s="132" t="b">
        <f t="shared" si="25"/>
        <v>1</v>
      </c>
    </row>
    <row r="49" spans="1:15" x14ac:dyDescent="0.25">
      <c r="A49" s="2">
        <v>20</v>
      </c>
      <c r="B49" s="2">
        <v>13</v>
      </c>
      <c r="C49" s="2">
        <v>1000</v>
      </c>
      <c r="D49" s="167">
        <v>8.0000000000000002E-3</v>
      </c>
      <c r="E49" s="168">
        <v>10000</v>
      </c>
      <c r="F49" s="173">
        <v>0.98401499999999997</v>
      </c>
      <c r="G49" s="173">
        <v>1.5984999999999999E-2</v>
      </c>
      <c r="H49" s="159">
        <v>1.2536062000000001E-3</v>
      </c>
      <c r="I49" s="169">
        <v>1006.33</v>
      </c>
      <c r="J49" s="169">
        <v>244.66</v>
      </c>
      <c r="K49" s="143">
        <f t="shared" si="23"/>
        <v>1.4731393799999999E-2</v>
      </c>
      <c r="L49" s="133">
        <f t="shared" si="21"/>
        <v>1.5872679944715064E-2</v>
      </c>
      <c r="M49" s="133">
        <f t="shared" si="24"/>
        <v>1.7238606199999999E-2</v>
      </c>
      <c r="N49" s="140">
        <f t="shared" si="22"/>
        <v>0.9929734091157375</v>
      </c>
      <c r="O49" s="132" t="b">
        <f t="shared" si="25"/>
        <v>1</v>
      </c>
    </row>
    <row r="50" spans="1:15" x14ac:dyDescent="0.25">
      <c r="A50" s="2">
        <v>20</v>
      </c>
      <c r="B50" s="2">
        <v>14</v>
      </c>
      <c r="C50" s="2">
        <v>1000</v>
      </c>
      <c r="D50" s="167">
        <v>7.0000000000000001E-3</v>
      </c>
      <c r="E50" s="168">
        <v>10000</v>
      </c>
      <c r="F50" s="173">
        <v>0.98611000000000004</v>
      </c>
      <c r="G50" s="173">
        <v>1.389E-2</v>
      </c>
      <c r="H50" s="159">
        <v>1.1694292999999999E-3</v>
      </c>
      <c r="I50" s="169">
        <v>1101.23</v>
      </c>
      <c r="J50" s="169">
        <v>278.12</v>
      </c>
      <c r="K50" s="143">
        <f t="shared" si="23"/>
        <v>1.2720570699999999E-2</v>
      </c>
      <c r="L50" s="133">
        <f t="shared" si="21"/>
        <v>1.3902455737147721E-2</v>
      </c>
      <c r="M50" s="133">
        <f t="shared" si="24"/>
        <v>1.50594293E-2</v>
      </c>
      <c r="N50" s="140">
        <f t="shared" si="22"/>
        <v>1.0008967413353291</v>
      </c>
      <c r="O50" s="132" t="b">
        <f t="shared" si="25"/>
        <v>1</v>
      </c>
    </row>
    <row r="51" spans="1:15" x14ac:dyDescent="0.25">
      <c r="A51" s="2">
        <v>20</v>
      </c>
      <c r="B51" s="2">
        <v>15</v>
      </c>
      <c r="C51" s="2">
        <v>1000</v>
      </c>
      <c r="D51" s="167">
        <v>6.0000000000000001E-3</v>
      </c>
      <c r="E51" s="168">
        <v>10000</v>
      </c>
      <c r="F51" s="173">
        <v>0.98826000000000003</v>
      </c>
      <c r="G51" s="173">
        <v>1.174E-2</v>
      </c>
      <c r="H51" s="159">
        <v>1.0760131E-3</v>
      </c>
      <c r="I51" s="169">
        <v>1241.77</v>
      </c>
      <c r="J51" s="169">
        <v>325.07</v>
      </c>
      <c r="K51" s="143">
        <f t="shared" si="23"/>
        <v>1.06639869E-2</v>
      </c>
      <c r="L51" s="133">
        <f t="shared" si="21"/>
        <v>1.192828713851979E-2</v>
      </c>
      <c r="M51" s="133">
        <f t="shared" si="24"/>
        <v>1.2816013100000001E-2</v>
      </c>
      <c r="N51" s="140">
        <f t="shared" si="22"/>
        <v>1.0160380867563705</v>
      </c>
      <c r="O51" s="132" t="b">
        <f t="shared" si="25"/>
        <v>1</v>
      </c>
    </row>
    <row r="52" spans="1:15" x14ac:dyDescent="0.25">
      <c r="A52" s="2">
        <v>20</v>
      </c>
      <c r="B52" s="2">
        <v>16</v>
      </c>
      <c r="C52" s="2">
        <v>1000</v>
      </c>
      <c r="D52" s="167">
        <v>5.0000000000000001E-3</v>
      </c>
      <c r="E52" s="168">
        <v>10000</v>
      </c>
      <c r="F52" s="173">
        <v>0.99019999999999997</v>
      </c>
      <c r="G52" s="173">
        <v>9.7999999999999997E-3</v>
      </c>
      <c r="H52" s="159">
        <v>9.8372020000000006E-4</v>
      </c>
      <c r="I52" s="169">
        <v>1413.23</v>
      </c>
      <c r="J52" s="169">
        <v>402.54</v>
      </c>
      <c r="K52" s="143">
        <f t="shared" si="23"/>
        <v>8.8162798000000001E-3</v>
      </c>
      <c r="L52" s="133">
        <f t="shared" si="21"/>
        <v>9.9501662713407137E-3</v>
      </c>
      <c r="M52" s="133">
        <f t="shared" si="24"/>
        <v>1.0783720199999999E-2</v>
      </c>
      <c r="N52" s="140">
        <f t="shared" si="22"/>
        <v>1.0153230889123177</v>
      </c>
      <c r="O52" s="132" t="b">
        <f t="shared" si="25"/>
        <v>1</v>
      </c>
    </row>
    <row r="53" spans="1:15" x14ac:dyDescent="0.25">
      <c r="A53" s="2">
        <v>20</v>
      </c>
      <c r="B53" s="2">
        <v>17</v>
      </c>
      <c r="C53" s="2">
        <v>1000</v>
      </c>
      <c r="D53" s="167">
        <v>4.0000000000000001E-3</v>
      </c>
      <c r="E53" s="168">
        <v>10000</v>
      </c>
      <c r="F53" s="173">
        <v>0.99212</v>
      </c>
      <c r="G53" s="173">
        <v>7.8799999999999999E-3</v>
      </c>
      <c r="H53" s="159">
        <v>8.8287279999999999E-4</v>
      </c>
      <c r="I53" s="169">
        <v>1641.06</v>
      </c>
      <c r="J53" s="169">
        <v>501.03</v>
      </c>
      <c r="K53" s="143">
        <f t="shared" si="23"/>
        <v>6.9971271999999998E-3</v>
      </c>
      <c r="L53" s="133">
        <f t="shared" si="21"/>
        <v>7.968086059629299E-3</v>
      </c>
      <c r="M53" s="133">
        <f t="shared" si="24"/>
        <v>8.7628727999999999E-3</v>
      </c>
      <c r="N53" s="140">
        <f t="shared" si="22"/>
        <v>1.0111784339631091</v>
      </c>
      <c r="O53" s="132" t="b">
        <f t="shared" si="25"/>
        <v>1</v>
      </c>
    </row>
    <row r="54" spans="1:15" x14ac:dyDescent="0.25">
      <c r="A54" s="2">
        <v>20</v>
      </c>
      <c r="B54" s="2">
        <v>18</v>
      </c>
      <c r="C54" s="2">
        <v>1000</v>
      </c>
      <c r="D54" s="167">
        <v>3.0000000000000001E-3</v>
      </c>
      <c r="E54" s="168">
        <v>10000</v>
      </c>
      <c r="F54" s="173">
        <v>0.99413499999999999</v>
      </c>
      <c r="G54" s="173">
        <v>5.8650000000000004E-3</v>
      </c>
      <c r="H54" s="159">
        <v>7.6204579999999999E-4</v>
      </c>
      <c r="I54" s="169">
        <v>1992.26</v>
      </c>
      <c r="J54" s="169">
        <v>668.04</v>
      </c>
      <c r="K54" s="143">
        <f t="shared" si="23"/>
        <v>5.1029542000000008E-3</v>
      </c>
      <c r="L54" s="133">
        <f t="shared" si="21"/>
        <v>5.9820727011897128E-3</v>
      </c>
      <c r="M54" s="133">
        <f t="shared" si="24"/>
        <v>6.6270458000000001E-3</v>
      </c>
      <c r="N54" s="140">
        <f t="shared" si="22"/>
        <v>1.0199612448746314</v>
      </c>
      <c r="O54" s="132" t="b">
        <f t="shared" si="25"/>
        <v>1</v>
      </c>
    </row>
    <row r="55" spans="1:15" x14ac:dyDescent="0.25">
      <c r="A55" s="2">
        <v>20</v>
      </c>
      <c r="B55" s="2">
        <v>19</v>
      </c>
      <c r="C55" s="2">
        <v>1000</v>
      </c>
      <c r="D55" s="167">
        <v>2E-3</v>
      </c>
      <c r="E55" s="168">
        <v>10000</v>
      </c>
      <c r="F55" s="173">
        <v>0.99590000000000001</v>
      </c>
      <c r="G55" s="173">
        <v>4.1000000000000003E-3</v>
      </c>
      <c r="H55" s="159">
        <v>6.3742849999999995E-4</v>
      </c>
      <c r="I55" s="169">
        <v>2477.21</v>
      </c>
      <c r="J55" s="169">
        <v>1013.49</v>
      </c>
      <c r="K55" s="143">
        <f t="shared" si="23"/>
        <v>3.4625715000000004E-3</v>
      </c>
      <c r="L55" s="133">
        <f t="shared" si="21"/>
        <v>3.9933502757861662E-3</v>
      </c>
      <c r="M55" s="133">
        <f t="shared" si="24"/>
        <v>4.7374284999999999E-3</v>
      </c>
      <c r="N55" s="140">
        <f t="shared" si="22"/>
        <v>0.97398787214296723</v>
      </c>
      <c r="O55" s="132" t="b">
        <f t="shared" si="25"/>
        <v>1</v>
      </c>
    </row>
    <row r="56" spans="1:15" x14ac:dyDescent="0.25">
      <c r="A56" s="2">
        <v>20</v>
      </c>
      <c r="B56" s="2">
        <v>20</v>
      </c>
      <c r="C56" s="2">
        <v>1000</v>
      </c>
      <c r="D56" s="167">
        <v>1E-3</v>
      </c>
      <c r="E56" s="168">
        <v>10000</v>
      </c>
      <c r="F56" s="173">
        <v>0.99795</v>
      </c>
      <c r="G56" s="173">
        <v>2.0500000000000002E-3</v>
      </c>
      <c r="H56" s="159">
        <v>4.50273E-4</v>
      </c>
      <c r="I56" s="169">
        <v>3275.15</v>
      </c>
      <c r="J56" s="169">
        <v>1312.73</v>
      </c>
      <c r="K56" s="143">
        <f t="shared" si="23"/>
        <v>1.5997270000000002E-3</v>
      </c>
      <c r="L56" s="133">
        <f t="shared" si="21"/>
        <v>2.0352787635377887E-3</v>
      </c>
      <c r="M56" s="133">
        <f t="shared" si="24"/>
        <v>2.5002730000000003E-3</v>
      </c>
      <c r="N56" s="140">
        <f t="shared" si="22"/>
        <v>0.99281890904282366</v>
      </c>
      <c r="O56" s="132" t="b">
        <f t="shared" si="25"/>
        <v>1</v>
      </c>
    </row>
    <row r="57" spans="1:15" x14ac:dyDescent="0.25">
      <c r="A57" s="2">
        <v>20</v>
      </c>
      <c r="B57" s="2">
        <v>21</v>
      </c>
      <c r="C57" s="2">
        <v>1000</v>
      </c>
      <c r="D57" s="167">
        <v>1E-4</v>
      </c>
      <c r="E57" s="168">
        <v>10000</v>
      </c>
      <c r="F57" s="173">
        <v>0.99939999999999996</v>
      </c>
      <c r="G57" s="173">
        <v>5.9999999999999995E-4</v>
      </c>
      <c r="H57" s="159">
        <v>2.3957469999999999E-4</v>
      </c>
      <c r="I57" s="169">
        <v>3924.87</v>
      </c>
      <c r="J57" s="169">
        <v>1496.72</v>
      </c>
      <c r="K57" s="143">
        <f t="shared" si="23"/>
        <v>3.6042529999999993E-4</v>
      </c>
      <c r="L57" s="133">
        <f t="shared" si="21"/>
        <v>6.0658829549240271E-4</v>
      </c>
      <c r="M57" s="133">
        <f t="shared" si="24"/>
        <v>8.3957469999999996E-4</v>
      </c>
      <c r="N57" s="140">
        <f t="shared" si="22"/>
        <v>1.010980492487338</v>
      </c>
      <c r="O57" s="132" t="b">
        <f t="shared" si="25"/>
        <v>1</v>
      </c>
    </row>
    <row r="58" spans="1:15" x14ac:dyDescent="0.25">
      <c r="A58" s="2">
        <v>20</v>
      </c>
      <c r="B58" s="2">
        <v>22</v>
      </c>
      <c r="C58" s="2">
        <v>1000</v>
      </c>
      <c r="D58" s="174">
        <v>1.0000000000000001E-5</v>
      </c>
      <c r="E58" s="168">
        <v>10000</v>
      </c>
      <c r="F58" s="173">
        <v>0.99946999999999997</v>
      </c>
      <c r="G58" s="173">
        <v>5.2999999999999998E-4</v>
      </c>
      <c r="H58" s="159">
        <v>2.2577590000000001E-4</v>
      </c>
      <c r="I58" s="169">
        <v>3669.22</v>
      </c>
      <c r="J58" s="169">
        <v>1456.85</v>
      </c>
      <c r="K58" s="143">
        <f t="shared" si="23"/>
        <v>3.042241E-4</v>
      </c>
      <c r="L58" s="133">
        <f t="shared" si="21"/>
        <v>5.1006156425637266E-4</v>
      </c>
      <c r="M58" s="133">
        <f t="shared" si="24"/>
        <v>7.5577589999999996E-4</v>
      </c>
      <c r="N58" s="140">
        <f t="shared" si="22"/>
        <v>0.96238030991768431</v>
      </c>
      <c r="O58" s="132" t="b">
        <f t="shared" si="25"/>
        <v>1</v>
      </c>
    </row>
    <row r="59" spans="1:15" x14ac:dyDescent="0.25">
      <c r="A59" s="2">
        <v>20</v>
      </c>
      <c r="B59" s="2">
        <v>23</v>
      </c>
      <c r="C59" s="2">
        <v>1000</v>
      </c>
      <c r="D59" s="167">
        <v>0</v>
      </c>
      <c r="E59" s="168">
        <v>10000</v>
      </c>
      <c r="F59" s="173">
        <v>0.99954500000000002</v>
      </c>
      <c r="G59" s="173">
        <v>4.55E-4</v>
      </c>
      <c r="H59" s="159">
        <v>2.0847460000000001E-4</v>
      </c>
      <c r="I59" s="169">
        <v>3979.11</v>
      </c>
      <c r="J59" s="169">
        <v>1662.94</v>
      </c>
      <c r="K59" s="143">
        <f t="shared" si="23"/>
        <v>2.4652539999999996E-4</v>
      </c>
      <c r="L59" s="133">
        <v>5.0000000000000001E-4</v>
      </c>
      <c r="M59" s="133">
        <f t="shared" si="24"/>
        <v>6.6347460000000004E-4</v>
      </c>
      <c r="N59" s="140">
        <f t="shared" si="22"/>
        <v>1.098901098901099</v>
      </c>
      <c r="O59" s="132"/>
    </row>
    <row r="61" spans="1:15" x14ac:dyDescent="0.25">
      <c r="B61" s="44" t="s">
        <v>36</v>
      </c>
    </row>
    <row r="62" spans="1:15" ht="30" x14ac:dyDescent="0.25">
      <c r="A62" s="11" t="s">
        <v>0</v>
      </c>
      <c r="B62" s="11" t="s">
        <v>10</v>
      </c>
      <c r="C62" s="16" t="s">
        <v>11</v>
      </c>
      <c r="D62" s="11" t="s">
        <v>9</v>
      </c>
      <c r="E62" s="33" t="s">
        <v>3</v>
      </c>
      <c r="F62" s="22" t="s">
        <v>29</v>
      </c>
      <c r="G62" s="22" t="s">
        <v>27</v>
      </c>
      <c r="H62" s="54" t="s">
        <v>28</v>
      </c>
      <c r="I62" s="16" t="s">
        <v>25</v>
      </c>
      <c r="J62" s="16" t="s">
        <v>26</v>
      </c>
      <c r="K62" s="22" t="s">
        <v>151</v>
      </c>
      <c r="L62" s="22" t="s">
        <v>153</v>
      </c>
      <c r="M62" s="163" t="s">
        <v>152</v>
      </c>
      <c r="N62" s="150" t="s">
        <v>187</v>
      </c>
      <c r="O62" s="162" t="s">
        <v>156</v>
      </c>
    </row>
    <row r="63" spans="1:15" x14ac:dyDescent="0.25">
      <c r="A63" s="2">
        <v>20</v>
      </c>
      <c r="B63" s="2">
        <v>1</v>
      </c>
      <c r="C63" s="2">
        <v>1000</v>
      </c>
      <c r="D63" s="2">
        <v>0.5</v>
      </c>
      <c r="E63" s="55">
        <v>1000</v>
      </c>
      <c r="F63" s="6">
        <v>0.41615000000000002</v>
      </c>
      <c r="G63" s="6">
        <v>0.58384999999999998</v>
      </c>
      <c r="H63">
        <v>1.55768664E-2</v>
      </c>
      <c r="I63" s="5">
        <v>37.4</v>
      </c>
      <c r="J63" s="5">
        <v>4.25</v>
      </c>
      <c r="K63" s="160">
        <f>G63-H63</f>
        <v>0.56827313359999998</v>
      </c>
      <c r="L63" s="36">
        <f t="shared" ref="L63:L84" si="26">(1-EXP(-2*D63))/(1-EXP(-4*C63*D63))</f>
        <v>0.63212055882855767</v>
      </c>
      <c r="M63" s="53">
        <f>G63+H63</f>
        <v>0.59942686639999998</v>
      </c>
      <c r="N63" s="139">
        <f t="shared" ref="N63:N85" si="27">L63/G63</f>
        <v>1.082676301838756</v>
      </c>
      <c r="O63" s="121" t="b">
        <f>AND(L63&gt;=K63,L63&lt;=M63)</f>
        <v>0</v>
      </c>
    </row>
    <row r="64" spans="1:15" x14ac:dyDescent="0.25">
      <c r="A64" s="2">
        <v>20</v>
      </c>
      <c r="B64" s="2">
        <v>2</v>
      </c>
      <c r="C64" s="2">
        <v>1000</v>
      </c>
      <c r="D64" s="2">
        <v>0.45</v>
      </c>
      <c r="E64" s="9">
        <v>1000</v>
      </c>
      <c r="F64" s="6">
        <v>0.44114999999999999</v>
      </c>
      <c r="G64" s="6">
        <v>0.55884999999999996</v>
      </c>
      <c r="H64">
        <v>1.5694331499999999E-2</v>
      </c>
      <c r="I64" s="5">
        <v>40.44</v>
      </c>
      <c r="J64" s="5">
        <v>4.5599999999999996</v>
      </c>
      <c r="K64" s="160">
        <f t="shared" ref="K64:K85" si="28">G64-H64</f>
        <v>0.54315566849999997</v>
      </c>
      <c r="L64" s="36">
        <f t="shared" si="26"/>
        <v>0.59343034025940089</v>
      </c>
      <c r="M64" s="53">
        <f t="shared" ref="M64:M85" si="29">G64+H64</f>
        <v>0.57454433149999995</v>
      </c>
      <c r="N64" s="139">
        <f t="shared" si="27"/>
        <v>1.0618776778373462</v>
      </c>
      <c r="O64" s="121" t="b">
        <f t="shared" ref="O64:O84" si="30">AND(L64&gt;=K64,L64&lt;=M64)</f>
        <v>0</v>
      </c>
    </row>
    <row r="65" spans="1:15" x14ac:dyDescent="0.25">
      <c r="A65" s="2">
        <v>20</v>
      </c>
      <c r="B65" s="2">
        <v>3</v>
      </c>
      <c r="C65" s="2">
        <v>1000</v>
      </c>
      <c r="D65" s="2">
        <v>0.4</v>
      </c>
      <c r="E65" s="9">
        <v>1000</v>
      </c>
      <c r="F65" s="6">
        <v>0.49399999999999999</v>
      </c>
      <c r="G65" s="6">
        <v>0.50600000000000001</v>
      </c>
      <c r="H65">
        <v>1.5805513699999999E-2</v>
      </c>
      <c r="I65" s="5">
        <v>44.31</v>
      </c>
      <c r="J65" s="5">
        <v>5.15</v>
      </c>
      <c r="K65" s="160">
        <f t="shared" si="28"/>
        <v>0.49019448630000001</v>
      </c>
      <c r="L65" s="36">
        <f t="shared" si="26"/>
        <v>0.55067103588277844</v>
      </c>
      <c r="M65" s="53">
        <f t="shared" si="29"/>
        <v>0.52180551370000006</v>
      </c>
      <c r="N65" s="139">
        <f t="shared" si="27"/>
        <v>1.0882826796102341</v>
      </c>
      <c r="O65" s="121" t="b">
        <f t="shared" si="30"/>
        <v>0</v>
      </c>
    </row>
    <row r="66" spans="1:15" x14ac:dyDescent="0.25">
      <c r="A66" s="2">
        <v>20</v>
      </c>
      <c r="B66" s="2">
        <v>4</v>
      </c>
      <c r="C66" s="2">
        <v>1000</v>
      </c>
      <c r="D66" s="2">
        <v>0.35</v>
      </c>
      <c r="E66" s="9">
        <v>1000</v>
      </c>
      <c r="F66" s="6">
        <v>0.52444999999999997</v>
      </c>
      <c r="G66" s="6">
        <v>0.47554999999999997</v>
      </c>
      <c r="H66">
        <v>1.5784857400000001E-2</v>
      </c>
      <c r="I66" s="5">
        <v>49.08</v>
      </c>
      <c r="J66" s="5">
        <v>5.74</v>
      </c>
      <c r="K66" s="160">
        <f t="shared" si="28"/>
        <v>0.45976514259999995</v>
      </c>
      <c r="L66" s="36">
        <f t="shared" si="26"/>
        <v>0.50341469620859047</v>
      </c>
      <c r="M66" s="53">
        <f t="shared" si="29"/>
        <v>0.49133485739999999</v>
      </c>
      <c r="N66" s="139">
        <f t="shared" si="27"/>
        <v>1.0585946718717074</v>
      </c>
      <c r="O66" s="121" t="b">
        <f t="shared" si="30"/>
        <v>0</v>
      </c>
    </row>
    <row r="67" spans="1:15" x14ac:dyDescent="0.25">
      <c r="A67" s="2">
        <v>20</v>
      </c>
      <c r="B67" s="2">
        <v>5</v>
      </c>
      <c r="C67" s="2">
        <v>1000</v>
      </c>
      <c r="D67" s="2">
        <v>0.3</v>
      </c>
      <c r="E67" s="9">
        <v>1000</v>
      </c>
      <c r="F67" s="6">
        <v>0.57830000000000004</v>
      </c>
      <c r="G67" s="6">
        <v>0.42170000000000002</v>
      </c>
      <c r="H67">
        <v>1.5611802100000001E-2</v>
      </c>
      <c r="I67" s="5">
        <v>55.38</v>
      </c>
      <c r="J67" s="5">
        <v>6.68</v>
      </c>
      <c r="K67" s="160">
        <f t="shared" si="28"/>
        <v>0.4060881979</v>
      </c>
      <c r="L67" s="36">
        <f t="shared" si="26"/>
        <v>0.45118836390597361</v>
      </c>
      <c r="M67" s="53">
        <f t="shared" si="29"/>
        <v>0.43731180210000004</v>
      </c>
      <c r="N67" s="139">
        <f t="shared" si="27"/>
        <v>1.0699273509745639</v>
      </c>
      <c r="O67" s="121" t="b">
        <f t="shared" si="30"/>
        <v>0</v>
      </c>
    </row>
    <row r="68" spans="1:15" x14ac:dyDescent="0.25">
      <c r="A68" s="2">
        <v>20</v>
      </c>
      <c r="B68" s="2">
        <v>6</v>
      </c>
      <c r="C68" s="2">
        <v>1000</v>
      </c>
      <c r="D68" s="2">
        <v>0.25</v>
      </c>
      <c r="E68" s="9">
        <v>1000</v>
      </c>
      <c r="F68" s="6">
        <v>0.625</v>
      </c>
      <c r="G68" s="6">
        <v>0.375</v>
      </c>
      <c r="H68">
        <v>1.5300467E-2</v>
      </c>
      <c r="I68" s="5">
        <v>63.86</v>
      </c>
      <c r="J68" s="5">
        <v>7.84</v>
      </c>
      <c r="K68" s="160">
        <f t="shared" si="28"/>
        <v>0.35969953300000002</v>
      </c>
      <c r="L68" s="36">
        <f t="shared" si="26"/>
        <v>0.39346934028736658</v>
      </c>
      <c r="M68" s="53">
        <f t="shared" si="29"/>
        <v>0.39030046699999998</v>
      </c>
      <c r="N68" s="139">
        <f t="shared" si="27"/>
        <v>1.0492515740996442</v>
      </c>
      <c r="O68" s="121" t="b">
        <f t="shared" si="30"/>
        <v>0</v>
      </c>
    </row>
    <row r="69" spans="1:15" x14ac:dyDescent="0.25">
      <c r="A69" s="2">
        <v>20</v>
      </c>
      <c r="B69" s="2">
        <v>7</v>
      </c>
      <c r="C69" s="2">
        <v>1000</v>
      </c>
      <c r="D69" s="2">
        <v>0.2</v>
      </c>
      <c r="E69" s="9">
        <v>1000</v>
      </c>
      <c r="F69" s="6">
        <v>0.68984999999999996</v>
      </c>
      <c r="G69" s="6">
        <v>0.31014999999999998</v>
      </c>
      <c r="H69">
        <v>1.46244636E-2</v>
      </c>
      <c r="I69" s="5">
        <v>76.489999999999995</v>
      </c>
      <c r="J69" s="5">
        <v>9.75</v>
      </c>
      <c r="K69" s="160">
        <f t="shared" si="28"/>
        <v>0.29552553639999996</v>
      </c>
      <c r="L69" s="36">
        <f t="shared" si="26"/>
        <v>0.32967995396436067</v>
      </c>
      <c r="M69" s="53">
        <f t="shared" si="29"/>
        <v>0.32477446360000001</v>
      </c>
      <c r="N69" s="139">
        <f t="shared" si="27"/>
        <v>1.0629693824419175</v>
      </c>
      <c r="O69" s="121" t="b">
        <f t="shared" si="30"/>
        <v>0</v>
      </c>
    </row>
    <row r="70" spans="1:15" x14ac:dyDescent="0.25">
      <c r="A70" s="2">
        <v>20</v>
      </c>
      <c r="B70" s="2">
        <v>8</v>
      </c>
      <c r="C70" s="2">
        <v>1000</v>
      </c>
      <c r="D70" s="2">
        <v>0.15</v>
      </c>
      <c r="E70" s="9">
        <v>1000</v>
      </c>
      <c r="F70" s="6">
        <v>0.749</v>
      </c>
      <c r="G70" s="6">
        <v>0.251</v>
      </c>
      <c r="H70">
        <v>1.37031793E-2</v>
      </c>
      <c r="I70" s="5">
        <v>96.56</v>
      </c>
      <c r="J70" s="5">
        <v>12.8</v>
      </c>
      <c r="K70" s="160">
        <f t="shared" si="28"/>
        <v>0.23729682069999999</v>
      </c>
      <c r="L70" s="36">
        <f t="shared" si="26"/>
        <v>0.25918177931828212</v>
      </c>
      <c r="M70" s="53">
        <f t="shared" si="29"/>
        <v>0.26470317929999998</v>
      </c>
      <c r="N70" s="139">
        <f t="shared" si="27"/>
        <v>1.0325967303517216</v>
      </c>
      <c r="O70" s="121" t="b">
        <f t="shared" si="30"/>
        <v>1</v>
      </c>
    </row>
    <row r="71" spans="1:15" x14ac:dyDescent="0.25">
      <c r="A71" s="2">
        <v>20</v>
      </c>
      <c r="B71" s="2">
        <v>9</v>
      </c>
      <c r="C71" s="2">
        <v>1000</v>
      </c>
      <c r="D71" s="2">
        <v>0.1</v>
      </c>
      <c r="E71" s="9">
        <v>1000</v>
      </c>
      <c r="F71" s="6">
        <v>0.82115000000000005</v>
      </c>
      <c r="G71" s="6">
        <v>0.17885000000000001</v>
      </c>
      <c r="H71">
        <v>1.2106732699999999E-2</v>
      </c>
      <c r="I71" s="5">
        <v>134.47999999999999</v>
      </c>
      <c r="J71" s="5">
        <v>18.940000000000001</v>
      </c>
      <c r="K71" s="160">
        <f t="shared" si="28"/>
        <v>0.1667432673</v>
      </c>
      <c r="L71" s="36">
        <f t="shared" si="26"/>
        <v>0.18126924692201818</v>
      </c>
      <c r="M71" s="53">
        <f t="shared" si="29"/>
        <v>0.19095673270000002</v>
      </c>
      <c r="N71" s="139">
        <f t="shared" si="27"/>
        <v>1.0135266811407222</v>
      </c>
      <c r="O71" s="121" t="b">
        <f t="shared" si="30"/>
        <v>1</v>
      </c>
    </row>
    <row r="72" spans="1:15" x14ac:dyDescent="0.25">
      <c r="A72" s="2">
        <v>20</v>
      </c>
      <c r="B72" s="2">
        <v>10</v>
      </c>
      <c r="C72" s="2">
        <v>1000</v>
      </c>
      <c r="D72" s="2">
        <v>0.05</v>
      </c>
      <c r="E72" s="9">
        <v>1000</v>
      </c>
      <c r="F72" s="6">
        <v>0.90769999999999995</v>
      </c>
      <c r="G72" s="6">
        <v>9.2299999999999993E-2</v>
      </c>
      <c r="H72">
        <v>9.1323706000000001E-3</v>
      </c>
      <c r="I72" s="5">
        <v>236.81</v>
      </c>
      <c r="J72" s="5">
        <v>38.130000000000003</v>
      </c>
      <c r="K72" s="160">
        <f t="shared" si="28"/>
        <v>8.3167629399999998E-2</v>
      </c>
      <c r="L72" s="36">
        <f t="shared" si="26"/>
        <v>9.5162581964040482E-2</v>
      </c>
      <c r="M72" s="53">
        <f t="shared" si="29"/>
        <v>0.10143237059999999</v>
      </c>
      <c r="N72" s="139">
        <f t="shared" si="27"/>
        <v>1.0310138891011971</v>
      </c>
      <c r="O72" s="121" t="b">
        <f t="shared" si="30"/>
        <v>1</v>
      </c>
    </row>
    <row r="73" spans="1:15" x14ac:dyDescent="0.25">
      <c r="A73" s="2">
        <v>20</v>
      </c>
      <c r="B73" s="2">
        <v>11</v>
      </c>
      <c r="C73" s="2">
        <v>1000</v>
      </c>
      <c r="D73" s="167">
        <v>0.01</v>
      </c>
      <c r="E73" s="168">
        <v>1000</v>
      </c>
      <c r="F73" s="173">
        <v>0.98065000000000002</v>
      </c>
      <c r="G73" s="173">
        <v>1.9349999999999999E-2</v>
      </c>
      <c r="H73" s="159">
        <v>4.3348238999999997E-3</v>
      </c>
      <c r="I73" s="169">
        <v>858.11</v>
      </c>
      <c r="J73" s="169">
        <v>202.68</v>
      </c>
      <c r="K73" s="143">
        <f t="shared" si="28"/>
        <v>1.5015176099999999E-2</v>
      </c>
      <c r="L73" s="133">
        <f t="shared" si="26"/>
        <v>1.9801326693244747E-2</v>
      </c>
      <c r="M73" s="133">
        <f t="shared" si="29"/>
        <v>2.3684823899999999E-2</v>
      </c>
      <c r="N73" s="140">
        <f t="shared" si="27"/>
        <v>1.0233243769118734</v>
      </c>
      <c r="O73" s="132" t="b">
        <f t="shared" si="30"/>
        <v>1</v>
      </c>
    </row>
    <row r="74" spans="1:15" x14ac:dyDescent="0.25">
      <c r="A74" s="2">
        <v>20</v>
      </c>
      <c r="B74" s="2">
        <v>12</v>
      </c>
      <c r="C74" s="2">
        <v>1000</v>
      </c>
      <c r="D74" s="167">
        <v>8.9999999999999993E-3</v>
      </c>
      <c r="E74" s="168">
        <v>1000</v>
      </c>
      <c r="F74" s="173">
        <v>0.98245000000000005</v>
      </c>
      <c r="G74" s="173">
        <v>1.755E-2</v>
      </c>
      <c r="H74" s="159">
        <v>4.1074034000000001E-3</v>
      </c>
      <c r="I74" s="169">
        <v>908.17</v>
      </c>
      <c r="J74" s="169">
        <v>192.78</v>
      </c>
      <c r="K74" s="143">
        <f t="shared" si="28"/>
        <v>1.3442596599999999E-2</v>
      </c>
      <c r="L74" s="133">
        <f t="shared" si="26"/>
        <v>1.7838967641699236E-2</v>
      </c>
      <c r="M74" s="133">
        <f t="shared" si="29"/>
        <v>2.1657403400000001E-2</v>
      </c>
      <c r="N74" s="140">
        <f t="shared" si="27"/>
        <v>1.0164653926894152</v>
      </c>
      <c r="O74" s="132" t="b">
        <f t="shared" si="30"/>
        <v>1</v>
      </c>
    </row>
    <row r="75" spans="1:15" x14ac:dyDescent="0.25">
      <c r="A75" s="2">
        <v>20</v>
      </c>
      <c r="B75" s="2">
        <v>13</v>
      </c>
      <c r="C75" s="2">
        <v>1000</v>
      </c>
      <c r="D75" s="167">
        <v>8.0000000000000002E-3</v>
      </c>
      <c r="E75" s="168">
        <v>1000</v>
      </c>
      <c r="F75" s="173">
        <v>0.98485</v>
      </c>
      <c r="G75" s="173">
        <v>1.515E-2</v>
      </c>
      <c r="H75" s="159">
        <v>3.8294799000000001E-3</v>
      </c>
      <c r="I75" s="169">
        <v>1003.85</v>
      </c>
      <c r="J75" s="169">
        <v>240.84</v>
      </c>
      <c r="K75" s="143">
        <f t="shared" si="28"/>
        <v>1.13205201E-2</v>
      </c>
      <c r="L75" s="133">
        <f t="shared" si="26"/>
        <v>1.5872679944715064E-2</v>
      </c>
      <c r="M75" s="133">
        <f t="shared" si="29"/>
        <v>1.8979479899999999E-2</v>
      </c>
      <c r="N75" s="140">
        <f t="shared" si="27"/>
        <v>1.0477016465158457</v>
      </c>
      <c r="O75" s="132" t="b">
        <f t="shared" si="30"/>
        <v>1</v>
      </c>
    </row>
    <row r="76" spans="1:15" x14ac:dyDescent="0.25">
      <c r="A76" s="2">
        <v>20</v>
      </c>
      <c r="B76" s="2">
        <v>14</v>
      </c>
      <c r="C76" s="2">
        <v>1000</v>
      </c>
      <c r="D76" s="167">
        <v>7.0000000000000001E-3</v>
      </c>
      <c r="E76" s="168">
        <v>1000</v>
      </c>
      <c r="F76" s="173">
        <v>0.98680000000000001</v>
      </c>
      <c r="G76" s="173">
        <v>1.32E-2</v>
      </c>
      <c r="H76" s="159">
        <v>3.5707788E-3</v>
      </c>
      <c r="I76" s="169">
        <v>1095.77</v>
      </c>
      <c r="J76" s="169">
        <v>248.37</v>
      </c>
      <c r="K76" s="143">
        <f t="shared" si="28"/>
        <v>9.6292211999999995E-3</v>
      </c>
      <c r="L76" s="133">
        <f t="shared" si="26"/>
        <v>1.3902455737147721E-2</v>
      </c>
      <c r="M76" s="133">
        <f t="shared" si="29"/>
        <v>1.67707788E-2</v>
      </c>
      <c r="N76" s="140">
        <f t="shared" si="27"/>
        <v>1.0532163437233122</v>
      </c>
      <c r="O76" s="132" t="b">
        <f t="shared" si="30"/>
        <v>1</v>
      </c>
    </row>
    <row r="77" spans="1:15" x14ac:dyDescent="0.25">
      <c r="A77" s="2">
        <v>20</v>
      </c>
      <c r="B77" s="2">
        <v>15</v>
      </c>
      <c r="C77" s="2">
        <v>1000</v>
      </c>
      <c r="D77" s="167">
        <v>6.0000000000000001E-3</v>
      </c>
      <c r="E77" s="168">
        <v>1000</v>
      </c>
      <c r="F77" s="173">
        <v>0.98770000000000002</v>
      </c>
      <c r="G77" s="173">
        <v>1.23E-2</v>
      </c>
      <c r="H77" s="159">
        <v>3.4537054999999998E-3</v>
      </c>
      <c r="I77" s="169">
        <v>1188</v>
      </c>
      <c r="J77" s="169">
        <v>279.07</v>
      </c>
      <c r="K77" s="143">
        <f t="shared" si="28"/>
        <v>8.8462945000000008E-3</v>
      </c>
      <c r="L77" s="133">
        <f t="shared" si="26"/>
        <v>1.192828713851979E-2</v>
      </c>
      <c r="M77" s="133">
        <f t="shared" si="29"/>
        <v>1.57537055E-2</v>
      </c>
      <c r="N77" s="140">
        <f t="shared" si="27"/>
        <v>0.96977944215608047</v>
      </c>
      <c r="O77" s="132" t="b">
        <f t="shared" si="30"/>
        <v>1</v>
      </c>
    </row>
    <row r="78" spans="1:15" x14ac:dyDescent="0.25">
      <c r="A78" s="2">
        <v>20</v>
      </c>
      <c r="B78" s="2">
        <v>16</v>
      </c>
      <c r="C78" s="2">
        <v>1000</v>
      </c>
      <c r="D78" s="167">
        <v>5.0000000000000001E-3</v>
      </c>
      <c r="E78" s="168">
        <v>1000</v>
      </c>
      <c r="F78" s="173">
        <v>0.99045000000000005</v>
      </c>
      <c r="G78" s="173">
        <v>9.5499999999999995E-3</v>
      </c>
      <c r="H78" s="159">
        <v>3.0504532999999999E-3</v>
      </c>
      <c r="I78" s="169">
        <v>1461.73</v>
      </c>
      <c r="J78" s="169">
        <v>405.94</v>
      </c>
      <c r="K78" s="143">
        <f t="shared" si="28"/>
        <v>6.4995466999999991E-3</v>
      </c>
      <c r="L78" s="133">
        <f t="shared" si="26"/>
        <v>9.9501662713407137E-3</v>
      </c>
      <c r="M78" s="133">
        <f t="shared" si="29"/>
        <v>1.26004533E-2</v>
      </c>
      <c r="N78" s="140">
        <f t="shared" si="27"/>
        <v>1.0419022273655199</v>
      </c>
      <c r="O78" s="132" t="b">
        <f t="shared" si="30"/>
        <v>1</v>
      </c>
    </row>
    <row r="79" spans="1:15" x14ac:dyDescent="0.25">
      <c r="A79" s="2">
        <v>20</v>
      </c>
      <c r="B79" s="2">
        <v>17</v>
      </c>
      <c r="C79" s="2">
        <v>1000</v>
      </c>
      <c r="D79" s="167">
        <v>4.0000000000000001E-3</v>
      </c>
      <c r="E79" s="168">
        <v>1000</v>
      </c>
      <c r="F79" s="173">
        <v>0.99165000000000003</v>
      </c>
      <c r="G79" s="173">
        <v>8.3499999999999998E-3</v>
      </c>
      <c r="H79" s="159">
        <v>2.8422546E-3</v>
      </c>
      <c r="I79" s="169">
        <v>1653.27</v>
      </c>
      <c r="J79" s="169">
        <v>427.33</v>
      </c>
      <c r="K79" s="143">
        <f t="shared" si="28"/>
        <v>5.5077453999999998E-3</v>
      </c>
      <c r="L79" s="133">
        <f t="shared" si="26"/>
        <v>7.968086059629299E-3</v>
      </c>
      <c r="M79" s="133">
        <f t="shared" si="29"/>
        <v>1.11922546E-2</v>
      </c>
      <c r="N79" s="140">
        <f t="shared" si="27"/>
        <v>0.95426180354841905</v>
      </c>
      <c r="O79" s="132" t="b">
        <f t="shared" si="30"/>
        <v>1</v>
      </c>
    </row>
    <row r="80" spans="1:15" x14ac:dyDescent="0.25">
      <c r="A80" s="2">
        <v>20</v>
      </c>
      <c r="B80" s="2">
        <v>18</v>
      </c>
      <c r="C80" s="2">
        <v>1000</v>
      </c>
      <c r="D80" s="167">
        <v>3.0000000000000001E-3</v>
      </c>
      <c r="E80" s="168">
        <v>1000</v>
      </c>
      <c r="F80" s="173">
        <v>0.99444999999999995</v>
      </c>
      <c r="G80" s="173">
        <v>5.5500000000000002E-3</v>
      </c>
      <c r="H80" s="159">
        <v>2.2409232999999998E-3</v>
      </c>
      <c r="I80" s="169" t="s">
        <v>12</v>
      </c>
      <c r="J80" s="169" t="s">
        <v>12</v>
      </c>
      <c r="K80" s="143">
        <f t="shared" si="28"/>
        <v>3.3090767000000004E-3</v>
      </c>
      <c r="L80" s="133">
        <f t="shared" si="26"/>
        <v>5.9820727011897128E-3</v>
      </c>
      <c r="M80" s="133">
        <f t="shared" si="29"/>
        <v>7.7909233000000005E-3</v>
      </c>
      <c r="N80" s="140">
        <f t="shared" si="27"/>
        <v>1.0778509371512996</v>
      </c>
      <c r="O80" s="132" t="b">
        <f t="shared" si="30"/>
        <v>1</v>
      </c>
    </row>
    <row r="81" spans="1:15" x14ac:dyDescent="0.25">
      <c r="A81" s="2">
        <v>20</v>
      </c>
      <c r="B81" s="2">
        <v>19</v>
      </c>
      <c r="C81" s="2">
        <v>1000</v>
      </c>
      <c r="D81" s="167">
        <v>2E-3</v>
      </c>
      <c r="E81" s="168">
        <v>1000</v>
      </c>
      <c r="F81" s="173">
        <v>0.99550000000000005</v>
      </c>
      <c r="G81" s="173">
        <v>4.4999999999999997E-3</v>
      </c>
      <c r="H81" s="159">
        <v>2.0441622E-3</v>
      </c>
      <c r="I81" s="169">
        <v>2683.61</v>
      </c>
      <c r="J81" s="169">
        <v>660.52</v>
      </c>
      <c r="K81" s="143">
        <f t="shared" si="28"/>
        <v>2.4558377999999996E-3</v>
      </c>
      <c r="L81" s="133">
        <f t="shared" si="26"/>
        <v>3.9933502757861662E-3</v>
      </c>
      <c r="M81" s="133">
        <f t="shared" si="29"/>
        <v>6.5441622000000001E-3</v>
      </c>
      <c r="N81" s="140">
        <f t="shared" si="27"/>
        <v>0.88741117239692591</v>
      </c>
      <c r="O81" s="132" t="b">
        <f t="shared" si="30"/>
        <v>1</v>
      </c>
    </row>
    <row r="82" spans="1:15" x14ac:dyDescent="0.25">
      <c r="A82" s="2">
        <v>20</v>
      </c>
      <c r="B82" s="2">
        <v>20</v>
      </c>
      <c r="C82" s="2">
        <v>1000</v>
      </c>
      <c r="D82" s="167">
        <v>1E-3</v>
      </c>
      <c r="E82" s="168">
        <v>1000</v>
      </c>
      <c r="F82" s="173">
        <v>0.99870000000000003</v>
      </c>
      <c r="G82" s="173">
        <v>1.2999999999999999E-3</v>
      </c>
      <c r="H82" s="159">
        <v>9.282998E-4</v>
      </c>
      <c r="I82" s="169" t="s">
        <v>12</v>
      </c>
      <c r="J82" s="169" t="s">
        <v>12</v>
      </c>
      <c r="K82" s="143">
        <f t="shared" si="28"/>
        <v>3.7170019999999994E-4</v>
      </c>
      <c r="L82" s="133">
        <f t="shared" si="26"/>
        <v>2.0352787635377887E-3</v>
      </c>
      <c r="M82" s="133">
        <f t="shared" si="29"/>
        <v>2.2282997999999998E-3</v>
      </c>
      <c r="N82" s="140">
        <f t="shared" si="27"/>
        <v>1.5655990488752223</v>
      </c>
      <c r="O82" s="132" t="b">
        <f t="shared" si="30"/>
        <v>1</v>
      </c>
    </row>
    <row r="83" spans="1:15" x14ac:dyDescent="0.25">
      <c r="A83" s="2">
        <v>20</v>
      </c>
      <c r="B83" s="2">
        <v>21</v>
      </c>
      <c r="C83" s="2">
        <v>1000</v>
      </c>
      <c r="D83" s="167">
        <v>1E-4</v>
      </c>
      <c r="E83" s="168">
        <v>1000</v>
      </c>
      <c r="F83" s="173">
        <v>0.99960000000000004</v>
      </c>
      <c r="G83" s="173">
        <v>4.0000000000000002E-4</v>
      </c>
      <c r="H83" s="159">
        <v>3.411798E-4</v>
      </c>
      <c r="I83" s="169" t="s">
        <v>12</v>
      </c>
      <c r="J83" s="169" t="s">
        <v>12</v>
      </c>
      <c r="K83" s="143">
        <f t="shared" si="28"/>
        <v>5.8820200000000023E-5</v>
      </c>
      <c r="L83" s="133">
        <f t="shared" si="26"/>
        <v>6.0658829549240271E-4</v>
      </c>
      <c r="M83" s="133">
        <f t="shared" si="29"/>
        <v>7.4117980000000007E-4</v>
      </c>
      <c r="N83" s="140">
        <f t="shared" si="27"/>
        <v>1.5164707387310068</v>
      </c>
      <c r="O83" s="132" t="b">
        <f t="shared" si="30"/>
        <v>1</v>
      </c>
    </row>
    <row r="84" spans="1:15" x14ac:dyDescent="0.25">
      <c r="A84" s="2">
        <v>20</v>
      </c>
      <c r="B84" s="2">
        <v>22</v>
      </c>
      <c r="C84" s="2">
        <v>1000</v>
      </c>
      <c r="D84" s="174">
        <v>1.0000000000000001E-5</v>
      </c>
      <c r="E84" s="168">
        <v>1000</v>
      </c>
      <c r="F84" s="173">
        <v>0.99960000000000004</v>
      </c>
      <c r="G84" s="173">
        <v>4.0000000000000002E-4</v>
      </c>
      <c r="H84" s="159">
        <v>3.9979989999999998E-4</v>
      </c>
      <c r="I84" s="169" t="s">
        <v>12</v>
      </c>
      <c r="J84" s="169" t="s">
        <v>12</v>
      </c>
      <c r="K84" s="143">
        <f t="shared" si="28"/>
        <v>2.0010000000003896E-7</v>
      </c>
      <c r="L84" s="133">
        <f t="shared" si="26"/>
        <v>5.1006156425637266E-4</v>
      </c>
      <c r="M84" s="133">
        <f t="shared" si="29"/>
        <v>7.997999E-4</v>
      </c>
      <c r="N84" s="140">
        <f t="shared" si="27"/>
        <v>1.2751539106409315</v>
      </c>
      <c r="O84" s="132" t="b">
        <f t="shared" si="30"/>
        <v>1</v>
      </c>
    </row>
    <row r="85" spans="1:15" x14ac:dyDescent="0.25">
      <c r="A85" s="2">
        <v>20</v>
      </c>
      <c r="B85" s="2">
        <v>23</v>
      </c>
      <c r="C85" s="2">
        <v>1000</v>
      </c>
      <c r="D85" s="167">
        <v>0</v>
      </c>
      <c r="E85" s="168">
        <v>1000</v>
      </c>
      <c r="F85" s="173">
        <v>0.99944999999999995</v>
      </c>
      <c r="G85" s="173">
        <v>5.5000000000000003E-4</v>
      </c>
      <c r="H85" s="159">
        <v>4.6179480000000002E-4</v>
      </c>
      <c r="I85" s="169" t="s">
        <v>12</v>
      </c>
      <c r="J85" s="169" t="s">
        <v>12</v>
      </c>
      <c r="K85" s="143">
        <f t="shared" si="28"/>
        <v>8.8205200000000014E-5</v>
      </c>
      <c r="L85" s="133">
        <v>5.0000000000000001E-4</v>
      </c>
      <c r="M85" s="133">
        <f t="shared" si="29"/>
        <v>1.0117948000000002E-3</v>
      </c>
      <c r="N85" s="140">
        <f t="shared" si="27"/>
        <v>0.90909090909090906</v>
      </c>
      <c r="O85" s="13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F1AA-17E2-49ED-92E9-0C3B46767DD6}">
  <dimension ref="A1:AE87"/>
  <sheetViews>
    <sheetView showGridLines="0" workbookViewId="0">
      <selection activeCell="Z12" sqref="Z12"/>
    </sheetView>
  </sheetViews>
  <sheetFormatPr defaultColWidth="9.140625" defaultRowHeight="15" x14ac:dyDescent="0.25"/>
  <cols>
    <col min="1" max="1" width="5.85546875" style="2" customWidth="1"/>
    <col min="2" max="2" width="5.28515625" style="2" customWidth="1"/>
    <col min="3" max="3" width="7.7109375" style="9" customWidth="1"/>
    <col min="4" max="4" width="8.28515625" style="2" bestFit="1" customWidth="1"/>
    <col min="5" max="5" width="10.85546875" style="9" customWidth="1"/>
    <col min="6" max="6" width="8.5703125" style="18" customWidth="1"/>
    <col min="7" max="7" width="9.140625" style="18" customWidth="1"/>
    <col min="8" max="8" width="9.5703125" style="31" bestFit="1" customWidth="1"/>
    <col min="9" max="9" width="8.5703125" style="9" customWidth="1"/>
    <col min="10" max="10" width="7.85546875" style="5" customWidth="1"/>
    <col min="11" max="11" width="10.42578125" style="42" customWidth="1"/>
    <col min="12" max="12" width="11.42578125" customWidth="1"/>
    <col min="13" max="13" width="11.42578125" style="45" customWidth="1"/>
    <col min="14" max="14" width="17.5703125" style="122" bestFit="1" customWidth="1"/>
    <col min="15" max="17" width="15.140625" style="122" customWidth="1"/>
  </cols>
  <sheetData>
    <row r="1" spans="1:17" ht="42.75" customHeight="1" x14ac:dyDescent="0.25">
      <c r="B1" s="45" t="s">
        <v>39</v>
      </c>
      <c r="P1" s="437" t="s">
        <v>207</v>
      </c>
      <c r="Q1" s="437"/>
    </row>
    <row r="2" spans="1:17" ht="30" x14ac:dyDescent="0.25">
      <c r="A2" s="11" t="s">
        <v>0</v>
      </c>
      <c r="B2" s="11" t="s">
        <v>10</v>
      </c>
      <c r="C2" s="33" t="s">
        <v>11</v>
      </c>
      <c r="D2" s="11" t="s">
        <v>9</v>
      </c>
      <c r="E2" s="33" t="s">
        <v>3</v>
      </c>
      <c r="F2" s="22" t="s">
        <v>29</v>
      </c>
      <c r="G2" s="22" t="s">
        <v>27</v>
      </c>
      <c r="H2" s="54" t="s">
        <v>28</v>
      </c>
      <c r="I2" s="33" t="s">
        <v>25</v>
      </c>
      <c r="J2" s="16" t="s">
        <v>26</v>
      </c>
      <c r="K2" s="22" t="s">
        <v>151</v>
      </c>
      <c r="L2" s="22" t="s">
        <v>153</v>
      </c>
      <c r="M2" s="163" t="s">
        <v>152</v>
      </c>
      <c r="N2" s="120" t="s">
        <v>187</v>
      </c>
      <c r="O2" s="162" t="s">
        <v>156</v>
      </c>
      <c r="P2" s="436" t="s">
        <v>206</v>
      </c>
      <c r="Q2" s="436" t="s">
        <v>208</v>
      </c>
    </row>
    <row r="3" spans="1:17" x14ac:dyDescent="0.25">
      <c r="A3" s="11">
        <v>20</v>
      </c>
      <c r="B3" s="11">
        <v>1</v>
      </c>
      <c r="C3" s="34">
        <v>10000</v>
      </c>
      <c r="D3" s="19">
        <v>1</v>
      </c>
      <c r="E3" s="123">
        <v>1000000</v>
      </c>
      <c r="F3" s="22">
        <v>0.20329325000000001</v>
      </c>
      <c r="G3" s="22">
        <v>0.79670675000000002</v>
      </c>
      <c r="H3" s="54">
        <v>4.0244869999999999E-4</v>
      </c>
      <c r="I3" s="33">
        <v>29.49</v>
      </c>
      <c r="J3" s="16">
        <v>2.35</v>
      </c>
      <c r="K3" s="160">
        <f>G3-H3</f>
        <v>0.79630430130000007</v>
      </c>
      <c r="L3" s="36">
        <f t="shared" ref="L3" si="0">(1-EXP(-2*D3))/(1-EXP(-4*C3*D3))</f>
        <v>0.8646647167633873</v>
      </c>
      <c r="M3" s="53">
        <f>G3+H3</f>
        <v>0.79710919869999997</v>
      </c>
      <c r="N3" s="121">
        <f>L3/G3</f>
        <v>1.085298595453581</v>
      </c>
      <c r="O3" s="121" t="b">
        <f>AND(L3&gt;=K3,L3&lt;=M3)</f>
        <v>0</v>
      </c>
      <c r="P3" s="95">
        <f>1-EXP(-2*D3)</f>
        <v>0.8646647167633873</v>
      </c>
      <c r="Q3" s="442">
        <f>(P3-G3)/P3</f>
        <v>7.8594587527252777E-2</v>
      </c>
    </row>
    <row r="4" spans="1:17" x14ac:dyDescent="0.25">
      <c r="A4" s="11">
        <v>20</v>
      </c>
      <c r="B4" s="11">
        <v>2</v>
      </c>
      <c r="C4" s="34">
        <v>10000</v>
      </c>
      <c r="D4" s="19">
        <v>0.9</v>
      </c>
      <c r="E4" s="249">
        <v>1000000</v>
      </c>
      <c r="F4" s="22">
        <v>0.23268005</v>
      </c>
      <c r="G4" s="22">
        <v>0.76731994999999997</v>
      </c>
      <c r="H4" s="54">
        <v>4.2253959999999998E-4</v>
      </c>
      <c r="I4" s="33">
        <v>31.71</v>
      </c>
      <c r="J4" s="16">
        <v>2.56</v>
      </c>
      <c r="K4" s="160">
        <f t="shared" ref="K4:K7" si="1">G4-H4</f>
        <v>0.76689741039999992</v>
      </c>
      <c r="L4" s="36">
        <f t="shared" ref="L4:L7" si="2">(1-EXP(-2*D4))/(1-EXP(-4*C4*D4))</f>
        <v>0.83470111177841344</v>
      </c>
      <c r="M4" s="53">
        <f t="shared" ref="M4:M7" si="3">G4+H4</f>
        <v>0.76774248960000002</v>
      </c>
      <c r="N4" s="121">
        <f t="shared" ref="N4:N7" si="4">L4/G4</f>
        <v>1.0878136451142884</v>
      </c>
      <c r="O4" s="121" t="b">
        <f t="shared" ref="O4:O7" si="5">AND(L4&gt;=K4,L4&lt;=M4)</f>
        <v>0</v>
      </c>
      <c r="P4" s="95">
        <f t="shared" ref="P4:P32" si="6">1-EXP(-2*D4)</f>
        <v>0.83470111177841344</v>
      </c>
      <c r="Q4" s="442">
        <f t="shared" ref="Q4:Q32" si="7">(P4-G4)/P4</f>
        <v>8.0724897604186996E-2</v>
      </c>
    </row>
    <row r="5" spans="1:17" x14ac:dyDescent="0.25">
      <c r="A5" s="11">
        <v>20</v>
      </c>
      <c r="B5" s="11">
        <v>3</v>
      </c>
      <c r="C5" s="34">
        <v>10000</v>
      </c>
      <c r="D5" s="19">
        <v>0.8</v>
      </c>
      <c r="E5" s="249">
        <v>1000000</v>
      </c>
      <c r="F5" s="22">
        <v>0.26750420000000003</v>
      </c>
      <c r="G5" s="22">
        <v>0.73249580000000003</v>
      </c>
      <c r="H5" s="54">
        <v>4.4265720000000001E-4</v>
      </c>
      <c r="I5" s="33">
        <v>34.46</v>
      </c>
      <c r="J5" s="16">
        <v>2.81</v>
      </c>
      <c r="K5" s="160">
        <f t="shared" si="1"/>
        <v>0.7320531428</v>
      </c>
      <c r="L5" s="36">
        <f t="shared" si="2"/>
        <v>0.79810348200534464</v>
      </c>
      <c r="M5" s="53">
        <f t="shared" si="3"/>
        <v>0.73293845720000006</v>
      </c>
      <c r="N5" s="121">
        <f t="shared" si="4"/>
        <v>1.0895673149325151</v>
      </c>
      <c r="O5" s="121" t="b">
        <f t="shared" si="5"/>
        <v>0</v>
      </c>
      <c r="P5" s="95">
        <f t="shared" si="6"/>
        <v>0.79810348200534464</v>
      </c>
      <c r="Q5" s="442">
        <f t="shared" si="7"/>
        <v>8.2204480351966758E-2</v>
      </c>
    </row>
    <row r="6" spans="1:17" x14ac:dyDescent="0.25">
      <c r="A6" s="11">
        <v>20</v>
      </c>
      <c r="B6" s="11">
        <v>4</v>
      </c>
      <c r="C6" s="34">
        <v>10000</v>
      </c>
      <c r="D6" s="19">
        <v>0.7</v>
      </c>
      <c r="E6" s="249">
        <v>1000000</v>
      </c>
      <c r="F6" s="22">
        <v>0.30879889999999999</v>
      </c>
      <c r="G6" s="22">
        <v>0.69120110000000001</v>
      </c>
      <c r="H6" s="54">
        <v>4.6199769999999998E-4</v>
      </c>
      <c r="I6" s="33">
        <v>37.93</v>
      </c>
      <c r="J6" s="16">
        <v>3.14</v>
      </c>
      <c r="K6" s="160">
        <f t="shared" si="1"/>
        <v>0.69073910230000002</v>
      </c>
      <c r="L6" s="36">
        <f t="shared" si="2"/>
        <v>0.75340303605839354</v>
      </c>
      <c r="M6" s="53">
        <f t="shared" si="3"/>
        <v>0.69166309770000001</v>
      </c>
      <c r="N6" s="121">
        <f t="shared" si="4"/>
        <v>1.0899910837213562</v>
      </c>
      <c r="O6" s="121" t="b">
        <f t="shared" si="5"/>
        <v>0</v>
      </c>
      <c r="P6" s="95">
        <f t="shared" si="6"/>
        <v>0.75340303605839354</v>
      </c>
      <c r="Q6" s="442">
        <f t="shared" si="7"/>
        <v>8.2561302624711591E-2</v>
      </c>
    </row>
    <row r="7" spans="1:17" x14ac:dyDescent="0.25">
      <c r="A7" s="11">
        <v>20</v>
      </c>
      <c r="B7" s="11">
        <v>5</v>
      </c>
      <c r="C7" s="34">
        <v>10000</v>
      </c>
      <c r="D7" s="19">
        <v>0.6</v>
      </c>
      <c r="E7" s="249">
        <v>1000000</v>
      </c>
      <c r="F7" s="22">
        <v>0.35793055000000001</v>
      </c>
      <c r="G7" s="22">
        <v>0.64206945000000004</v>
      </c>
      <c r="H7" s="54">
        <v>4.7939119999999998E-4</v>
      </c>
      <c r="I7" s="33">
        <v>42.49</v>
      </c>
      <c r="J7" s="16">
        <v>3.58</v>
      </c>
      <c r="K7" s="160">
        <f t="shared" si="1"/>
        <v>0.64159005880000008</v>
      </c>
      <c r="L7" s="36">
        <f t="shared" si="2"/>
        <v>0.69880578808779781</v>
      </c>
      <c r="M7" s="53">
        <f t="shared" si="3"/>
        <v>0.6425488412</v>
      </c>
      <c r="N7" s="121">
        <f t="shared" si="4"/>
        <v>1.0883647993029379</v>
      </c>
      <c r="O7" s="121" t="b">
        <f t="shared" si="5"/>
        <v>0</v>
      </c>
      <c r="P7" s="95">
        <f t="shared" si="6"/>
        <v>0.69880578808779781</v>
      </c>
      <c r="Q7" s="442">
        <f t="shared" si="7"/>
        <v>8.1190423798649797E-2</v>
      </c>
    </row>
    <row r="8" spans="1:17" x14ac:dyDescent="0.25">
      <c r="A8" s="19">
        <v>20</v>
      </c>
      <c r="B8" s="19">
        <v>1</v>
      </c>
      <c r="C8" s="34">
        <v>10000</v>
      </c>
      <c r="D8" s="19">
        <v>0.5</v>
      </c>
      <c r="E8" s="249">
        <v>1000000</v>
      </c>
      <c r="F8" s="23">
        <v>0.41720879999999999</v>
      </c>
      <c r="G8" s="23">
        <v>0.58279119999999995</v>
      </c>
      <c r="H8" s="124">
        <v>4.9309780000000001E-4</v>
      </c>
      <c r="I8" s="34">
        <v>48.76</v>
      </c>
      <c r="J8" s="24">
        <v>4.1900000000000004</v>
      </c>
      <c r="K8" s="160">
        <f t="shared" ref="K8:K32" si="8">G8-H8</f>
        <v>0.5822981022</v>
      </c>
      <c r="L8" s="36">
        <f t="shared" ref="L8:L29" si="9">(1-EXP(-2*D8))/(1-EXP(-4*C8*D8))</f>
        <v>0.63212055882855767</v>
      </c>
      <c r="M8" s="53">
        <f t="shared" ref="M8:M32" si="10">G8+H8</f>
        <v>0.58328429779999991</v>
      </c>
      <c r="N8" s="121">
        <f t="shared" ref="N8:N32" si="11">L8/G8</f>
        <v>1.084643280180891</v>
      </c>
      <c r="O8" s="121" t="b">
        <f t="shared" ref="O8:O32" si="12">AND(L8&gt;=K8,L8&lt;=M8)</f>
        <v>0</v>
      </c>
      <c r="P8" s="95">
        <f t="shared" si="6"/>
        <v>0.63212055882855767</v>
      </c>
      <c r="Q8" s="442">
        <f t="shared" si="7"/>
        <v>7.8037896631577064E-2</v>
      </c>
    </row>
    <row r="9" spans="1:17" x14ac:dyDescent="0.25">
      <c r="A9" s="19">
        <v>20</v>
      </c>
      <c r="B9" s="19">
        <v>2</v>
      </c>
      <c r="C9" s="34">
        <v>10000</v>
      </c>
      <c r="D9" s="19">
        <v>0.45</v>
      </c>
      <c r="E9" s="34">
        <v>1000000</v>
      </c>
      <c r="F9" s="23">
        <v>0.45132105</v>
      </c>
      <c r="G9" s="23">
        <v>0.54867895</v>
      </c>
      <c r="H9" s="124">
        <v>4.9762449999999996E-4</v>
      </c>
      <c r="I9" s="34">
        <v>52.88</v>
      </c>
      <c r="J9" s="24">
        <v>4.5999999999999996</v>
      </c>
      <c r="K9" s="160">
        <f t="shared" si="8"/>
        <v>0.54818132549999998</v>
      </c>
      <c r="L9" s="36">
        <f t="shared" si="9"/>
        <v>0.59343034025940089</v>
      </c>
      <c r="M9" s="53">
        <f t="shared" si="10"/>
        <v>0.54917657450000001</v>
      </c>
      <c r="N9" s="121">
        <f t="shared" si="11"/>
        <v>1.0815620687824836</v>
      </c>
      <c r="O9" s="121" t="b">
        <f t="shared" si="12"/>
        <v>0</v>
      </c>
      <c r="P9" s="95">
        <f t="shared" si="6"/>
        <v>0.59343034025940089</v>
      </c>
      <c r="Q9" s="442">
        <f t="shared" si="7"/>
        <v>7.5411362081418215E-2</v>
      </c>
    </row>
    <row r="10" spans="1:17" x14ac:dyDescent="0.25">
      <c r="A10" s="19">
        <v>20</v>
      </c>
      <c r="B10" s="19">
        <v>3</v>
      </c>
      <c r="C10" s="34">
        <v>10000</v>
      </c>
      <c r="D10" s="19">
        <v>0.4</v>
      </c>
      <c r="E10" s="34">
        <v>1000000</v>
      </c>
      <c r="F10" s="23">
        <v>0.48884270000000002</v>
      </c>
      <c r="G10" s="23">
        <v>0.51115730000000004</v>
      </c>
      <c r="H10" s="124">
        <v>4.9987529999999999E-4</v>
      </c>
      <c r="I10" s="34">
        <v>57.98</v>
      </c>
      <c r="J10" s="24">
        <v>5.1100000000000003</v>
      </c>
      <c r="K10" s="160">
        <f t="shared" si="8"/>
        <v>0.51065742470000008</v>
      </c>
      <c r="L10" s="36">
        <f t="shared" si="9"/>
        <v>0.55067103588277844</v>
      </c>
      <c r="M10" s="53">
        <f t="shared" si="10"/>
        <v>0.51165717529999999</v>
      </c>
      <c r="N10" s="121">
        <f t="shared" si="11"/>
        <v>1.077302497455829</v>
      </c>
      <c r="O10" s="121" t="b">
        <f t="shared" si="12"/>
        <v>0</v>
      </c>
      <c r="P10" s="95">
        <f t="shared" si="6"/>
        <v>0.55067103588277844</v>
      </c>
      <c r="Q10" s="442">
        <f t="shared" si="7"/>
        <v>7.1755609625325747E-2</v>
      </c>
    </row>
    <row r="11" spans="1:17" x14ac:dyDescent="0.25">
      <c r="A11" s="19">
        <v>20</v>
      </c>
      <c r="B11" s="19">
        <v>4</v>
      </c>
      <c r="C11" s="34">
        <v>10000</v>
      </c>
      <c r="D11" s="19">
        <v>0.35</v>
      </c>
      <c r="E11" s="34">
        <v>1000000</v>
      </c>
      <c r="F11" s="23">
        <v>0.53063640000000001</v>
      </c>
      <c r="G11" s="23">
        <v>0.46936359999999999</v>
      </c>
      <c r="H11" s="124">
        <v>4.9906029999999995E-4</v>
      </c>
      <c r="I11" s="34">
        <v>64.44</v>
      </c>
      <c r="J11" s="24">
        <v>5.76</v>
      </c>
      <c r="K11" s="160">
        <f t="shared" si="8"/>
        <v>0.46886453969999997</v>
      </c>
      <c r="L11" s="36">
        <f t="shared" si="9"/>
        <v>0.50341469620859047</v>
      </c>
      <c r="M11" s="53">
        <f t="shared" si="10"/>
        <v>0.46986266030000001</v>
      </c>
      <c r="N11" s="121">
        <f t="shared" si="11"/>
        <v>1.0725473730996407</v>
      </c>
      <c r="O11" s="121" t="b">
        <f t="shared" si="12"/>
        <v>0</v>
      </c>
      <c r="P11" s="95">
        <f t="shared" si="6"/>
        <v>0.50341469620859047</v>
      </c>
      <c r="Q11" s="442">
        <f t="shared" si="7"/>
        <v>6.7640250602619217E-2</v>
      </c>
    </row>
    <row r="12" spans="1:17" x14ac:dyDescent="0.25">
      <c r="A12" s="19">
        <v>20</v>
      </c>
      <c r="B12" s="19">
        <v>5</v>
      </c>
      <c r="C12" s="34">
        <v>10000</v>
      </c>
      <c r="D12" s="19">
        <v>0.3</v>
      </c>
      <c r="E12" s="34">
        <v>1000000</v>
      </c>
      <c r="F12" s="23">
        <v>0.57711080000000003</v>
      </c>
      <c r="G12" s="23">
        <v>0.42288920000000002</v>
      </c>
      <c r="H12" s="124">
        <v>4.9401790000000001E-4</v>
      </c>
      <c r="I12" s="34">
        <v>72.92</v>
      </c>
      <c r="J12" s="24">
        <v>6.63</v>
      </c>
      <c r="K12" s="160">
        <f t="shared" si="8"/>
        <v>0.42239518210000004</v>
      </c>
      <c r="L12" s="36">
        <f t="shared" si="9"/>
        <v>0.45118836390597361</v>
      </c>
      <c r="M12" s="53">
        <f t="shared" si="10"/>
        <v>0.4233832179</v>
      </c>
      <c r="N12" s="121">
        <f t="shared" si="11"/>
        <v>1.0669186252710487</v>
      </c>
      <c r="O12" s="121" t="b">
        <f t="shared" si="12"/>
        <v>0</v>
      </c>
      <c r="P12" s="95">
        <f t="shared" si="6"/>
        <v>0.45118836390597361</v>
      </c>
      <c r="Q12" s="442">
        <f t="shared" si="7"/>
        <v>6.2721395695991528E-2</v>
      </c>
    </row>
    <row r="13" spans="1:17" x14ac:dyDescent="0.25">
      <c r="A13" s="19">
        <v>20</v>
      </c>
      <c r="B13" s="19">
        <v>6</v>
      </c>
      <c r="C13" s="34">
        <v>10000</v>
      </c>
      <c r="D13" s="19">
        <v>0.25</v>
      </c>
      <c r="E13" s="34">
        <v>1000000</v>
      </c>
      <c r="F13" s="23">
        <v>0.62861224999999998</v>
      </c>
      <c r="G13" s="23">
        <v>0.37138775000000002</v>
      </c>
      <c r="H13" s="124">
        <v>4.8317560000000001E-4</v>
      </c>
      <c r="I13" s="34">
        <v>84.59</v>
      </c>
      <c r="J13" s="24">
        <v>7.84</v>
      </c>
      <c r="K13" s="160">
        <f t="shared" si="8"/>
        <v>0.37090457440000002</v>
      </c>
      <c r="L13" s="36">
        <f t="shared" si="9"/>
        <v>0.39346934028736658</v>
      </c>
      <c r="M13" s="53">
        <f t="shared" si="10"/>
        <v>0.37187092560000001</v>
      </c>
      <c r="N13" s="121">
        <f t="shared" si="11"/>
        <v>1.0594569699387408</v>
      </c>
      <c r="O13" s="121" t="b">
        <f t="shared" si="12"/>
        <v>0</v>
      </c>
      <c r="P13" s="95">
        <f t="shared" si="6"/>
        <v>0.39346934028736658</v>
      </c>
      <c r="Q13" s="442">
        <f t="shared" si="7"/>
        <v>5.6120231048344148E-2</v>
      </c>
    </row>
    <row r="14" spans="1:17" x14ac:dyDescent="0.25">
      <c r="A14" s="19">
        <v>20</v>
      </c>
      <c r="B14" s="19">
        <v>7</v>
      </c>
      <c r="C14" s="34">
        <v>10000</v>
      </c>
      <c r="D14" s="19">
        <v>0.2</v>
      </c>
      <c r="E14" s="34">
        <v>1000000</v>
      </c>
      <c r="F14" s="23">
        <v>0.68610265000000004</v>
      </c>
      <c r="G14" s="23">
        <v>0.31389735000000002</v>
      </c>
      <c r="H14" s="124">
        <v>4.6407499999999999E-4</v>
      </c>
      <c r="I14" s="34">
        <v>101.72</v>
      </c>
      <c r="J14" s="24">
        <v>9.67</v>
      </c>
      <c r="K14" s="160">
        <f t="shared" si="8"/>
        <v>0.31343327500000001</v>
      </c>
      <c r="L14" s="36">
        <f t="shared" si="9"/>
        <v>0.32967995396436067</v>
      </c>
      <c r="M14" s="53">
        <f t="shared" si="10"/>
        <v>0.31436142500000003</v>
      </c>
      <c r="N14" s="121">
        <f t="shared" si="11"/>
        <v>1.0502795068654152</v>
      </c>
      <c r="O14" s="121" t="b">
        <f t="shared" si="12"/>
        <v>0</v>
      </c>
      <c r="P14" s="95">
        <f t="shared" si="6"/>
        <v>0.32967995396436067</v>
      </c>
      <c r="Q14" s="442">
        <f t="shared" si="7"/>
        <v>4.7872501116846176E-2</v>
      </c>
    </row>
    <row r="15" spans="1:17" x14ac:dyDescent="0.25">
      <c r="A15" s="19">
        <v>20</v>
      </c>
      <c r="B15" s="19">
        <v>8</v>
      </c>
      <c r="C15" s="34">
        <v>10000</v>
      </c>
      <c r="D15" s="19">
        <v>0.15</v>
      </c>
      <c r="E15" s="34">
        <v>1000000</v>
      </c>
      <c r="F15" s="23">
        <v>0.75114214999999995</v>
      </c>
      <c r="G15" s="23">
        <v>0.24885784999999999</v>
      </c>
      <c r="H15" s="124">
        <v>4.3235110000000002E-4</v>
      </c>
      <c r="I15" s="34">
        <v>129.46</v>
      </c>
      <c r="J15" s="24">
        <v>12.71</v>
      </c>
      <c r="K15" s="160">
        <f t="shared" si="8"/>
        <v>0.24842549889999999</v>
      </c>
      <c r="L15" s="36">
        <f t="shared" si="9"/>
        <v>0.25918177931828212</v>
      </c>
      <c r="M15" s="53">
        <f t="shared" si="10"/>
        <v>0.2492902011</v>
      </c>
      <c r="N15" s="121">
        <f t="shared" si="11"/>
        <v>1.041485246771529</v>
      </c>
      <c r="O15" s="121" t="b">
        <f t="shared" si="12"/>
        <v>0</v>
      </c>
      <c r="P15" s="95">
        <f t="shared" si="6"/>
        <v>0.25918177931828212</v>
      </c>
      <c r="Q15" s="442">
        <f t="shared" si="7"/>
        <v>3.9832774300094888E-2</v>
      </c>
    </row>
    <row r="16" spans="1:17" x14ac:dyDescent="0.25">
      <c r="A16" s="19">
        <v>20</v>
      </c>
      <c r="B16" s="19">
        <v>9</v>
      </c>
      <c r="C16" s="34">
        <v>10000</v>
      </c>
      <c r="D16" s="294">
        <v>0.1</v>
      </c>
      <c r="E16" s="34">
        <v>1000000</v>
      </c>
      <c r="F16" s="23">
        <v>0.82383715000000002</v>
      </c>
      <c r="G16" s="439">
        <v>0.17616285000000001</v>
      </c>
      <c r="H16" s="124">
        <v>3.8095829999999997E-4</v>
      </c>
      <c r="I16" s="34">
        <v>182.72</v>
      </c>
      <c r="J16" s="24">
        <v>18.77</v>
      </c>
      <c r="K16" s="160">
        <f t="shared" si="8"/>
        <v>0.1757818917</v>
      </c>
      <c r="L16" s="439">
        <f t="shared" si="9"/>
        <v>0.18126924692201818</v>
      </c>
      <c r="M16" s="53">
        <f t="shared" si="10"/>
        <v>0.17654380830000002</v>
      </c>
      <c r="N16" s="121">
        <f t="shared" si="11"/>
        <v>1.0289867978522043</v>
      </c>
      <c r="O16" s="121" t="b">
        <f t="shared" si="12"/>
        <v>0</v>
      </c>
      <c r="P16" s="440">
        <f t="shared" si="6"/>
        <v>0.18126924692201818</v>
      </c>
      <c r="Q16" s="442">
        <f t="shared" si="7"/>
        <v>2.8170233002705283E-2</v>
      </c>
    </row>
    <row r="17" spans="1:17" x14ac:dyDescent="0.25">
      <c r="A17" s="19">
        <v>20</v>
      </c>
      <c r="B17" s="19">
        <v>10</v>
      </c>
      <c r="C17" s="34">
        <v>10000</v>
      </c>
      <c r="D17" s="19">
        <v>0.05</v>
      </c>
      <c r="E17" s="34">
        <v>1000000</v>
      </c>
      <c r="F17" s="23">
        <v>0.90633649999999999</v>
      </c>
      <c r="G17" s="23">
        <v>9.3663499999999997E-2</v>
      </c>
      <c r="H17" s="124">
        <v>2.9135949999999999E-4</v>
      </c>
      <c r="I17" s="34">
        <v>331.58</v>
      </c>
      <c r="J17" s="24">
        <v>37.04</v>
      </c>
      <c r="K17" s="160">
        <f t="shared" si="8"/>
        <v>9.3372140499999992E-2</v>
      </c>
      <c r="L17" s="36">
        <f t="shared" si="9"/>
        <v>9.5162581964040482E-2</v>
      </c>
      <c r="M17" s="53">
        <f t="shared" si="10"/>
        <v>9.3954859500000001E-2</v>
      </c>
      <c r="N17" s="121">
        <f t="shared" si="11"/>
        <v>1.0160049748732483</v>
      </c>
      <c r="O17" s="121" t="b">
        <f t="shared" si="12"/>
        <v>0</v>
      </c>
      <c r="P17" s="95">
        <f t="shared" si="6"/>
        <v>9.5162581964040482E-2</v>
      </c>
      <c r="Q17" s="442">
        <f t="shared" si="7"/>
        <v>1.5752850890562747E-2</v>
      </c>
    </row>
    <row r="18" spans="1:17" x14ac:dyDescent="0.25">
      <c r="A18" s="19">
        <v>20</v>
      </c>
      <c r="B18" s="19">
        <v>11</v>
      </c>
      <c r="C18" s="34">
        <v>10000</v>
      </c>
      <c r="D18" s="187">
        <v>0.01</v>
      </c>
      <c r="E18" s="164">
        <v>1000000</v>
      </c>
      <c r="F18" s="133">
        <v>0.98028439999999994</v>
      </c>
      <c r="G18" s="133">
        <v>1.97156E-2</v>
      </c>
      <c r="H18" s="145">
        <v>1.3902049999999999E-4</v>
      </c>
      <c r="I18" s="164">
        <v>1315.43</v>
      </c>
      <c r="J18" s="165">
        <v>184.45</v>
      </c>
      <c r="K18" s="143">
        <f t="shared" si="8"/>
        <v>1.95765795E-2</v>
      </c>
      <c r="L18" s="133">
        <f t="shared" si="9"/>
        <v>1.9801326693244747E-2</v>
      </c>
      <c r="M18" s="133">
        <f t="shared" si="10"/>
        <v>1.98546205E-2</v>
      </c>
      <c r="N18" s="132">
        <f t="shared" si="11"/>
        <v>1.0043481655767386</v>
      </c>
      <c r="O18" s="132" t="b">
        <f t="shared" si="12"/>
        <v>1</v>
      </c>
      <c r="P18" s="95">
        <f t="shared" si="6"/>
        <v>1.9801326693244747E-2</v>
      </c>
      <c r="Q18" s="442">
        <f t="shared" si="7"/>
        <v>4.3293408857293068E-3</v>
      </c>
    </row>
    <row r="19" spans="1:17" x14ac:dyDescent="0.25">
      <c r="A19" s="19">
        <v>20</v>
      </c>
      <c r="B19" s="19">
        <v>12</v>
      </c>
      <c r="C19" s="34">
        <v>10000</v>
      </c>
      <c r="D19" s="130">
        <v>8.9999999999999993E-3</v>
      </c>
      <c r="E19" s="164">
        <v>1000000</v>
      </c>
      <c r="F19" s="133">
        <v>0.98220960000000002</v>
      </c>
      <c r="G19" s="133">
        <v>1.7790400000000001E-2</v>
      </c>
      <c r="H19" s="145">
        <v>1.321881E-4</v>
      </c>
      <c r="I19" s="164">
        <v>1437.75</v>
      </c>
      <c r="J19" s="165">
        <v>205.27</v>
      </c>
      <c r="K19" s="143">
        <f t="shared" si="8"/>
        <v>1.7658211900000002E-2</v>
      </c>
      <c r="L19" s="133">
        <f t="shared" si="9"/>
        <v>1.7838967641699233E-2</v>
      </c>
      <c r="M19" s="133">
        <f t="shared" si="10"/>
        <v>1.7922588100000001E-2</v>
      </c>
      <c r="N19" s="132">
        <f t="shared" si="11"/>
        <v>1.0027299915515802</v>
      </c>
      <c r="O19" s="132" t="b">
        <f t="shared" si="12"/>
        <v>1</v>
      </c>
      <c r="P19" s="95">
        <f t="shared" si="6"/>
        <v>1.7838967641699233E-2</v>
      </c>
      <c r="Q19" s="442">
        <f t="shared" si="7"/>
        <v>2.7225589885427385E-3</v>
      </c>
    </row>
    <row r="20" spans="1:17" x14ac:dyDescent="0.25">
      <c r="A20" s="19">
        <v>20</v>
      </c>
      <c r="B20" s="19">
        <v>13</v>
      </c>
      <c r="C20" s="34">
        <v>10000</v>
      </c>
      <c r="D20" s="130">
        <v>8.0000000000000002E-3</v>
      </c>
      <c r="E20" s="164">
        <v>1000000</v>
      </c>
      <c r="F20" s="133">
        <v>0.98419705000000002</v>
      </c>
      <c r="G20" s="133">
        <v>1.580295E-2</v>
      </c>
      <c r="H20" s="145">
        <v>1.2471079999999999E-4</v>
      </c>
      <c r="I20" s="164">
        <v>1587.97</v>
      </c>
      <c r="J20" s="165">
        <v>231.75</v>
      </c>
      <c r="K20" s="143">
        <f t="shared" si="8"/>
        <v>1.5678239199999999E-2</v>
      </c>
      <c r="L20" s="133">
        <f t="shared" si="9"/>
        <v>1.5872679944714863E-2</v>
      </c>
      <c r="M20" s="133">
        <f t="shared" si="10"/>
        <v>1.59276608E-2</v>
      </c>
      <c r="N20" s="132">
        <f t="shared" si="11"/>
        <v>1.004412463794093</v>
      </c>
      <c r="O20" s="132" t="b">
        <f t="shared" si="12"/>
        <v>1</v>
      </c>
      <c r="P20" s="95">
        <f t="shared" si="6"/>
        <v>1.5872679944714863E-2</v>
      </c>
      <c r="Q20" s="442">
        <f t="shared" si="7"/>
        <v>4.3930794898993054E-3</v>
      </c>
    </row>
    <row r="21" spans="1:17" x14ac:dyDescent="0.25">
      <c r="A21" s="19">
        <v>20</v>
      </c>
      <c r="B21" s="19">
        <v>14</v>
      </c>
      <c r="C21" s="34">
        <v>10000</v>
      </c>
      <c r="D21" s="130">
        <v>7.0000000000000001E-3</v>
      </c>
      <c r="E21" s="164">
        <v>1000000</v>
      </c>
      <c r="F21" s="133">
        <v>0.9860989</v>
      </c>
      <c r="G21" s="133">
        <v>1.39011E-2</v>
      </c>
      <c r="H21" s="145">
        <v>1.170797E-4</v>
      </c>
      <c r="I21" s="164">
        <v>1775.35</v>
      </c>
      <c r="J21" s="165">
        <v>265.31</v>
      </c>
      <c r="K21" s="143">
        <f t="shared" si="8"/>
        <v>1.37840203E-2</v>
      </c>
      <c r="L21" s="133">
        <f t="shared" si="9"/>
        <v>1.3902455737138109E-2</v>
      </c>
      <c r="M21" s="133">
        <f t="shared" si="10"/>
        <v>1.4018179699999999E-2</v>
      </c>
      <c r="N21" s="132">
        <f t="shared" si="11"/>
        <v>1.0000975273279171</v>
      </c>
      <c r="O21" s="132" t="b">
        <f t="shared" si="12"/>
        <v>1</v>
      </c>
      <c r="P21" s="95">
        <f t="shared" si="6"/>
        <v>1.3902455737138109E-2</v>
      </c>
      <c r="Q21" s="442">
        <f t="shared" si="7"/>
        <v>9.7517817265000529E-5</v>
      </c>
    </row>
    <row r="22" spans="1:17" x14ac:dyDescent="0.25">
      <c r="A22" s="19">
        <v>20</v>
      </c>
      <c r="B22" s="19">
        <v>15</v>
      </c>
      <c r="C22" s="34">
        <v>10000</v>
      </c>
      <c r="D22" s="130">
        <v>6.0000000000000001E-3</v>
      </c>
      <c r="E22" s="164">
        <v>1000000</v>
      </c>
      <c r="F22" s="133">
        <v>0.98808605000000005</v>
      </c>
      <c r="G22" s="133">
        <v>1.191395E-2</v>
      </c>
      <c r="H22" s="145">
        <v>1.084976E-4</v>
      </c>
      <c r="I22" s="164">
        <v>2019.92</v>
      </c>
      <c r="J22" s="165">
        <v>309.55</v>
      </c>
      <c r="K22" s="143">
        <f t="shared" si="8"/>
        <v>1.1805452399999999E-2</v>
      </c>
      <c r="L22" s="133">
        <f t="shared" si="9"/>
        <v>1.1928287138069482E-2</v>
      </c>
      <c r="M22" s="133">
        <f t="shared" si="10"/>
        <v>1.20224476E-2</v>
      </c>
      <c r="N22" s="132">
        <f t="shared" si="11"/>
        <v>1.0012033908208011</v>
      </c>
      <c r="O22" s="132" t="b">
        <f t="shared" si="12"/>
        <v>1</v>
      </c>
      <c r="P22" s="95">
        <f t="shared" si="6"/>
        <v>1.1928287138069482E-2</v>
      </c>
      <c r="Q22" s="442">
        <f t="shared" si="7"/>
        <v>1.2019444119286172E-3</v>
      </c>
    </row>
    <row r="23" spans="1:17" x14ac:dyDescent="0.25">
      <c r="A23" s="19">
        <v>20</v>
      </c>
      <c r="B23" s="19">
        <v>16</v>
      </c>
      <c r="C23" s="34">
        <v>10000</v>
      </c>
      <c r="D23" s="130">
        <v>5.0000000000000001E-3</v>
      </c>
      <c r="E23" s="164">
        <v>1000000</v>
      </c>
      <c r="F23" s="133">
        <v>0.99007475</v>
      </c>
      <c r="G23" s="133">
        <v>9.92525E-3</v>
      </c>
      <c r="H23" s="145">
        <v>9.9128299999999998E-5</v>
      </c>
      <c r="I23" s="164">
        <v>2351.69</v>
      </c>
      <c r="J23" s="165">
        <v>373.66</v>
      </c>
      <c r="K23" s="143">
        <f t="shared" si="8"/>
        <v>9.8261217000000008E-3</v>
      </c>
      <c r="L23" s="133">
        <f t="shared" si="9"/>
        <v>9.9501662508318933E-3</v>
      </c>
      <c r="M23" s="133">
        <f t="shared" si="10"/>
        <v>1.0024378299999999E-2</v>
      </c>
      <c r="N23" s="132">
        <f t="shared" si="11"/>
        <v>1.0025103902503103</v>
      </c>
      <c r="O23" s="132" t="b">
        <f t="shared" si="12"/>
        <v>1</v>
      </c>
      <c r="P23" s="29">
        <f t="shared" si="6"/>
        <v>9.9501662508318933E-3</v>
      </c>
      <c r="Q23" s="442">
        <f t="shared" si="7"/>
        <v>2.5041039721130417E-3</v>
      </c>
    </row>
    <row r="24" spans="1:17" x14ac:dyDescent="0.25">
      <c r="A24" s="19">
        <v>20</v>
      </c>
      <c r="B24" s="19">
        <v>17</v>
      </c>
      <c r="C24" s="34">
        <v>10000</v>
      </c>
      <c r="D24" s="130">
        <v>4.0000000000000001E-3</v>
      </c>
      <c r="E24" s="164">
        <v>1000000</v>
      </c>
      <c r="F24" s="133">
        <v>0.99202544999999998</v>
      </c>
      <c r="G24" s="133">
        <v>7.9745500000000004E-3</v>
      </c>
      <c r="H24" s="145">
        <v>8.8942600000000005E-5</v>
      </c>
      <c r="I24" s="164">
        <v>2825.1</v>
      </c>
      <c r="J24" s="165">
        <v>468.52</v>
      </c>
      <c r="K24" s="143">
        <f t="shared" si="8"/>
        <v>7.8856074000000012E-3</v>
      </c>
      <c r="L24" s="133">
        <f t="shared" si="9"/>
        <v>7.9680851629393423E-3</v>
      </c>
      <c r="M24" s="133">
        <f t="shared" si="10"/>
        <v>8.0634925999999996E-3</v>
      </c>
      <c r="N24" s="132">
        <f t="shared" si="11"/>
        <v>0.99918931638015207</v>
      </c>
      <c r="O24" s="132" t="b">
        <f t="shared" si="12"/>
        <v>1</v>
      </c>
      <c r="P24" s="29">
        <f t="shared" si="6"/>
        <v>7.9680851629393423E-3</v>
      </c>
      <c r="Q24" s="442">
        <f t="shared" si="7"/>
        <v>-8.1134136099936629E-4</v>
      </c>
    </row>
    <row r="25" spans="1:17" x14ac:dyDescent="0.25">
      <c r="A25" s="19">
        <v>20</v>
      </c>
      <c r="B25" s="19">
        <v>18</v>
      </c>
      <c r="C25" s="34">
        <v>10000</v>
      </c>
      <c r="D25" s="130">
        <v>3.0000000000000001E-3</v>
      </c>
      <c r="E25" s="164">
        <v>1000000</v>
      </c>
      <c r="F25" s="133">
        <v>0.99403819999999998</v>
      </c>
      <c r="G25" s="133">
        <v>5.9617999999999997E-3</v>
      </c>
      <c r="H25" s="145">
        <v>7.6980100000000005E-5</v>
      </c>
      <c r="I25" s="164">
        <v>3571.39</v>
      </c>
      <c r="J25" s="165">
        <v>628.41999999999996</v>
      </c>
      <c r="K25" s="143">
        <f t="shared" si="8"/>
        <v>5.8848198999999993E-3</v>
      </c>
      <c r="L25" s="133">
        <f t="shared" si="9"/>
        <v>5.9820359460647232E-3</v>
      </c>
      <c r="M25" s="133">
        <f t="shared" si="10"/>
        <v>6.0387801000000001E-3</v>
      </c>
      <c r="N25" s="132">
        <f t="shared" si="11"/>
        <v>1.0033942678494285</v>
      </c>
      <c r="O25" s="132" t="b">
        <f t="shared" si="12"/>
        <v>1</v>
      </c>
      <c r="P25" s="29">
        <f t="shared" si="6"/>
        <v>5.9820359460647232E-3</v>
      </c>
      <c r="Q25" s="442">
        <f t="shared" si="7"/>
        <v>3.3827857684532439E-3</v>
      </c>
    </row>
    <row r="26" spans="1:17" x14ac:dyDescent="0.25">
      <c r="A26" s="19">
        <v>20</v>
      </c>
      <c r="B26" s="19">
        <v>19</v>
      </c>
      <c r="C26" s="34">
        <v>10000</v>
      </c>
      <c r="D26" s="130">
        <v>2E-3</v>
      </c>
      <c r="E26" s="164">
        <v>1000000</v>
      </c>
      <c r="F26" s="133">
        <v>0.9960329</v>
      </c>
      <c r="G26" s="133">
        <v>3.9671000000000003E-3</v>
      </c>
      <c r="H26" s="145">
        <v>6.2857700000000006E-5</v>
      </c>
      <c r="I26" s="164">
        <v>4943.93</v>
      </c>
      <c r="J26" s="165">
        <v>951.77</v>
      </c>
      <c r="K26" s="143">
        <f t="shared" si="8"/>
        <v>3.9042423000000001E-3</v>
      </c>
      <c r="L26" s="133">
        <f t="shared" si="9"/>
        <v>3.9920106560085156E-3</v>
      </c>
      <c r="M26" s="133">
        <f t="shared" si="10"/>
        <v>4.0299577000000005E-3</v>
      </c>
      <c r="N26" s="132">
        <f t="shared" si="11"/>
        <v>1.006279311337883</v>
      </c>
      <c r="O26" s="132" t="b">
        <f t="shared" si="12"/>
        <v>1</v>
      </c>
      <c r="P26" s="29">
        <f t="shared" si="6"/>
        <v>3.9920106560085156E-3</v>
      </c>
      <c r="Q26" s="442">
        <f t="shared" si="7"/>
        <v>6.2401276336828786E-3</v>
      </c>
    </row>
    <row r="27" spans="1:17" x14ac:dyDescent="0.25">
      <c r="A27" s="19">
        <v>20</v>
      </c>
      <c r="B27" s="19">
        <v>20</v>
      </c>
      <c r="C27" s="34">
        <v>10000</v>
      </c>
      <c r="D27" s="187">
        <v>1E-3</v>
      </c>
      <c r="E27" s="164">
        <v>1000000</v>
      </c>
      <c r="F27" s="133">
        <v>0.99799484999999999</v>
      </c>
      <c r="G27" s="133">
        <v>2.0051499999999998E-3</v>
      </c>
      <c r="H27" s="145">
        <v>4.4731899999999998E-5</v>
      </c>
      <c r="I27" s="164">
        <v>8490.66</v>
      </c>
      <c r="J27" s="165">
        <v>1951.22</v>
      </c>
      <c r="K27" s="143">
        <f t="shared" si="8"/>
        <v>1.9604180999999998E-3</v>
      </c>
      <c r="L27" s="133">
        <f t="shared" si="9"/>
        <v>1.998001332666921E-3</v>
      </c>
      <c r="M27" s="133">
        <f t="shared" si="10"/>
        <v>2.0498818999999998E-3</v>
      </c>
      <c r="N27" s="132">
        <f t="shared" si="11"/>
        <v>0.99643484660345671</v>
      </c>
      <c r="O27" s="132" t="b">
        <f t="shared" si="12"/>
        <v>1</v>
      </c>
      <c r="P27" s="29">
        <f t="shared" si="6"/>
        <v>1.998001332666921E-3</v>
      </c>
      <c r="Q27" s="442">
        <f t="shared" si="7"/>
        <v>-3.5779091916504258E-3</v>
      </c>
    </row>
    <row r="28" spans="1:17" x14ac:dyDescent="0.25">
      <c r="A28" s="19">
        <v>20</v>
      </c>
      <c r="B28" s="19">
        <v>21</v>
      </c>
      <c r="C28" s="34">
        <v>10000</v>
      </c>
      <c r="D28" s="441">
        <v>1E-4</v>
      </c>
      <c r="E28" s="164">
        <v>1000000</v>
      </c>
      <c r="F28" s="133">
        <v>0.99978940000000005</v>
      </c>
      <c r="G28" s="439">
        <v>2.106E-4</v>
      </c>
      <c r="H28" s="145">
        <v>1.4498099999999999E-5</v>
      </c>
      <c r="I28" s="164">
        <v>33464.42</v>
      </c>
      <c r="J28" s="165">
        <v>16272.67</v>
      </c>
      <c r="K28" s="143">
        <f t="shared" si="8"/>
        <v>1.9610189999999999E-4</v>
      </c>
      <c r="L28" s="439">
        <f t="shared" si="9"/>
        <v>2.037111002836779E-4</v>
      </c>
      <c r="M28" s="133">
        <f t="shared" si="10"/>
        <v>2.250981E-4</v>
      </c>
      <c r="N28" s="132">
        <f t="shared" si="11"/>
        <v>0.96728917513617241</v>
      </c>
      <c r="O28" s="132" t="b">
        <f t="shared" si="12"/>
        <v>1</v>
      </c>
      <c r="P28" s="438">
        <f t="shared" si="6"/>
        <v>1.9998000133325533E-4</v>
      </c>
      <c r="Q28" s="442">
        <f t="shared" si="7"/>
        <v>-5.3105303510059688E-2</v>
      </c>
    </row>
    <row r="29" spans="1:17" ht="15.75" x14ac:dyDescent="0.25">
      <c r="A29" s="19">
        <v>20</v>
      </c>
      <c r="B29" s="19">
        <v>22</v>
      </c>
      <c r="C29" s="34">
        <v>10000</v>
      </c>
      <c r="D29" s="243">
        <v>1.0000000000000001E-5</v>
      </c>
      <c r="E29" s="164">
        <v>1000000</v>
      </c>
      <c r="F29" s="133">
        <v>0.99993814999999997</v>
      </c>
      <c r="G29" s="237">
        <v>6.1849999999999999E-5</v>
      </c>
      <c r="H29" s="145">
        <v>7.8406999999999993E-6</v>
      </c>
      <c r="I29" s="242">
        <v>40360.71</v>
      </c>
      <c r="J29" s="165">
        <v>21463.61</v>
      </c>
      <c r="K29" s="143">
        <f t="shared" si="8"/>
        <v>5.4009299999999998E-5</v>
      </c>
      <c r="L29" s="134">
        <f t="shared" si="9"/>
        <v>6.0664288989489959E-5</v>
      </c>
      <c r="M29" s="133">
        <f t="shared" si="10"/>
        <v>6.96907E-5</v>
      </c>
      <c r="N29" s="132">
        <f t="shared" si="11"/>
        <v>0.98082924801115534</v>
      </c>
      <c r="O29" s="132" t="b">
        <f t="shared" si="12"/>
        <v>1</v>
      </c>
      <c r="P29" s="29">
        <f t="shared" si="6"/>
        <v>1.9999800001335721E-5</v>
      </c>
      <c r="Q29" s="442">
        <f t="shared" si="7"/>
        <v>-2.0925309251027131</v>
      </c>
    </row>
    <row r="30" spans="1:17" x14ac:dyDescent="0.25">
      <c r="A30" s="19">
        <v>20</v>
      </c>
      <c r="B30" s="19">
        <v>2</v>
      </c>
      <c r="C30" s="34">
        <v>10000</v>
      </c>
      <c r="D30" s="187">
        <v>9.9999999999999995E-7</v>
      </c>
      <c r="E30" s="164">
        <v>1000000</v>
      </c>
      <c r="F30" s="133">
        <v>0.99994875000000005</v>
      </c>
      <c r="G30" s="134">
        <v>5.1249999999999999E-5</v>
      </c>
      <c r="H30" s="145">
        <v>7.1481999999999996E-6</v>
      </c>
      <c r="I30" s="164">
        <v>40056.019999999997</v>
      </c>
      <c r="J30" s="165">
        <v>21040.560000000001</v>
      </c>
      <c r="K30" s="143">
        <f t="shared" si="8"/>
        <v>4.4101799999999998E-5</v>
      </c>
      <c r="L30" s="134">
        <f t="shared" ref="L30" si="13">(1-EXP(-2*D30))/(1-EXP(-4*C30*D30))</f>
        <v>5.1006615481992777E-5</v>
      </c>
      <c r="M30" s="133">
        <f t="shared" si="10"/>
        <v>5.8398199999999999E-5</v>
      </c>
      <c r="N30" s="132">
        <f t="shared" si="11"/>
        <v>0.99525103379498103</v>
      </c>
      <c r="O30" s="132" t="b">
        <f t="shared" si="12"/>
        <v>1</v>
      </c>
      <c r="P30" s="29">
        <f t="shared" si="6"/>
        <v>1.9999979999907325E-6</v>
      </c>
      <c r="Q30" s="442">
        <f t="shared" si="7"/>
        <v>-24.625025625144364</v>
      </c>
    </row>
    <row r="31" spans="1:17" x14ac:dyDescent="0.25">
      <c r="A31" s="19">
        <v>20</v>
      </c>
      <c r="B31" s="19">
        <v>6</v>
      </c>
      <c r="C31" s="34">
        <v>10000</v>
      </c>
      <c r="D31" s="187">
        <v>9.9999999999999995E-8</v>
      </c>
      <c r="E31" s="164">
        <v>1000000</v>
      </c>
      <c r="F31" s="133">
        <v>0.99995095000000001</v>
      </c>
      <c r="G31" s="134">
        <v>4.905E-5</v>
      </c>
      <c r="H31" s="145">
        <v>6.9891999999999999E-6</v>
      </c>
      <c r="I31" s="164">
        <v>41302.959999999999</v>
      </c>
      <c r="J31" s="165">
        <v>22995.85</v>
      </c>
      <c r="K31" s="143">
        <f t="shared" si="8"/>
        <v>4.2060800000000002E-5</v>
      </c>
      <c r="L31" s="134">
        <f t="shared" ref="L31" si="14">(1-EXP(-2*D31))/(1-EXP(-4*C31*D31))</f>
        <v>5.0100061662087421E-5</v>
      </c>
      <c r="M31" s="133">
        <f t="shared" si="10"/>
        <v>5.6039199999999997E-5</v>
      </c>
      <c r="N31" s="132">
        <f t="shared" si="11"/>
        <v>1.0214079849559108</v>
      </c>
      <c r="O31" s="132" t="b">
        <f t="shared" si="12"/>
        <v>1</v>
      </c>
      <c r="P31" s="29">
        <f t="shared" si="6"/>
        <v>1.9999998002173669E-7</v>
      </c>
      <c r="Q31" s="442">
        <f t="shared" si="7"/>
        <v>-244.25002449834784</v>
      </c>
    </row>
    <row r="32" spans="1:17" ht="15.75" x14ac:dyDescent="0.25">
      <c r="A32" s="19">
        <v>20</v>
      </c>
      <c r="B32" s="19">
        <v>23</v>
      </c>
      <c r="C32" s="34">
        <v>10000</v>
      </c>
      <c r="D32" s="130">
        <v>0</v>
      </c>
      <c r="E32" s="164">
        <v>1000000</v>
      </c>
      <c r="F32" s="133">
        <v>0.99995080000000003</v>
      </c>
      <c r="G32" s="237">
        <v>4.9200000000000003E-5</v>
      </c>
      <c r="H32" s="145">
        <v>7.0018999999999998E-6</v>
      </c>
      <c r="I32" s="242">
        <v>39104.379999999997</v>
      </c>
      <c r="J32" s="165">
        <v>20650.11</v>
      </c>
      <c r="K32" s="143">
        <f t="shared" si="8"/>
        <v>4.2198100000000005E-5</v>
      </c>
      <c r="L32" s="134">
        <v>5.0000000000000002E-5</v>
      </c>
      <c r="M32" s="133">
        <f t="shared" si="10"/>
        <v>5.6201900000000001E-5</v>
      </c>
      <c r="N32" s="132">
        <f t="shared" si="11"/>
        <v>1.0162601626016261</v>
      </c>
      <c r="O32" s="132" t="b">
        <f t="shared" si="12"/>
        <v>1</v>
      </c>
      <c r="P32" s="29">
        <f t="shared" si="6"/>
        <v>0</v>
      </c>
      <c r="Q32" s="442" t="e">
        <f t="shared" si="7"/>
        <v>#DIV/0!</v>
      </c>
    </row>
    <row r="33" spans="1:19" x14ac:dyDescent="0.25">
      <c r="C33" s="56" t="s">
        <v>40</v>
      </c>
      <c r="D33" s="2">
        <v>0</v>
      </c>
      <c r="I33" s="9">
        <v>40000</v>
      </c>
      <c r="L33" s="29"/>
      <c r="M33" s="29"/>
      <c r="N33" s="95"/>
      <c r="O33" s="95"/>
      <c r="P33" s="95"/>
      <c r="Q33" s="95"/>
    </row>
    <row r="34" spans="1:19" ht="95.25" customHeight="1" x14ac:dyDescent="0.25">
      <c r="G34" s="261" t="s">
        <v>174</v>
      </c>
    </row>
    <row r="35" spans="1:19" s="45" customFormat="1" x14ac:dyDescent="0.25">
      <c r="B35" s="45" t="s">
        <v>32</v>
      </c>
      <c r="C35" s="39"/>
      <c r="D35" s="37"/>
      <c r="E35" s="39"/>
      <c r="F35" s="29"/>
      <c r="G35" s="29"/>
      <c r="H35" s="32"/>
      <c r="I35" s="39"/>
      <c r="J35" s="30"/>
      <c r="K35" s="43"/>
      <c r="N35" s="122"/>
      <c r="O35" s="122"/>
      <c r="P35" s="122"/>
      <c r="Q35" s="122"/>
    </row>
    <row r="36" spans="1:19" s="45" customFormat="1" ht="30" x14ac:dyDescent="0.25">
      <c r="A36" s="11" t="s">
        <v>0</v>
      </c>
      <c r="B36" s="11" t="s">
        <v>10</v>
      </c>
      <c r="C36" s="33" t="s">
        <v>11</v>
      </c>
      <c r="D36" s="11" t="s">
        <v>9</v>
      </c>
      <c r="E36" s="33" t="s">
        <v>3</v>
      </c>
      <c r="F36" s="22" t="s">
        <v>29</v>
      </c>
      <c r="G36" s="22" t="s">
        <v>27</v>
      </c>
      <c r="H36" s="54" t="s">
        <v>28</v>
      </c>
      <c r="I36" s="33" t="s">
        <v>25</v>
      </c>
      <c r="J36" s="16" t="s">
        <v>26</v>
      </c>
      <c r="K36" s="22" t="s">
        <v>151</v>
      </c>
      <c r="L36" s="22" t="s">
        <v>153</v>
      </c>
      <c r="M36" s="163" t="s">
        <v>152</v>
      </c>
      <c r="N36" s="120" t="s">
        <v>187</v>
      </c>
      <c r="O36" s="162" t="s">
        <v>154</v>
      </c>
      <c r="P36" s="161"/>
      <c r="Q36" s="161"/>
    </row>
    <row r="37" spans="1:19" s="45" customFormat="1" x14ac:dyDescent="0.25">
      <c r="A37" s="37">
        <v>20</v>
      </c>
      <c r="B37" s="37">
        <v>1</v>
      </c>
      <c r="C37" s="39">
        <v>10000</v>
      </c>
      <c r="D37" s="37">
        <v>0.5</v>
      </c>
      <c r="E37" s="55">
        <v>100000</v>
      </c>
      <c r="F37" s="29">
        <v>0.41773900000000003</v>
      </c>
      <c r="G37" s="29">
        <v>0.58226100000000003</v>
      </c>
      <c r="H37" s="45">
        <v>1.5595833999999999E-3</v>
      </c>
      <c r="I37" s="39">
        <v>48.77</v>
      </c>
      <c r="J37" s="30">
        <v>4.1900000000000004</v>
      </c>
      <c r="K37" s="160">
        <f>G37-H37</f>
        <v>0.58070141660000008</v>
      </c>
      <c r="L37" s="36">
        <f t="shared" ref="L37:L58" si="15">(1-EXP(-2*D37))/(1-EXP(-4*C37*D37))</f>
        <v>0.63212055882855767</v>
      </c>
      <c r="M37" s="53">
        <f t="shared" ref="M37:M59" si="16">G37+H37</f>
        <v>0.58382058339999998</v>
      </c>
      <c r="N37" s="121">
        <f t="shared" ref="N37:N59" si="17">L37/G37</f>
        <v>1.0856309435606328</v>
      </c>
      <c r="O37" s="121" t="b">
        <f t="shared" ref="O37:O58" si="18">AND(L37&gt;=K37,L37&lt;=M37)</f>
        <v>0</v>
      </c>
      <c r="P37" s="95"/>
      <c r="Q37" s="95"/>
    </row>
    <row r="38" spans="1:19" s="45" customFormat="1" x14ac:dyDescent="0.25">
      <c r="A38" s="37">
        <v>20</v>
      </c>
      <c r="B38" s="37">
        <v>2</v>
      </c>
      <c r="C38" s="39">
        <v>10000</v>
      </c>
      <c r="D38" s="37">
        <v>0.45</v>
      </c>
      <c r="E38" s="39">
        <v>100000</v>
      </c>
      <c r="F38" s="29">
        <v>0.45139099999999999</v>
      </c>
      <c r="G38" s="29">
        <v>0.54860900000000001</v>
      </c>
      <c r="H38" s="45">
        <v>1.5736381000000001E-3</v>
      </c>
      <c r="I38" s="39">
        <v>52.88</v>
      </c>
      <c r="J38" s="30">
        <v>4.5999999999999996</v>
      </c>
      <c r="K38" s="160">
        <f t="shared" ref="K38:K59" si="19">G38-H38</f>
        <v>0.54703536190000002</v>
      </c>
      <c r="L38" s="36">
        <f t="shared" si="15"/>
        <v>0.59343034025940089</v>
      </c>
      <c r="M38" s="53">
        <f t="shared" si="16"/>
        <v>0.55018263810000001</v>
      </c>
      <c r="N38" s="121">
        <f t="shared" si="17"/>
        <v>1.081699972584119</v>
      </c>
      <c r="O38" s="121" t="b">
        <f t="shared" si="18"/>
        <v>0</v>
      </c>
      <c r="P38" s="95"/>
      <c r="Q38" s="95"/>
    </row>
    <row r="39" spans="1:19" s="45" customFormat="1" x14ac:dyDescent="0.25">
      <c r="A39" s="37">
        <v>20</v>
      </c>
      <c r="B39" s="37">
        <v>3</v>
      </c>
      <c r="C39" s="39">
        <v>10000</v>
      </c>
      <c r="D39" s="37">
        <v>0.4</v>
      </c>
      <c r="E39" s="39">
        <v>100000</v>
      </c>
      <c r="F39" s="29">
        <v>0.48874400000000001</v>
      </c>
      <c r="G39" s="29">
        <v>0.51125600000000004</v>
      </c>
      <c r="H39" s="45">
        <v>1.5807308000000001E-3</v>
      </c>
      <c r="I39" s="39">
        <v>57.98</v>
      </c>
      <c r="J39" s="30">
        <v>5.1100000000000003</v>
      </c>
      <c r="K39" s="160">
        <f t="shared" si="19"/>
        <v>0.50967526920000006</v>
      </c>
      <c r="L39" s="36">
        <f t="shared" si="15"/>
        <v>0.55067103588277844</v>
      </c>
      <c r="M39" s="53">
        <f t="shared" si="16"/>
        <v>0.51283673080000003</v>
      </c>
      <c r="N39" s="121">
        <f t="shared" si="17"/>
        <v>1.077094519932829</v>
      </c>
      <c r="O39" s="121" t="b">
        <f t="shared" si="18"/>
        <v>0</v>
      </c>
      <c r="P39" s="95"/>
      <c r="Q39" s="95"/>
    </row>
    <row r="40" spans="1:19" s="45" customFormat="1" x14ac:dyDescent="0.25">
      <c r="A40" s="37">
        <v>20</v>
      </c>
      <c r="B40" s="37">
        <v>4</v>
      </c>
      <c r="C40" s="39">
        <v>10000</v>
      </c>
      <c r="D40" s="37">
        <v>0.35</v>
      </c>
      <c r="E40" s="39">
        <v>100000</v>
      </c>
      <c r="F40" s="29">
        <v>0.53005199999999997</v>
      </c>
      <c r="G40" s="29">
        <v>0.46994799999999998</v>
      </c>
      <c r="H40" s="32">
        <v>1.5782712999999999E-3</v>
      </c>
      <c r="I40" s="39">
        <v>64.44</v>
      </c>
      <c r="J40" s="30">
        <v>5.77</v>
      </c>
      <c r="K40" s="160">
        <f t="shared" si="19"/>
        <v>0.46836972869999999</v>
      </c>
      <c r="L40" s="36">
        <f t="shared" si="15"/>
        <v>0.50341469620859047</v>
      </c>
      <c r="M40" s="53">
        <f t="shared" si="16"/>
        <v>0.47152627129999997</v>
      </c>
      <c r="N40" s="121">
        <f t="shared" si="17"/>
        <v>1.071213615567234</v>
      </c>
      <c r="O40" s="121" t="b">
        <f t="shared" si="18"/>
        <v>0</v>
      </c>
      <c r="P40" s="95"/>
      <c r="Q40" s="95"/>
    </row>
    <row r="41" spans="1:19" x14ac:dyDescent="0.25">
      <c r="A41" s="2">
        <v>20</v>
      </c>
      <c r="B41" s="37">
        <v>5</v>
      </c>
      <c r="C41" s="39">
        <v>10000</v>
      </c>
      <c r="D41" s="37">
        <v>0.3</v>
      </c>
      <c r="E41" s="39">
        <v>100000</v>
      </c>
      <c r="F41" s="29">
        <v>0.57695300000000005</v>
      </c>
      <c r="G41" s="29">
        <v>0.42304700000000001</v>
      </c>
      <c r="H41" s="32">
        <v>1.5622898E-3</v>
      </c>
      <c r="I41" s="39">
        <v>72.930000000000007</v>
      </c>
      <c r="J41" s="30">
        <v>6.64</v>
      </c>
      <c r="K41" s="160">
        <f t="shared" si="19"/>
        <v>0.4214847102</v>
      </c>
      <c r="L41" s="36">
        <f t="shared" si="15"/>
        <v>0.45118836390597361</v>
      </c>
      <c r="M41" s="53">
        <f t="shared" si="16"/>
        <v>0.42460928980000001</v>
      </c>
      <c r="N41" s="121">
        <f t="shared" si="17"/>
        <v>1.0665206558750531</v>
      </c>
      <c r="O41" s="121" t="b">
        <f t="shared" si="18"/>
        <v>0</v>
      </c>
      <c r="P41" s="95"/>
      <c r="Q41" s="95"/>
      <c r="R41" s="39"/>
    </row>
    <row r="42" spans="1:19" x14ac:dyDescent="0.25">
      <c r="A42" s="3">
        <v>20</v>
      </c>
      <c r="B42" s="48">
        <v>6</v>
      </c>
      <c r="C42" s="49">
        <v>10000</v>
      </c>
      <c r="D42" s="48">
        <v>0.25</v>
      </c>
      <c r="E42" s="49">
        <v>100000</v>
      </c>
      <c r="F42" s="50">
        <v>0.62845450000000003</v>
      </c>
      <c r="G42" s="50">
        <v>0.37154549999999997</v>
      </c>
      <c r="H42" s="51">
        <v>1.5280637999999999E-3</v>
      </c>
      <c r="I42" s="49">
        <v>84.58</v>
      </c>
      <c r="J42" s="52">
        <v>7.84</v>
      </c>
      <c r="K42" s="160">
        <f t="shared" si="19"/>
        <v>0.37001743619999999</v>
      </c>
      <c r="L42" s="36">
        <f t="shared" si="15"/>
        <v>0.39346934028736658</v>
      </c>
      <c r="M42" s="53">
        <f t="shared" si="16"/>
        <v>0.37307356379999995</v>
      </c>
      <c r="N42" s="121">
        <f t="shared" si="17"/>
        <v>1.0590071479465277</v>
      </c>
      <c r="O42" s="121" t="b">
        <f t="shared" si="18"/>
        <v>0</v>
      </c>
      <c r="P42" s="95"/>
      <c r="Q42" s="95"/>
      <c r="R42" s="39"/>
      <c r="S42" s="2"/>
    </row>
    <row r="43" spans="1:19" x14ac:dyDescent="0.25">
      <c r="A43" s="2">
        <v>20</v>
      </c>
      <c r="B43" s="37">
        <v>7</v>
      </c>
      <c r="C43" s="39">
        <v>10000</v>
      </c>
      <c r="D43" s="37">
        <v>0.2</v>
      </c>
      <c r="E43" s="39">
        <v>100000</v>
      </c>
      <c r="F43" s="29">
        <v>0.68595150000000005</v>
      </c>
      <c r="G43" s="29">
        <v>0.31404850000000001</v>
      </c>
      <c r="H43" s="45">
        <v>1.4677151999999999E-3</v>
      </c>
      <c r="I43" s="39">
        <v>101.72</v>
      </c>
      <c r="J43" s="30">
        <v>9.68</v>
      </c>
      <c r="K43" s="160">
        <f t="shared" si="19"/>
        <v>0.31258078480000001</v>
      </c>
      <c r="L43" s="36">
        <f t="shared" si="15"/>
        <v>0.32967995396436067</v>
      </c>
      <c r="M43" s="53">
        <f t="shared" si="16"/>
        <v>0.31551621520000001</v>
      </c>
      <c r="N43" s="121">
        <f t="shared" si="17"/>
        <v>1.0497740124992181</v>
      </c>
      <c r="O43" s="121" t="b">
        <f t="shared" si="18"/>
        <v>0</v>
      </c>
      <c r="P43" s="95"/>
      <c r="Q43" s="95"/>
      <c r="R43" s="39"/>
    </row>
    <row r="44" spans="1:19" x14ac:dyDescent="0.25">
      <c r="A44" s="2">
        <v>20</v>
      </c>
      <c r="B44" s="37">
        <v>8</v>
      </c>
      <c r="C44" s="39">
        <v>10000</v>
      </c>
      <c r="D44" s="37">
        <v>0.15</v>
      </c>
      <c r="E44" s="39">
        <v>100000</v>
      </c>
      <c r="F44" s="29">
        <v>0.750637</v>
      </c>
      <c r="G44" s="29">
        <v>0.249363</v>
      </c>
      <c r="H44" s="45">
        <v>1.3681328E-3</v>
      </c>
      <c r="I44" s="39">
        <v>129.46</v>
      </c>
      <c r="J44" s="30">
        <v>12.71</v>
      </c>
      <c r="K44" s="160">
        <f t="shared" si="19"/>
        <v>0.2479948672</v>
      </c>
      <c r="L44" s="36">
        <f t="shared" si="15"/>
        <v>0.25918177931828212</v>
      </c>
      <c r="M44" s="53">
        <f t="shared" si="16"/>
        <v>0.25073113279999998</v>
      </c>
      <c r="N44" s="121">
        <f t="shared" si="17"/>
        <v>1.0393754459093054</v>
      </c>
      <c r="O44" s="121" t="b">
        <f t="shared" si="18"/>
        <v>0</v>
      </c>
      <c r="P44" s="95"/>
      <c r="Q44" s="95"/>
      <c r="R44" s="39"/>
    </row>
    <row r="45" spans="1:19" x14ac:dyDescent="0.25">
      <c r="A45" s="2">
        <v>20</v>
      </c>
      <c r="B45" s="37">
        <v>9</v>
      </c>
      <c r="C45" s="39">
        <v>10000</v>
      </c>
      <c r="D45" s="37">
        <v>0.1</v>
      </c>
      <c r="E45" s="39">
        <v>100000</v>
      </c>
      <c r="F45" s="29">
        <v>0.8236675</v>
      </c>
      <c r="G45" s="29">
        <v>0.1763325</v>
      </c>
      <c r="H45" s="45">
        <v>1.2051407E-3</v>
      </c>
      <c r="I45" s="39">
        <v>182.7</v>
      </c>
      <c r="J45" s="30">
        <v>18.73</v>
      </c>
      <c r="K45" s="160">
        <f t="shared" si="19"/>
        <v>0.17512735930000001</v>
      </c>
      <c r="L45" s="36">
        <f t="shared" si="15"/>
        <v>0.18126924692201818</v>
      </c>
      <c r="M45" s="53">
        <f t="shared" si="16"/>
        <v>0.1775376407</v>
      </c>
      <c r="N45" s="121">
        <f t="shared" si="17"/>
        <v>1.0279968067260328</v>
      </c>
      <c r="O45" s="121" t="b">
        <f t="shared" si="18"/>
        <v>0</v>
      </c>
      <c r="P45" s="95"/>
      <c r="Q45" s="95"/>
      <c r="R45" s="39"/>
    </row>
    <row r="46" spans="1:19" x14ac:dyDescent="0.25">
      <c r="A46" s="2">
        <v>20</v>
      </c>
      <c r="B46" s="37">
        <v>10</v>
      </c>
      <c r="C46" s="39">
        <v>10000</v>
      </c>
      <c r="D46" s="37">
        <v>0.05</v>
      </c>
      <c r="E46" s="39">
        <v>100000</v>
      </c>
      <c r="F46" s="29">
        <v>0.90664650000000002</v>
      </c>
      <c r="G46" s="29">
        <v>9.3353500000000006E-2</v>
      </c>
      <c r="H46" s="45">
        <v>9.1998329999999997E-4</v>
      </c>
      <c r="I46" s="39">
        <v>331.57</v>
      </c>
      <c r="J46" s="30">
        <v>37.020000000000003</v>
      </c>
      <c r="K46" s="160">
        <f t="shared" si="19"/>
        <v>9.243351670000001E-2</v>
      </c>
      <c r="L46" s="36">
        <f t="shared" si="15"/>
        <v>9.5162581964040482E-2</v>
      </c>
      <c r="M46" s="53">
        <f t="shared" si="16"/>
        <v>9.4273483300000002E-2</v>
      </c>
      <c r="N46" s="121">
        <f t="shared" si="17"/>
        <v>1.0193788338309808</v>
      </c>
      <c r="O46" s="121" t="b">
        <f t="shared" si="18"/>
        <v>0</v>
      </c>
      <c r="P46" s="95"/>
      <c r="Q46" s="95"/>
      <c r="R46" s="39"/>
    </row>
    <row r="47" spans="1:19" x14ac:dyDescent="0.25">
      <c r="A47" s="2">
        <v>20</v>
      </c>
      <c r="B47" s="37">
        <v>11</v>
      </c>
      <c r="C47" s="39">
        <v>10000</v>
      </c>
      <c r="D47" s="167">
        <v>0.01</v>
      </c>
      <c r="E47" s="168">
        <v>100000</v>
      </c>
      <c r="F47" s="158">
        <v>0.98034549999999998</v>
      </c>
      <c r="G47" s="158">
        <v>1.9654499999999998E-2</v>
      </c>
      <c r="H47" s="159">
        <v>4.3892589999999998E-4</v>
      </c>
      <c r="I47" s="168">
        <v>1316.08</v>
      </c>
      <c r="J47" s="169">
        <v>185.59</v>
      </c>
      <c r="K47" s="143">
        <f t="shared" si="19"/>
        <v>1.9215574099999997E-2</v>
      </c>
      <c r="L47" s="133">
        <f t="shared" si="15"/>
        <v>1.9801326693244747E-2</v>
      </c>
      <c r="M47" s="133">
        <f t="shared" si="16"/>
        <v>2.00934259E-2</v>
      </c>
      <c r="N47" s="132">
        <f t="shared" si="17"/>
        <v>1.0074703855730112</v>
      </c>
      <c r="O47" s="132" t="b">
        <f t="shared" si="18"/>
        <v>1</v>
      </c>
      <c r="P47" s="435"/>
      <c r="Q47" s="435"/>
      <c r="R47" s="39"/>
    </row>
    <row r="48" spans="1:19" x14ac:dyDescent="0.25">
      <c r="A48" s="2">
        <v>20</v>
      </c>
      <c r="B48" s="37">
        <v>12</v>
      </c>
      <c r="C48" s="39">
        <v>10000</v>
      </c>
      <c r="D48" s="167">
        <v>8.9999999999999993E-3</v>
      </c>
      <c r="E48" s="168">
        <v>100000</v>
      </c>
      <c r="F48" s="158">
        <v>0.98210949999999997</v>
      </c>
      <c r="G48" s="158">
        <v>1.78905E-2</v>
      </c>
      <c r="H48" s="159">
        <v>4.1915019999999998E-4</v>
      </c>
      <c r="I48" s="168">
        <v>1438.19</v>
      </c>
      <c r="J48" s="169">
        <v>205.64</v>
      </c>
      <c r="K48" s="143">
        <f t="shared" si="19"/>
        <v>1.7471349800000001E-2</v>
      </c>
      <c r="L48" s="133">
        <f t="shared" si="15"/>
        <v>1.7838967641699233E-2</v>
      </c>
      <c r="M48" s="133">
        <f t="shared" si="16"/>
        <v>1.8309650199999999E-2</v>
      </c>
      <c r="N48" s="132">
        <f t="shared" si="17"/>
        <v>0.99711956858104767</v>
      </c>
      <c r="O48" s="132" t="b">
        <f t="shared" si="18"/>
        <v>1</v>
      </c>
      <c r="P48" s="435"/>
      <c r="Q48" s="435"/>
      <c r="R48" s="39"/>
    </row>
    <row r="49" spans="1:31" x14ac:dyDescent="0.25">
      <c r="A49" s="2">
        <v>20</v>
      </c>
      <c r="B49" s="37">
        <v>13</v>
      </c>
      <c r="C49" s="39">
        <v>10000</v>
      </c>
      <c r="D49" s="167">
        <v>8.0000000000000002E-3</v>
      </c>
      <c r="E49" s="168">
        <v>100000</v>
      </c>
      <c r="F49" s="158">
        <v>0.98418950000000005</v>
      </c>
      <c r="G49" s="158">
        <v>1.5810500000000002E-2</v>
      </c>
      <c r="H49" s="159">
        <v>3.9443840000000002E-4</v>
      </c>
      <c r="I49" s="168">
        <v>1586.88</v>
      </c>
      <c r="J49" s="169">
        <v>232.09</v>
      </c>
      <c r="K49" s="143">
        <f t="shared" si="19"/>
        <v>1.5416061600000001E-2</v>
      </c>
      <c r="L49" s="133">
        <f t="shared" si="15"/>
        <v>1.5872679944714863E-2</v>
      </c>
      <c r="M49" s="133">
        <f t="shared" si="16"/>
        <v>1.62049384E-2</v>
      </c>
      <c r="N49" s="132">
        <f t="shared" si="17"/>
        <v>1.0039328259520484</v>
      </c>
      <c r="O49" s="132" t="b">
        <f t="shared" si="18"/>
        <v>1</v>
      </c>
      <c r="P49" s="435"/>
      <c r="Q49" s="435"/>
      <c r="R49" s="39"/>
    </row>
    <row r="50" spans="1:31" x14ac:dyDescent="0.25">
      <c r="A50" s="2">
        <v>20</v>
      </c>
      <c r="B50" s="37">
        <v>14</v>
      </c>
      <c r="C50" s="39">
        <v>10000</v>
      </c>
      <c r="D50" s="167">
        <v>7.0000000000000001E-3</v>
      </c>
      <c r="E50" s="168">
        <v>100000</v>
      </c>
      <c r="F50" s="158">
        <v>0.9862225</v>
      </c>
      <c r="G50" s="158">
        <v>1.37775E-2</v>
      </c>
      <c r="H50" s="159">
        <v>3.6858779999999997E-4</v>
      </c>
      <c r="I50" s="168">
        <v>1775.55</v>
      </c>
      <c r="J50" s="169">
        <v>266.3</v>
      </c>
      <c r="K50" s="143">
        <f t="shared" si="19"/>
        <v>1.3408912199999999E-2</v>
      </c>
      <c r="L50" s="133">
        <f t="shared" si="15"/>
        <v>1.3902455737138109E-2</v>
      </c>
      <c r="M50" s="133">
        <f t="shared" si="16"/>
        <v>1.41460878E-2</v>
      </c>
      <c r="N50" s="132">
        <f t="shared" si="17"/>
        <v>1.0090695508719367</v>
      </c>
      <c r="O50" s="132" t="b">
        <f t="shared" si="18"/>
        <v>1</v>
      </c>
      <c r="P50" s="435"/>
      <c r="Q50" s="435"/>
      <c r="R50" s="39"/>
    </row>
    <row r="51" spans="1:31" x14ac:dyDescent="0.25">
      <c r="A51" s="2">
        <v>20</v>
      </c>
      <c r="B51" s="37">
        <v>15</v>
      </c>
      <c r="C51" s="39">
        <v>10000</v>
      </c>
      <c r="D51" s="167">
        <v>6.0000000000000001E-3</v>
      </c>
      <c r="E51" s="168">
        <v>100000</v>
      </c>
      <c r="F51" s="158">
        <v>0.98812599999999995</v>
      </c>
      <c r="G51" s="158">
        <v>1.1873999999999999E-2</v>
      </c>
      <c r="H51" s="159">
        <v>3.4249779999999999E-4</v>
      </c>
      <c r="I51" s="168">
        <v>2020.59</v>
      </c>
      <c r="J51" s="169">
        <v>308</v>
      </c>
      <c r="K51" s="143">
        <f t="shared" si="19"/>
        <v>1.15315022E-2</v>
      </c>
      <c r="L51" s="133">
        <f t="shared" si="15"/>
        <v>1.1928287138069482E-2</v>
      </c>
      <c r="M51" s="133">
        <f t="shared" si="16"/>
        <v>1.2216497799999998E-2</v>
      </c>
      <c r="N51" s="132">
        <f t="shared" si="17"/>
        <v>1.0045719334739331</v>
      </c>
      <c r="O51" s="132" t="b">
        <f t="shared" si="18"/>
        <v>1</v>
      </c>
      <c r="P51" s="435"/>
      <c r="Q51" s="435"/>
      <c r="R51" s="39"/>
    </row>
    <row r="52" spans="1:31" x14ac:dyDescent="0.25">
      <c r="A52" s="2">
        <v>20</v>
      </c>
      <c r="B52" s="37">
        <v>16</v>
      </c>
      <c r="C52" s="39">
        <v>10000</v>
      </c>
      <c r="D52" s="167">
        <v>5.0000000000000001E-3</v>
      </c>
      <c r="E52" s="168">
        <v>100000</v>
      </c>
      <c r="F52" s="158">
        <v>0.99001899999999998</v>
      </c>
      <c r="G52" s="158">
        <v>9.9810000000000003E-3</v>
      </c>
      <c r="H52" s="159">
        <v>3.143272E-4</v>
      </c>
      <c r="I52" s="168">
        <v>2348.8000000000002</v>
      </c>
      <c r="J52" s="169">
        <v>372.55</v>
      </c>
      <c r="K52" s="143">
        <f t="shared" si="19"/>
        <v>9.6666727999999997E-3</v>
      </c>
      <c r="L52" s="133">
        <f t="shared" si="15"/>
        <v>9.9501662508318933E-3</v>
      </c>
      <c r="M52" s="133">
        <f t="shared" si="16"/>
        <v>1.0295327200000001E-2</v>
      </c>
      <c r="N52" s="132">
        <f t="shared" si="17"/>
        <v>0.99691075551867481</v>
      </c>
      <c r="O52" s="132" t="b">
        <f t="shared" si="18"/>
        <v>1</v>
      </c>
      <c r="P52" s="435"/>
      <c r="Q52" s="435"/>
      <c r="R52" s="39"/>
    </row>
    <row r="53" spans="1:31" x14ac:dyDescent="0.25">
      <c r="A53" s="2">
        <v>20</v>
      </c>
      <c r="B53" s="37">
        <v>17</v>
      </c>
      <c r="C53" s="39">
        <v>10000</v>
      </c>
      <c r="D53" s="167">
        <v>4.0000000000000001E-3</v>
      </c>
      <c r="E53" s="168">
        <v>100000</v>
      </c>
      <c r="F53" s="158">
        <v>0.99199250000000005</v>
      </c>
      <c r="G53" s="158">
        <v>8.0075000000000007E-3</v>
      </c>
      <c r="H53" s="170">
        <v>2.8181229999999999E-4</v>
      </c>
      <c r="I53" s="168">
        <v>2822.54</v>
      </c>
      <c r="J53" s="169">
        <v>463.47</v>
      </c>
      <c r="K53" s="143">
        <f t="shared" si="19"/>
        <v>7.7256877000000009E-3</v>
      </c>
      <c r="L53" s="133">
        <f t="shared" si="15"/>
        <v>7.9680851629393423E-3</v>
      </c>
      <c r="M53" s="133">
        <f t="shared" si="16"/>
        <v>8.2893123000000006E-3</v>
      </c>
      <c r="N53" s="132">
        <f t="shared" si="17"/>
        <v>0.99507775996744818</v>
      </c>
      <c r="O53" s="132" t="b">
        <f t="shared" si="18"/>
        <v>1</v>
      </c>
      <c r="P53" s="435"/>
      <c r="Q53" s="435"/>
      <c r="R53" s="39"/>
    </row>
    <row r="54" spans="1:31" x14ac:dyDescent="0.25">
      <c r="A54" s="2">
        <v>20</v>
      </c>
      <c r="B54" s="2">
        <v>18</v>
      </c>
      <c r="C54" s="9">
        <v>10000</v>
      </c>
      <c r="D54" s="167">
        <v>3.0000000000000001E-3</v>
      </c>
      <c r="E54" s="168">
        <v>100000</v>
      </c>
      <c r="F54" s="158">
        <v>0.99405449999999995</v>
      </c>
      <c r="G54" s="158">
        <v>5.9455000000000003E-3</v>
      </c>
      <c r="H54" s="170">
        <v>2.4307429999999999E-4</v>
      </c>
      <c r="I54" s="168">
        <v>3569.29</v>
      </c>
      <c r="J54" s="169">
        <v>627.62</v>
      </c>
      <c r="K54" s="143">
        <f t="shared" si="19"/>
        <v>5.7024257000000004E-3</v>
      </c>
      <c r="L54" s="133">
        <f t="shared" si="15"/>
        <v>5.9820359460647232E-3</v>
      </c>
      <c r="M54" s="133">
        <f t="shared" si="16"/>
        <v>6.1885743000000002E-3</v>
      </c>
      <c r="N54" s="132">
        <f t="shared" si="17"/>
        <v>1.0061451427238624</v>
      </c>
      <c r="O54" s="132" t="b">
        <f t="shared" si="18"/>
        <v>1</v>
      </c>
      <c r="P54" s="435"/>
      <c r="Q54" s="435"/>
      <c r="R54" s="39"/>
    </row>
    <row r="55" spans="1:31" x14ac:dyDescent="0.25">
      <c r="A55" s="2">
        <v>20</v>
      </c>
      <c r="B55" s="2">
        <v>19</v>
      </c>
      <c r="C55" s="9">
        <v>10000</v>
      </c>
      <c r="D55" s="167">
        <v>2E-3</v>
      </c>
      <c r="E55" s="168">
        <v>100000</v>
      </c>
      <c r="F55" s="158">
        <v>0.99604300000000001</v>
      </c>
      <c r="G55" s="158">
        <v>3.9569999999999996E-3</v>
      </c>
      <c r="H55" s="170">
        <v>1.9845179999999999E-4</v>
      </c>
      <c r="I55" s="168">
        <v>4956.6000000000004</v>
      </c>
      <c r="J55" s="169">
        <v>962.62</v>
      </c>
      <c r="K55" s="143">
        <f t="shared" si="19"/>
        <v>3.7585481999999996E-3</v>
      </c>
      <c r="L55" s="133">
        <f t="shared" si="15"/>
        <v>3.9920106560085156E-3</v>
      </c>
      <c r="M55" s="133">
        <f t="shared" si="16"/>
        <v>4.1554517999999995E-3</v>
      </c>
      <c r="N55" s="132">
        <f t="shared" si="17"/>
        <v>1.0088477776114522</v>
      </c>
      <c r="O55" s="132" t="b">
        <f t="shared" si="18"/>
        <v>1</v>
      </c>
      <c r="P55" s="435"/>
      <c r="Q55" s="435"/>
      <c r="R55" s="39"/>
      <c r="T55" s="42"/>
    </row>
    <row r="56" spans="1:31" x14ac:dyDescent="0.25">
      <c r="A56" s="2">
        <v>20</v>
      </c>
      <c r="B56" s="2">
        <v>20</v>
      </c>
      <c r="C56" s="9">
        <v>10000</v>
      </c>
      <c r="D56" s="167">
        <v>1E-3</v>
      </c>
      <c r="E56" s="168">
        <v>100000</v>
      </c>
      <c r="F56" s="158">
        <v>0.99795149999999999</v>
      </c>
      <c r="G56" s="158">
        <v>2.0485E-3</v>
      </c>
      <c r="H56" s="170">
        <v>1.4289899999999999E-4</v>
      </c>
      <c r="I56" s="168">
        <v>8419.98</v>
      </c>
      <c r="J56" s="169">
        <v>1939.19</v>
      </c>
      <c r="K56" s="143">
        <f t="shared" si="19"/>
        <v>1.905601E-3</v>
      </c>
      <c r="L56" s="133">
        <f t="shared" si="15"/>
        <v>1.998001332666921E-3</v>
      </c>
      <c r="M56" s="133">
        <f t="shared" si="16"/>
        <v>2.1913990000000001E-3</v>
      </c>
      <c r="N56" s="132">
        <f t="shared" si="17"/>
        <v>0.97534846603218017</v>
      </c>
      <c r="O56" s="132" t="b">
        <f t="shared" si="18"/>
        <v>1</v>
      </c>
      <c r="P56" s="435"/>
      <c r="Q56" s="435"/>
      <c r="R56" s="39"/>
      <c r="T56" s="42"/>
    </row>
    <row r="57" spans="1:31" x14ac:dyDescent="0.25">
      <c r="A57" s="2">
        <v>20</v>
      </c>
      <c r="B57" s="2">
        <v>21</v>
      </c>
      <c r="C57" s="9">
        <v>10000</v>
      </c>
      <c r="D57" s="167">
        <v>1E-4</v>
      </c>
      <c r="E57" s="168">
        <v>100000</v>
      </c>
      <c r="F57" s="158">
        <v>0.99980349999999996</v>
      </c>
      <c r="G57" s="158">
        <v>1.9650000000000001E-4</v>
      </c>
      <c r="H57" s="170">
        <v>4.4039100000000003E-5</v>
      </c>
      <c r="I57" s="168">
        <v>33567.760000000002</v>
      </c>
      <c r="J57" s="169">
        <v>15234.15</v>
      </c>
      <c r="K57" s="143">
        <f t="shared" si="19"/>
        <v>1.524609E-4</v>
      </c>
      <c r="L57" s="133">
        <f t="shared" si="15"/>
        <v>2.037111002836779E-4</v>
      </c>
      <c r="M57" s="133">
        <f t="shared" si="16"/>
        <v>2.4053910000000002E-4</v>
      </c>
      <c r="N57" s="132">
        <f t="shared" si="17"/>
        <v>1.0366977113673175</v>
      </c>
      <c r="O57" s="132" t="b">
        <f t="shared" si="18"/>
        <v>1</v>
      </c>
      <c r="P57" s="435"/>
      <c r="Q57" s="435"/>
      <c r="R57" s="39"/>
      <c r="T57" s="42"/>
    </row>
    <row r="58" spans="1:31" x14ac:dyDescent="0.25">
      <c r="A58" s="2">
        <v>20</v>
      </c>
      <c r="B58" s="2">
        <v>22</v>
      </c>
      <c r="C58" s="9">
        <v>10000</v>
      </c>
      <c r="D58" s="171">
        <v>1.0000000000000001E-5</v>
      </c>
      <c r="E58" s="168">
        <v>100000</v>
      </c>
      <c r="F58" s="158">
        <v>0.99992999999999999</v>
      </c>
      <c r="G58" s="158">
        <v>6.9999999999999994E-5</v>
      </c>
      <c r="H58" s="170">
        <v>2.62401E-5</v>
      </c>
      <c r="I58" s="168">
        <v>39516.46</v>
      </c>
      <c r="J58" s="169">
        <v>15921.93</v>
      </c>
      <c r="K58" s="143">
        <f t="shared" si="19"/>
        <v>4.3759899999999994E-5</v>
      </c>
      <c r="L58" s="133">
        <f t="shared" si="15"/>
        <v>6.0664288989489959E-5</v>
      </c>
      <c r="M58" s="133">
        <f t="shared" si="16"/>
        <v>9.6240099999999994E-5</v>
      </c>
      <c r="N58" s="132">
        <f t="shared" si="17"/>
        <v>0.86663269984985658</v>
      </c>
      <c r="O58" s="132" t="b">
        <f t="shared" si="18"/>
        <v>1</v>
      </c>
      <c r="P58" s="435"/>
      <c r="Q58" s="435"/>
      <c r="R58" s="39"/>
    </row>
    <row r="59" spans="1:31" x14ac:dyDescent="0.25">
      <c r="A59" s="2">
        <v>20</v>
      </c>
      <c r="B59" s="2">
        <v>23</v>
      </c>
      <c r="C59" s="9">
        <v>10000</v>
      </c>
      <c r="D59" s="167">
        <v>0</v>
      </c>
      <c r="E59" s="168">
        <v>100000</v>
      </c>
      <c r="F59" s="158">
        <v>0.99995299999999998</v>
      </c>
      <c r="G59" s="158">
        <v>4.6999999999999997E-5</v>
      </c>
      <c r="H59" s="170">
        <v>2.1341200000000002E-5</v>
      </c>
      <c r="I59" s="168">
        <v>35533.89</v>
      </c>
      <c r="J59" s="169">
        <v>11213.95</v>
      </c>
      <c r="K59" s="143">
        <f t="shared" si="19"/>
        <v>2.5658799999999996E-5</v>
      </c>
      <c r="L59" s="133">
        <f>1/(2*C59)</f>
        <v>5.0000000000000002E-5</v>
      </c>
      <c r="M59" s="133">
        <f t="shared" si="16"/>
        <v>6.8341200000000002E-5</v>
      </c>
      <c r="N59" s="132">
        <f t="shared" si="17"/>
        <v>1.0638297872340428</v>
      </c>
      <c r="O59" s="132"/>
      <c r="P59" s="435"/>
      <c r="Q59" s="435"/>
      <c r="R59" s="39"/>
    </row>
    <row r="60" spans="1:31" x14ac:dyDescent="0.25">
      <c r="D60" s="2">
        <v>0</v>
      </c>
      <c r="F60" s="18" t="s">
        <v>30</v>
      </c>
      <c r="G60" s="18">
        <f>1/(2*10000)</f>
        <v>5.0000000000000002E-5</v>
      </c>
      <c r="H60" s="31" t="s">
        <v>31</v>
      </c>
      <c r="I60" s="9">
        <f>4*10000</f>
        <v>40000</v>
      </c>
      <c r="J60" s="30"/>
      <c r="K60" s="43"/>
      <c r="L60" s="38"/>
      <c r="M60" s="38"/>
      <c r="N60" s="126"/>
      <c r="O60" s="126"/>
      <c r="P60" s="126"/>
      <c r="Q60" s="126"/>
      <c r="R60" s="39"/>
      <c r="T60" s="42"/>
      <c r="Y60" s="42"/>
      <c r="AE60" s="10"/>
    </row>
    <row r="61" spans="1:31" x14ac:dyDescent="0.25">
      <c r="J61" s="30"/>
      <c r="K61" s="43"/>
      <c r="L61" s="38"/>
      <c r="M61" s="38"/>
      <c r="N61" s="126"/>
      <c r="O61" s="126"/>
      <c r="P61" s="126"/>
      <c r="Q61" s="126"/>
      <c r="R61" s="39"/>
    </row>
    <row r="62" spans="1:31" x14ac:dyDescent="0.25">
      <c r="B62" s="45" t="s">
        <v>37</v>
      </c>
    </row>
    <row r="63" spans="1:31" ht="30" x14ac:dyDescent="0.25">
      <c r="A63" s="11" t="s">
        <v>0</v>
      </c>
      <c r="B63" s="11" t="s">
        <v>10</v>
      </c>
      <c r="C63" s="33" t="s">
        <v>11</v>
      </c>
      <c r="D63" s="11" t="s">
        <v>9</v>
      </c>
      <c r="E63" s="33" t="s">
        <v>3</v>
      </c>
      <c r="F63" s="22" t="s">
        <v>29</v>
      </c>
      <c r="G63" s="22" t="s">
        <v>27</v>
      </c>
      <c r="H63" s="54" t="s">
        <v>28</v>
      </c>
      <c r="I63" s="33" t="s">
        <v>25</v>
      </c>
      <c r="J63" s="16" t="s">
        <v>26</v>
      </c>
      <c r="K63" s="22" t="s">
        <v>151</v>
      </c>
      <c r="L63" s="22" t="s">
        <v>153</v>
      </c>
      <c r="M63" s="163" t="s">
        <v>152</v>
      </c>
      <c r="N63" s="120" t="s">
        <v>155</v>
      </c>
      <c r="O63" s="162" t="s">
        <v>154</v>
      </c>
      <c r="P63" s="161"/>
      <c r="Q63" s="161"/>
    </row>
    <row r="64" spans="1:31" x14ac:dyDescent="0.25">
      <c r="A64" s="2">
        <v>20</v>
      </c>
      <c r="B64" s="2">
        <v>1</v>
      </c>
      <c r="C64" s="9">
        <v>10000</v>
      </c>
      <c r="D64" s="2">
        <v>0.5</v>
      </c>
      <c r="E64" s="55">
        <v>10000</v>
      </c>
      <c r="F64" s="18">
        <v>0.41872999999999999</v>
      </c>
      <c r="G64" s="18">
        <v>0.58126999999999995</v>
      </c>
      <c r="H64" s="31">
        <v>4.9332724999999996E-3</v>
      </c>
      <c r="I64" s="9">
        <v>48.76</v>
      </c>
      <c r="J64" s="5">
        <v>4.2</v>
      </c>
      <c r="K64" s="160">
        <f>G64-H64</f>
        <v>0.57633672749999998</v>
      </c>
      <c r="L64" s="36">
        <f t="shared" ref="L64:L85" si="20">(1-EXP(-2*D64))/(1-EXP(-4*C64*D64))</f>
        <v>0.63212055882855767</v>
      </c>
      <c r="M64" s="53">
        <f t="shared" ref="M64:M85" si="21">G64+H64</f>
        <v>0.58620327249999993</v>
      </c>
      <c r="N64" s="121">
        <f t="shared" ref="N64:N85" si="22">L64/G64</f>
        <v>1.0874818222659999</v>
      </c>
      <c r="O64" s="121" t="b">
        <f t="shared" ref="O64:O85" si="23">AND(L64&gt;=K64,L64&lt;=M64)</f>
        <v>0</v>
      </c>
      <c r="P64" s="95"/>
      <c r="Q64" s="95"/>
    </row>
    <row r="65" spans="1:17" x14ac:dyDescent="0.25">
      <c r="A65" s="2">
        <v>20</v>
      </c>
      <c r="B65" s="2">
        <v>2</v>
      </c>
      <c r="C65" s="9">
        <v>10000</v>
      </c>
      <c r="D65" s="2">
        <v>0.45</v>
      </c>
      <c r="E65" s="9">
        <v>10000</v>
      </c>
      <c r="F65" s="18">
        <v>0.45291999999999999</v>
      </c>
      <c r="G65" s="18">
        <v>0.54708000000000001</v>
      </c>
      <c r="H65" s="31">
        <v>4.9775720000000004E-3</v>
      </c>
      <c r="I65" s="9">
        <v>52.87</v>
      </c>
      <c r="J65" s="5">
        <v>4.59</v>
      </c>
      <c r="K65" s="160">
        <f t="shared" ref="K65:K85" si="24">G65-H65</f>
        <v>0.54210242799999997</v>
      </c>
      <c r="L65" s="36">
        <f t="shared" si="20"/>
        <v>0.59343034025940089</v>
      </c>
      <c r="M65" s="53">
        <f t="shared" si="21"/>
        <v>0.55205757200000005</v>
      </c>
      <c r="N65" s="121">
        <f t="shared" si="22"/>
        <v>1.0847231488254019</v>
      </c>
      <c r="O65" s="121" t="b">
        <f t="shared" si="23"/>
        <v>0</v>
      </c>
      <c r="P65" s="95"/>
      <c r="Q65" s="95"/>
    </row>
    <row r="66" spans="1:17" x14ac:dyDescent="0.25">
      <c r="A66" s="2">
        <v>20</v>
      </c>
      <c r="B66" s="2">
        <v>3</v>
      </c>
      <c r="C66" s="9">
        <v>10000</v>
      </c>
      <c r="D66" s="2">
        <v>0.4</v>
      </c>
      <c r="E66" s="9">
        <v>10000</v>
      </c>
      <c r="F66" s="18">
        <v>0.48953999999999998</v>
      </c>
      <c r="G66" s="18">
        <v>0.51046000000000002</v>
      </c>
      <c r="H66" s="31">
        <v>4.9986579E-3</v>
      </c>
      <c r="I66" s="9">
        <v>57.95</v>
      </c>
      <c r="J66" s="5">
        <v>5.0999999999999996</v>
      </c>
      <c r="K66" s="160">
        <f t="shared" si="24"/>
        <v>0.50546134210000004</v>
      </c>
      <c r="L66" s="36">
        <f t="shared" si="20"/>
        <v>0.55067103588277844</v>
      </c>
      <c r="M66" s="53">
        <f t="shared" si="21"/>
        <v>0.51545865790000001</v>
      </c>
      <c r="N66" s="121">
        <f t="shared" si="22"/>
        <v>1.0787741172330416</v>
      </c>
      <c r="O66" s="121" t="b">
        <f t="shared" si="23"/>
        <v>0</v>
      </c>
      <c r="P66" s="95"/>
      <c r="Q66" s="95"/>
    </row>
    <row r="67" spans="1:17" x14ac:dyDescent="0.25">
      <c r="A67" s="2">
        <v>20</v>
      </c>
      <c r="B67" s="2">
        <v>4</v>
      </c>
      <c r="C67" s="9">
        <v>10000</v>
      </c>
      <c r="D67" s="2">
        <v>0.35</v>
      </c>
      <c r="E67" s="9">
        <v>10000</v>
      </c>
      <c r="F67" s="18">
        <v>0.53241000000000005</v>
      </c>
      <c r="G67" s="18">
        <v>0.46759000000000001</v>
      </c>
      <c r="H67" s="31">
        <v>4.9892406999999996E-3</v>
      </c>
      <c r="I67" s="9">
        <v>64.44</v>
      </c>
      <c r="J67" s="5">
        <v>5.74</v>
      </c>
      <c r="K67" s="160">
        <f t="shared" si="24"/>
        <v>0.4626007593</v>
      </c>
      <c r="L67" s="36">
        <f t="shared" si="20"/>
        <v>0.50341469620859047</v>
      </c>
      <c r="M67" s="53">
        <f t="shared" si="21"/>
        <v>0.47257924070000001</v>
      </c>
      <c r="N67" s="121">
        <f t="shared" si="22"/>
        <v>1.0766156166910978</v>
      </c>
      <c r="O67" s="121" t="b">
        <f t="shared" si="23"/>
        <v>0</v>
      </c>
      <c r="P67" s="95"/>
      <c r="Q67" s="95"/>
    </row>
    <row r="68" spans="1:17" x14ac:dyDescent="0.25">
      <c r="A68" s="2">
        <v>20</v>
      </c>
      <c r="B68" s="2">
        <v>5</v>
      </c>
      <c r="C68" s="9">
        <v>10000</v>
      </c>
      <c r="D68" s="2">
        <v>0.3</v>
      </c>
      <c r="E68" s="9">
        <v>10000</v>
      </c>
      <c r="F68" s="18">
        <v>0.575465</v>
      </c>
      <c r="G68" s="18">
        <v>0.424535</v>
      </c>
      <c r="H68" s="31">
        <v>4.9424721000000003E-3</v>
      </c>
      <c r="I68" s="9">
        <v>72.88</v>
      </c>
      <c r="J68" s="5">
        <v>6.6</v>
      </c>
      <c r="K68" s="160">
        <f t="shared" si="24"/>
        <v>0.41959252790000001</v>
      </c>
      <c r="L68" s="36">
        <f t="shared" si="20"/>
        <v>0.45118836390597361</v>
      </c>
      <c r="M68" s="53">
        <f t="shared" si="21"/>
        <v>0.42947747209999998</v>
      </c>
      <c r="N68" s="121">
        <f t="shared" si="22"/>
        <v>1.0627824888548025</v>
      </c>
      <c r="O68" s="121" t="b">
        <f t="shared" si="23"/>
        <v>0</v>
      </c>
      <c r="P68" s="95"/>
      <c r="Q68" s="95"/>
    </row>
    <row r="69" spans="1:17" x14ac:dyDescent="0.25">
      <c r="A69" s="2">
        <v>20</v>
      </c>
      <c r="B69" s="2">
        <v>6</v>
      </c>
      <c r="C69" s="9">
        <v>10000</v>
      </c>
      <c r="D69" s="2">
        <v>0.25</v>
      </c>
      <c r="E69" s="9">
        <v>10000</v>
      </c>
      <c r="F69" s="18">
        <v>0.62905</v>
      </c>
      <c r="G69" s="18">
        <v>0.37095</v>
      </c>
      <c r="H69" s="31">
        <v>4.8303822999999999E-3</v>
      </c>
      <c r="I69" s="9">
        <v>84.56</v>
      </c>
      <c r="J69" s="5">
        <v>7.83</v>
      </c>
      <c r="K69" s="160">
        <f t="shared" si="24"/>
        <v>0.36611961770000001</v>
      </c>
      <c r="L69" s="36">
        <f t="shared" si="20"/>
        <v>0.39346934028736658</v>
      </c>
      <c r="M69" s="53">
        <f t="shared" si="21"/>
        <v>0.37578038229999999</v>
      </c>
      <c r="N69" s="121">
        <f t="shared" si="22"/>
        <v>1.0607072119891268</v>
      </c>
      <c r="O69" s="121" t="b">
        <f t="shared" si="23"/>
        <v>0</v>
      </c>
      <c r="P69" s="95"/>
      <c r="Q69" s="95"/>
    </row>
    <row r="70" spans="1:17" x14ac:dyDescent="0.25">
      <c r="A70" s="2">
        <v>20</v>
      </c>
      <c r="B70" s="2">
        <v>7</v>
      </c>
      <c r="C70" s="9">
        <v>10000</v>
      </c>
      <c r="D70" s="2">
        <v>0.2</v>
      </c>
      <c r="E70" s="9">
        <v>10000</v>
      </c>
      <c r="F70" s="18">
        <v>0.68781000000000003</v>
      </c>
      <c r="G70" s="18">
        <v>0.31219000000000002</v>
      </c>
      <c r="H70" s="31">
        <v>4.6335604000000002E-3</v>
      </c>
      <c r="I70" s="9">
        <v>101.72</v>
      </c>
      <c r="J70" s="5">
        <v>9.64</v>
      </c>
      <c r="K70" s="160">
        <f t="shared" si="24"/>
        <v>0.30755643960000001</v>
      </c>
      <c r="L70" s="36">
        <f t="shared" si="20"/>
        <v>0.32967995396436067</v>
      </c>
      <c r="M70" s="53">
        <f t="shared" si="21"/>
        <v>0.31682356040000004</v>
      </c>
      <c r="N70" s="121">
        <f t="shared" si="22"/>
        <v>1.0560234279264571</v>
      </c>
      <c r="O70" s="121" t="b">
        <f t="shared" si="23"/>
        <v>0</v>
      </c>
      <c r="P70" s="95"/>
      <c r="Q70" s="95"/>
    </row>
    <row r="71" spans="1:17" x14ac:dyDescent="0.25">
      <c r="A71" s="2">
        <v>20</v>
      </c>
      <c r="B71" s="2">
        <v>8</v>
      </c>
      <c r="C71" s="9">
        <v>10000</v>
      </c>
      <c r="D71" s="2">
        <v>0.15</v>
      </c>
      <c r="E71" s="9">
        <v>10000</v>
      </c>
      <c r="F71" s="18">
        <v>0.75087499999999996</v>
      </c>
      <c r="G71" s="18">
        <v>0.24912500000000001</v>
      </c>
      <c r="H71" s="31">
        <v>4.3248653000000003E-3</v>
      </c>
      <c r="I71" s="9">
        <v>129.5</v>
      </c>
      <c r="J71" s="5">
        <v>12.67</v>
      </c>
      <c r="K71" s="160">
        <f t="shared" si="24"/>
        <v>0.2448001347</v>
      </c>
      <c r="L71" s="36">
        <f t="shared" si="20"/>
        <v>0.25918177931828212</v>
      </c>
      <c r="M71" s="53">
        <f t="shared" si="21"/>
        <v>0.25344986530000002</v>
      </c>
      <c r="N71" s="121">
        <f t="shared" si="22"/>
        <v>1.0403684066965664</v>
      </c>
      <c r="O71" s="121" t="b">
        <f t="shared" si="23"/>
        <v>0</v>
      </c>
      <c r="P71" s="95"/>
      <c r="Q71" s="95"/>
    </row>
    <row r="72" spans="1:17" x14ac:dyDescent="0.25">
      <c r="A72" s="2">
        <v>20</v>
      </c>
      <c r="B72" s="2">
        <v>9</v>
      </c>
      <c r="C72" s="9">
        <v>10000</v>
      </c>
      <c r="D72" s="2">
        <v>0.1</v>
      </c>
      <c r="E72" s="9">
        <v>10000</v>
      </c>
      <c r="F72" s="18">
        <v>0.82315499999999997</v>
      </c>
      <c r="G72" s="18">
        <v>0.176845</v>
      </c>
      <c r="H72" s="31">
        <v>3.8147355999999999E-3</v>
      </c>
      <c r="I72" s="9">
        <v>182.75</v>
      </c>
      <c r="J72" s="5">
        <v>18.71</v>
      </c>
      <c r="K72" s="160">
        <f t="shared" si="24"/>
        <v>0.17303026439999999</v>
      </c>
      <c r="L72" s="36">
        <f t="shared" si="20"/>
        <v>0.18126924692201818</v>
      </c>
      <c r="M72" s="53">
        <f t="shared" si="21"/>
        <v>0.18065973560000001</v>
      </c>
      <c r="N72" s="121">
        <f t="shared" si="22"/>
        <v>1.0250176534367281</v>
      </c>
      <c r="O72" s="121" t="b">
        <f t="shared" si="23"/>
        <v>0</v>
      </c>
      <c r="P72" s="95"/>
      <c r="Q72" s="95"/>
    </row>
    <row r="73" spans="1:17" x14ac:dyDescent="0.25">
      <c r="A73" s="2">
        <v>20</v>
      </c>
      <c r="B73" s="2">
        <v>10</v>
      </c>
      <c r="C73" s="9">
        <v>10000</v>
      </c>
      <c r="D73" s="2">
        <v>0.05</v>
      </c>
      <c r="E73" s="9">
        <v>10000</v>
      </c>
      <c r="F73" s="18">
        <v>0.90675499999999998</v>
      </c>
      <c r="G73" s="18">
        <v>9.3244999999999995E-2</v>
      </c>
      <c r="H73" s="31">
        <v>2.9070342999999998E-3</v>
      </c>
      <c r="I73" s="9">
        <v>331.61</v>
      </c>
      <c r="J73" s="5">
        <v>37.08</v>
      </c>
      <c r="K73" s="160">
        <f t="shared" si="24"/>
        <v>9.0337965699999995E-2</v>
      </c>
      <c r="L73" s="36">
        <f t="shared" si="20"/>
        <v>9.5162581964040482E-2</v>
      </c>
      <c r="M73" s="53">
        <f t="shared" si="21"/>
        <v>9.6152034299999994E-2</v>
      </c>
      <c r="N73" s="121">
        <f t="shared" si="22"/>
        <v>1.0205649843320337</v>
      </c>
      <c r="O73" s="121" t="b">
        <f t="shared" si="23"/>
        <v>1</v>
      </c>
      <c r="P73" s="95"/>
      <c r="Q73" s="95"/>
    </row>
    <row r="74" spans="1:17" x14ac:dyDescent="0.25">
      <c r="A74" s="2">
        <v>20</v>
      </c>
      <c r="B74" s="2">
        <v>11</v>
      </c>
      <c r="C74" s="9">
        <v>10000</v>
      </c>
      <c r="D74" s="167">
        <v>0.01</v>
      </c>
      <c r="E74" s="168">
        <v>10000</v>
      </c>
      <c r="F74" s="158">
        <v>0.97999000000000003</v>
      </c>
      <c r="G74" s="158">
        <v>2.001E-2</v>
      </c>
      <c r="H74" s="170">
        <v>1.3995360000000001E-3</v>
      </c>
      <c r="I74" s="168">
        <v>1316.79</v>
      </c>
      <c r="J74" s="169">
        <v>182.91</v>
      </c>
      <c r="K74" s="143">
        <f t="shared" si="24"/>
        <v>1.8610464E-2</v>
      </c>
      <c r="L74" s="133">
        <f t="shared" si="20"/>
        <v>1.9801326693244747E-2</v>
      </c>
      <c r="M74" s="133">
        <f t="shared" si="21"/>
        <v>2.1409536E-2</v>
      </c>
      <c r="N74" s="132">
        <f t="shared" si="22"/>
        <v>0.98957154888779342</v>
      </c>
      <c r="O74" s="132" t="b">
        <f t="shared" si="23"/>
        <v>1</v>
      </c>
      <c r="P74" s="435"/>
      <c r="Q74" s="435"/>
    </row>
    <row r="75" spans="1:17" x14ac:dyDescent="0.25">
      <c r="A75" s="2">
        <v>20</v>
      </c>
      <c r="B75" s="2">
        <v>12</v>
      </c>
      <c r="C75" s="9">
        <v>10000</v>
      </c>
      <c r="D75" s="167">
        <v>8.9999999999999993E-3</v>
      </c>
      <c r="E75" s="168">
        <v>10000</v>
      </c>
      <c r="F75" s="158">
        <v>0.98224999999999996</v>
      </c>
      <c r="G75" s="158">
        <v>1.7749999999999998E-2</v>
      </c>
      <c r="H75" s="170">
        <v>1.3196074999999999E-3</v>
      </c>
      <c r="I75" s="168">
        <v>1438.02</v>
      </c>
      <c r="J75" s="169">
        <v>205.41</v>
      </c>
      <c r="K75" s="143">
        <f t="shared" si="24"/>
        <v>1.6430392499999998E-2</v>
      </c>
      <c r="L75" s="133">
        <f t="shared" si="20"/>
        <v>1.7838967641699233E-2</v>
      </c>
      <c r="M75" s="133">
        <f t="shared" si="21"/>
        <v>1.9069607499999999E-2</v>
      </c>
      <c r="N75" s="132">
        <f t="shared" si="22"/>
        <v>1.0050122615041821</v>
      </c>
      <c r="O75" s="132" t="b">
        <f t="shared" si="23"/>
        <v>1</v>
      </c>
      <c r="P75" s="435"/>
      <c r="Q75" s="435"/>
    </row>
    <row r="76" spans="1:17" x14ac:dyDescent="0.25">
      <c r="A76" s="2">
        <v>20</v>
      </c>
      <c r="B76" s="2">
        <v>13</v>
      </c>
      <c r="C76" s="9">
        <v>10000</v>
      </c>
      <c r="D76" s="167">
        <v>8.0000000000000002E-3</v>
      </c>
      <c r="E76" s="168">
        <v>10000</v>
      </c>
      <c r="F76" s="158">
        <v>0.98419999999999996</v>
      </c>
      <c r="G76" s="158">
        <v>1.5800000000000002E-2</v>
      </c>
      <c r="H76" s="170">
        <v>1.2459235000000001E-3</v>
      </c>
      <c r="I76" s="168">
        <v>1591.02</v>
      </c>
      <c r="J76" s="169">
        <v>229.82</v>
      </c>
      <c r="K76" s="143">
        <f t="shared" si="24"/>
        <v>1.4554076500000002E-2</v>
      </c>
      <c r="L76" s="133">
        <f t="shared" si="20"/>
        <v>1.5872679944714863E-2</v>
      </c>
      <c r="M76" s="133">
        <f t="shared" si="21"/>
        <v>1.7045923500000001E-2</v>
      </c>
      <c r="N76" s="132">
        <f t="shared" si="22"/>
        <v>1.0045999965009407</v>
      </c>
      <c r="O76" s="132" t="b">
        <f t="shared" si="23"/>
        <v>1</v>
      </c>
      <c r="P76" s="435"/>
      <c r="Q76" s="435"/>
    </row>
    <row r="77" spans="1:17" x14ac:dyDescent="0.25">
      <c r="A77" s="2">
        <v>20</v>
      </c>
      <c r="B77" s="2">
        <v>14</v>
      </c>
      <c r="C77" s="9">
        <v>10000</v>
      </c>
      <c r="D77" s="167">
        <v>7.0000000000000001E-3</v>
      </c>
      <c r="E77" s="168">
        <v>10000</v>
      </c>
      <c r="F77" s="158">
        <v>0.98609999999999998</v>
      </c>
      <c r="G77" s="158">
        <v>1.3899999999999999E-2</v>
      </c>
      <c r="H77" s="170">
        <v>1.1699983999999999E-3</v>
      </c>
      <c r="I77" s="168">
        <v>1769.97</v>
      </c>
      <c r="J77" s="169">
        <v>254.52</v>
      </c>
      <c r="K77" s="143">
        <f t="shared" si="24"/>
        <v>1.2730001599999999E-2</v>
      </c>
      <c r="L77" s="133">
        <f t="shared" si="20"/>
        <v>1.3902455737138109E-2</v>
      </c>
      <c r="M77" s="133">
        <f t="shared" si="21"/>
        <v>1.50699984E-2</v>
      </c>
      <c r="N77" s="132">
        <f t="shared" si="22"/>
        <v>1.0001766717365546</v>
      </c>
      <c r="O77" s="132" t="b">
        <f t="shared" si="23"/>
        <v>1</v>
      </c>
      <c r="P77" s="435"/>
      <c r="Q77" s="435"/>
    </row>
    <row r="78" spans="1:17" x14ac:dyDescent="0.25">
      <c r="A78" s="2">
        <v>20</v>
      </c>
      <c r="B78" s="2">
        <v>15</v>
      </c>
      <c r="C78" s="9">
        <v>10000</v>
      </c>
      <c r="D78" s="167">
        <v>6.0000000000000001E-3</v>
      </c>
      <c r="E78" s="168">
        <v>10000</v>
      </c>
      <c r="F78" s="158">
        <v>0.98811000000000004</v>
      </c>
      <c r="G78" s="158">
        <v>1.189E-2</v>
      </c>
      <c r="H78" s="170">
        <v>1.0825145000000001E-3</v>
      </c>
      <c r="I78" s="168">
        <v>2020.01</v>
      </c>
      <c r="J78" s="169">
        <v>305.54000000000002</v>
      </c>
      <c r="K78" s="143">
        <f t="shared" si="24"/>
        <v>1.08074855E-2</v>
      </c>
      <c r="L78" s="133">
        <f t="shared" si="20"/>
        <v>1.1928287138069482E-2</v>
      </c>
      <c r="M78" s="133">
        <f t="shared" si="21"/>
        <v>1.2972514499999999E-2</v>
      </c>
      <c r="N78" s="132">
        <f t="shared" si="22"/>
        <v>1.003220112537383</v>
      </c>
      <c r="O78" s="132" t="b">
        <f t="shared" si="23"/>
        <v>1</v>
      </c>
      <c r="P78" s="435"/>
      <c r="Q78" s="435"/>
    </row>
    <row r="79" spans="1:17" x14ac:dyDescent="0.25">
      <c r="A79" s="2">
        <v>20</v>
      </c>
      <c r="B79" s="2">
        <v>16</v>
      </c>
      <c r="C79" s="9">
        <v>10000</v>
      </c>
      <c r="D79" s="167">
        <v>5.0000000000000001E-3</v>
      </c>
      <c r="E79" s="168">
        <v>10000</v>
      </c>
      <c r="F79" s="158">
        <v>0.99013499999999999</v>
      </c>
      <c r="G79" s="158">
        <v>9.8650000000000005E-3</v>
      </c>
      <c r="H79" s="170">
        <v>9.8708920000000009E-4</v>
      </c>
      <c r="I79" s="168">
        <v>2356.8000000000002</v>
      </c>
      <c r="J79" s="169">
        <v>368.02</v>
      </c>
      <c r="K79" s="143">
        <f t="shared" si="24"/>
        <v>8.8779107999999995E-3</v>
      </c>
      <c r="L79" s="133">
        <f t="shared" si="20"/>
        <v>9.9501662508318933E-3</v>
      </c>
      <c r="M79" s="133">
        <f t="shared" si="21"/>
        <v>1.0852089200000001E-2</v>
      </c>
      <c r="N79" s="132">
        <f t="shared" si="22"/>
        <v>1.0086331729175766</v>
      </c>
      <c r="O79" s="132" t="b">
        <f t="shared" si="23"/>
        <v>1</v>
      </c>
      <c r="P79" s="435"/>
      <c r="Q79" s="435"/>
    </row>
    <row r="80" spans="1:17" x14ac:dyDescent="0.25">
      <c r="A80" s="2">
        <v>20</v>
      </c>
      <c r="B80" s="2">
        <v>17</v>
      </c>
      <c r="C80" s="9">
        <v>10000</v>
      </c>
      <c r="D80" s="167">
        <v>4.0000000000000001E-3</v>
      </c>
      <c r="E80" s="168">
        <v>10000</v>
      </c>
      <c r="F80" s="158">
        <v>0.99197500000000005</v>
      </c>
      <c r="G80" s="158">
        <v>8.0249999999999991E-3</v>
      </c>
      <c r="H80" s="170">
        <v>8.9141700000000003E-4</v>
      </c>
      <c r="I80" s="168">
        <v>2839.09</v>
      </c>
      <c r="J80" s="169">
        <v>458.65</v>
      </c>
      <c r="K80" s="143">
        <f t="shared" si="24"/>
        <v>7.1335829999999989E-3</v>
      </c>
      <c r="L80" s="133">
        <f t="shared" si="20"/>
        <v>7.9680851629393423E-3</v>
      </c>
      <c r="M80" s="133">
        <f t="shared" si="21"/>
        <v>8.9164169999999994E-3</v>
      </c>
      <c r="N80" s="132">
        <f t="shared" si="22"/>
        <v>0.99290780846596172</v>
      </c>
      <c r="O80" s="132" t="b">
        <f t="shared" si="23"/>
        <v>1</v>
      </c>
      <c r="P80" s="435"/>
      <c r="Q80" s="435"/>
    </row>
    <row r="81" spans="1:17" x14ac:dyDescent="0.25">
      <c r="A81" s="2">
        <v>20</v>
      </c>
      <c r="B81" s="2">
        <v>18</v>
      </c>
      <c r="C81" s="9">
        <v>10000</v>
      </c>
      <c r="D81" s="167">
        <v>3.0000000000000001E-3</v>
      </c>
      <c r="E81" s="168">
        <v>10000</v>
      </c>
      <c r="F81" s="158">
        <v>0.99415500000000001</v>
      </c>
      <c r="G81" s="158">
        <v>5.8450000000000004E-3</v>
      </c>
      <c r="H81" s="170">
        <v>7.6090830000000002E-4</v>
      </c>
      <c r="I81" s="168">
        <v>3582.75</v>
      </c>
      <c r="J81" s="169">
        <v>647.61</v>
      </c>
      <c r="K81" s="143">
        <f t="shared" si="24"/>
        <v>5.0840917000000005E-3</v>
      </c>
      <c r="L81" s="133">
        <f t="shared" si="20"/>
        <v>5.9820359460647232E-3</v>
      </c>
      <c r="M81" s="133">
        <f t="shared" si="21"/>
        <v>6.6059083000000003E-3</v>
      </c>
      <c r="N81" s="132">
        <f t="shared" si="22"/>
        <v>1.0234449864952477</v>
      </c>
      <c r="O81" s="132" t="b">
        <f t="shared" si="23"/>
        <v>1</v>
      </c>
      <c r="P81" s="435"/>
      <c r="Q81" s="435"/>
    </row>
    <row r="82" spans="1:17" x14ac:dyDescent="0.25">
      <c r="A82" s="2">
        <v>20</v>
      </c>
      <c r="B82" s="2">
        <v>19</v>
      </c>
      <c r="C82" s="9">
        <v>10000</v>
      </c>
      <c r="D82" s="167">
        <v>2E-3</v>
      </c>
      <c r="E82" s="168">
        <v>10000</v>
      </c>
      <c r="F82" s="158">
        <v>0.99607500000000004</v>
      </c>
      <c r="G82" s="158">
        <v>3.9249999999999997E-3</v>
      </c>
      <c r="H82" s="170">
        <v>6.2154199999999999E-4</v>
      </c>
      <c r="I82" s="168">
        <v>4964.72</v>
      </c>
      <c r="J82" s="169">
        <v>922.98</v>
      </c>
      <c r="K82" s="143">
        <f t="shared" si="24"/>
        <v>3.3034579999999996E-3</v>
      </c>
      <c r="L82" s="133">
        <f t="shared" si="20"/>
        <v>3.9920106560085156E-3</v>
      </c>
      <c r="M82" s="133">
        <f t="shared" si="21"/>
        <v>4.5465419999999998E-3</v>
      </c>
      <c r="N82" s="132">
        <f t="shared" si="22"/>
        <v>1.0170727786008957</v>
      </c>
      <c r="O82" s="132" t="b">
        <f t="shared" si="23"/>
        <v>1</v>
      </c>
      <c r="P82" s="435"/>
      <c r="Q82" s="435"/>
    </row>
    <row r="83" spans="1:17" x14ac:dyDescent="0.25">
      <c r="A83" s="2">
        <v>20</v>
      </c>
      <c r="B83" s="2">
        <v>20</v>
      </c>
      <c r="C83" s="9">
        <v>10000</v>
      </c>
      <c r="D83" s="167">
        <v>1E-3</v>
      </c>
      <c r="E83" s="168">
        <v>10000</v>
      </c>
      <c r="F83" s="158">
        <v>0.99812999999999996</v>
      </c>
      <c r="G83" s="158">
        <v>1.8699999999999999E-3</v>
      </c>
      <c r="H83" s="170">
        <v>4.3000379999999998E-4</v>
      </c>
      <c r="I83" s="168">
        <v>8537.2999999999993</v>
      </c>
      <c r="J83" s="169">
        <v>1800.59</v>
      </c>
      <c r="K83" s="143">
        <f t="shared" si="24"/>
        <v>1.4399961999999999E-3</v>
      </c>
      <c r="L83" s="134">
        <f t="shared" si="20"/>
        <v>1.998001332666921E-3</v>
      </c>
      <c r="M83" s="133">
        <f t="shared" si="21"/>
        <v>2.3000038E-3</v>
      </c>
      <c r="N83" s="132">
        <f t="shared" si="22"/>
        <v>1.0684499105170702</v>
      </c>
      <c r="O83" s="132" t="b">
        <f t="shared" si="23"/>
        <v>1</v>
      </c>
      <c r="P83" s="435"/>
      <c r="Q83" s="435"/>
    </row>
    <row r="84" spans="1:17" x14ac:dyDescent="0.25">
      <c r="A84" s="2">
        <v>20</v>
      </c>
      <c r="B84" s="2">
        <v>21</v>
      </c>
      <c r="C84" s="9">
        <v>10000</v>
      </c>
      <c r="D84" s="167">
        <v>1E-4</v>
      </c>
      <c r="E84" s="168">
        <v>10000</v>
      </c>
      <c r="F84" s="158">
        <v>0.99983500000000003</v>
      </c>
      <c r="G84" s="158">
        <v>1.65E-4</v>
      </c>
      <c r="H84" s="170">
        <v>1.154659E-4</v>
      </c>
      <c r="I84" s="168" t="s">
        <v>12</v>
      </c>
      <c r="J84" s="169" t="s">
        <v>12</v>
      </c>
      <c r="K84" s="143">
        <f t="shared" si="24"/>
        <v>4.9534099999999997E-5</v>
      </c>
      <c r="L84" s="134">
        <f t="shared" si="20"/>
        <v>2.037111002836779E-4</v>
      </c>
      <c r="M84" s="133">
        <f t="shared" si="21"/>
        <v>2.8046590000000001E-4</v>
      </c>
      <c r="N84" s="132">
        <f t="shared" si="22"/>
        <v>1.2346127289919873</v>
      </c>
      <c r="O84" s="132" t="b">
        <f t="shared" si="23"/>
        <v>1</v>
      </c>
      <c r="P84" s="435"/>
      <c r="Q84" s="435"/>
    </row>
    <row r="85" spans="1:17" x14ac:dyDescent="0.25">
      <c r="A85" s="2">
        <v>20</v>
      </c>
      <c r="B85" s="2">
        <v>22</v>
      </c>
      <c r="C85" s="9">
        <v>10000</v>
      </c>
      <c r="D85" s="171">
        <v>1.0000000000000001E-5</v>
      </c>
      <c r="E85" s="168">
        <v>10000</v>
      </c>
      <c r="F85" s="158">
        <v>0.99995000000000001</v>
      </c>
      <c r="G85" s="158">
        <v>5.0000000000000002E-5</v>
      </c>
      <c r="H85" s="170">
        <v>4.12101E-5</v>
      </c>
      <c r="I85" s="168" t="s">
        <v>12</v>
      </c>
      <c r="J85" s="169" t="s">
        <v>12</v>
      </c>
      <c r="K85" s="143">
        <f t="shared" si="24"/>
        <v>8.789900000000002E-6</v>
      </c>
      <c r="L85" s="134">
        <f t="shared" si="20"/>
        <v>6.0664288989489959E-5</v>
      </c>
      <c r="M85" s="133">
        <f t="shared" si="21"/>
        <v>9.1210099999999996E-5</v>
      </c>
      <c r="N85" s="132">
        <f t="shared" si="22"/>
        <v>1.2132857797897991</v>
      </c>
      <c r="O85" s="132" t="b">
        <f t="shared" si="23"/>
        <v>1</v>
      </c>
      <c r="P85" s="435"/>
      <c r="Q85" s="435"/>
    </row>
    <row r="86" spans="1:17" x14ac:dyDescent="0.25">
      <c r="A86" s="2">
        <v>20</v>
      </c>
      <c r="B86" s="2">
        <v>23</v>
      </c>
      <c r="C86" s="9">
        <v>10000</v>
      </c>
      <c r="D86" s="2">
        <v>0</v>
      </c>
      <c r="E86" s="9">
        <v>10000</v>
      </c>
      <c r="F86" s="18">
        <v>0.99992999999999999</v>
      </c>
      <c r="G86" s="18">
        <v>6.9999999999999994E-5</v>
      </c>
      <c r="H86" s="31">
        <v>6.4138200000000002E-5</v>
      </c>
      <c r="I86" s="9" t="s">
        <v>12</v>
      </c>
      <c r="J86" s="5" t="s">
        <v>12</v>
      </c>
      <c r="L86" s="53"/>
      <c r="M86" s="29"/>
      <c r="N86" s="95"/>
      <c r="O86" s="95"/>
      <c r="P86" s="95"/>
      <c r="Q86" s="95"/>
    </row>
    <row r="87" spans="1:17" x14ac:dyDescent="0.25">
      <c r="C87" s="56" t="s">
        <v>38</v>
      </c>
      <c r="D87" s="2">
        <v>0</v>
      </c>
      <c r="I87" s="9">
        <v>40000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448B9-BD0B-46DE-94B4-F938D3F3CED2}">
  <dimension ref="A1:O69"/>
  <sheetViews>
    <sheetView showGridLines="0" workbookViewId="0">
      <selection activeCell="I24" sqref="I24:J24"/>
    </sheetView>
  </sheetViews>
  <sheetFormatPr defaultColWidth="9.140625" defaultRowHeight="15" x14ac:dyDescent="0.25"/>
  <cols>
    <col min="1" max="1" width="5.7109375" style="2" customWidth="1"/>
    <col min="2" max="2" width="5.28515625" style="2" customWidth="1"/>
    <col min="3" max="3" width="9.140625" style="9"/>
    <col min="4" max="4" width="9.140625" style="2"/>
    <col min="5" max="5" width="10.140625" style="10" bestFit="1" customWidth="1"/>
    <col min="7" max="7" width="12.42578125" bestFit="1" customWidth="1"/>
    <col min="8" max="8" width="11.28515625" customWidth="1"/>
    <col min="9" max="9" width="10.28515625" style="9" bestFit="1" customWidth="1"/>
    <col min="10" max="10" width="9.140625" style="9"/>
    <col min="11" max="11" width="9.140625" customWidth="1"/>
    <col min="12" max="12" width="16.5703125" style="4" customWidth="1"/>
    <col min="13" max="13" width="10.5703125" style="4" customWidth="1"/>
    <col min="14" max="14" width="20" style="151" bestFit="1" customWidth="1"/>
    <col min="15" max="15" width="16.5703125" style="151" customWidth="1"/>
  </cols>
  <sheetData>
    <row r="1" spans="1:15" ht="30" customHeight="1" x14ac:dyDescent="0.25">
      <c r="B1" s="44" t="s">
        <v>43</v>
      </c>
      <c r="E1" s="9"/>
      <c r="F1" s="18"/>
      <c r="G1" s="18"/>
      <c r="H1" s="31"/>
      <c r="K1" s="42"/>
    </row>
    <row r="2" spans="1:15" ht="30" x14ac:dyDescent="0.25">
      <c r="A2" s="11" t="s">
        <v>0</v>
      </c>
      <c r="B2" s="11" t="s">
        <v>10</v>
      </c>
      <c r="C2" s="33" t="s">
        <v>11</v>
      </c>
      <c r="D2" s="11" t="s">
        <v>9</v>
      </c>
      <c r="E2" s="33" t="s">
        <v>3</v>
      </c>
      <c r="F2" s="22" t="s">
        <v>29</v>
      </c>
      <c r="G2" s="22" t="s">
        <v>27</v>
      </c>
      <c r="H2" s="54" t="s">
        <v>28</v>
      </c>
      <c r="I2" s="33" t="s">
        <v>25</v>
      </c>
      <c r="J2" s="33" t="s">
        <v>26</v>
      </c>
      <c r="K2" s="22" t="s">
        <v>151</v>
      </c>
      <c r="L2" s="28" t="s">
        <v>153</v>
      </c>
      <c r="M2" s="163" t="s">
        <v>152</v>
      </c>
      <c r="N2" s="120" t="s">
        <v>187</v>
      </c>
      <c r="O2" s="162" t="s">
        <v>156</v>
      </c>
    </row>
    <row r="3" spans="1:15" x14ac:dyDescent="0.25">
      <c r="A3" s="11">
        <v>20</v>
      </c>
      <c r="B3" s="11">
        <v>1</v>
      </c>
      <c r="C3" s="34">
        <v>100000</v>
      </c>
      <c r="D3" s="19">
        <v>1</v>
      </c>
      <c r="E3" s="116">
        <v>10000000</v>
      </c>
      <c r="F3" s="22">
        <v>0.20317183</v>
      </c>
      <c r="G3" s="22">
        <v>0.79682816999999995</v>
      </c>
      <c r="H3" s="54">
        <v>1.272372E-4</v>
      </c>
      <c r="I3" s="33">
        <v>36.14</v>
      </c>
      <c r="J3" s="33">
        <v>2.35</v>
      </c>
      <c r="K3" s="160">
        <f>G3-H3</f>
        <v>0.79670093279999998</v>
      </c>
      <c r="L3" s="47">
        <f t="shared" ref="L3" si="0">(1-EXP(-2*D3))/(1-EXP(-4*C3*D3))</f>
        <v>0.8646647167633873</v>
      </c>
      <c r="M3" s="53">
        <f>G3+H3</f>
        <v>0.79695540719999991</v>
      </c>
      <c r="N3" s="58">
        <f>L3/G3</f>
        <v>1.0851332185750755</v>
      </c>
      <c r="O3" s="121" t="b">
        <f>AND(L3&gt;=K3,L3&lt;=M3)</f>
        <v>0</v>
      </c>
    </row>
    <row r="4" spans="1:15" x14ac:dyDescent="0.25">
      <c r="A4" s="11">
        <v>20</v>
      </c>
      <c r="B4" s="11">
        <v>2</v>
      </c>
      <c r="C4" s="34">
        <v>100000</v>
      </c>
      <c r="D4" s="19">
        <v>0.9</v>
      </c>
      <c r="E4" s="116">
        <v>10000000</v>
      </c>
      <c r="F4" s="22">
        <v>0.23277192999999999</v>
      </c>
      <c r="G4" s="22">
        <v>0.76722807000000004</v>
      </c>
      <c r="H4" s="54">
        <v>1.336372E-4</v>
      </c>
      <c r="I4" s="33">
        <v>38.89</v>
      </c>
      <c r="J4" s="33">
        <v>2.56</v>
      </c>
      <c r="K4" s="160">
        <f t="shared" ref="K4:K7" si="1">G4-H4</f>
        <v>0.7670944328</v>
      </c>
      <c r="L4" s="47">
        <f t="shared" ref="L4:L7" si="2">(1-EXP(-2*D4))/(1-EXP(-4*C4*D4))</f>
        <v>0.83470111177841344</v>
      </c>
      <c r="M4" s="53">
        <f t="shared" ref="M4:M7" si="3">G4+H4</f>
        <v>0.76736170720000008</v>
      </c>
      <c r="N4" s="58">
        <f t="shared" ref="N4:N7" si="4">L4/G4</f>
        <v>1.0879439170915806</v>
      </c>
      <c r="O4" s="121" t="b">
        <f t="shared" ref="O4:O7" si="5">AND(L4&gt;=K4,L4&lt;=M4)</f>
        <v>0</v>
      </c>
    </row>
    <row r="5" spans="1:15" x14ac:dyDescent="0.25">
      <c r="A5" s="11">
        <v>20</v>
      </c>
      <c r="B5" s="11">
        <v>3</v>
      </c>
      <c r="C5" s="34">
        <v>100000</v>
      </c>
      <c r="D5" s="19">
        <v>0.8</v>
      </c>
      <c r="E5" s="116">
        <v>10000000</v>
      </c>
      <c r="F5" s="22">
        <v>0.26756887000000001</v>
      </c>
      <c r="G5" s="22">
        <v>0.73243113000000004</v>
      </c>
      <c r="H5" s="54">
        <v>1.399913E-4</v>
      </c>
      <c r="I5" s="33">
        <v>42.29</v>
      </c>
      <c r="J5" s="33">
        <v>2.81</v>
      </c>
      <c r="K5" s="160">
        <f t="shared" si="1"/>
        <v>0.73229113870000007</v>
      </c>
      <c r="L5" s="47">
        <f t="shared" si="2"/>
        <v>0.79810348200534464</v>
      </c>
      <c r="M5" s="53">
        <f t="shared" si="3"/>
        <v>0.73257112130000002</v>
      </c>
      <c r="N5" s="58">
        <f t="shared" si="4"/>
        <v>1.0896635182687342</v>
      </c>
      <c r="O5" s="121" t="b">
        <f t="shared" si="5"/>
        <v>0</v>
      </c>
    </row>
    <row r="6" spans="1:15" x14ac:dyDescent="0.25">
      <c r="A6" s="11">
        <v>20</v>
      </c>
      <c r="B6" s="11">
        <v>4</v>
      </c>
      <c r="C6" s="34">
        <v>100000</v>
      </c>
      <c r="D6" s="19">
        <v>0.7</v>
      </c>
      <c r="E6" s="116">
        <v>10000000</v>
      </c>
      <c r="F6" s="22">
        <v>0.30882130000000002</v>
      </c>
      <c r="G6" s="22">
        <v>0.69117870000000003</v>
      </c>
      <c r="H6" s="54">
        <v>1.4609949999999999E-4</v>
      </c>
      <c r="I6" s="33">
        <v>46.61</v>
      </c>
      <c r="J6" s="33">
        <v>3.14</v>
      </c>
      <c r="K6" s="160">
        <f t="shared" si="1"/>
        <v>0.69103260050000004</v>
      </c>
      <c r="L6" s="47">
        <f t="shared" si="2"/>
        <v>0.75340303605839354</v>
      </c>
      <c r="M6" s="53">
        <f t="shared" si="3"/>
        <v>0.69132479950000003</v>
      </c>
      <c r="N6" s="58">
        <f t="shared" si="4"/>
        <v>1.0900264085950471</v>
      </c>
      <c r="O6" s="121" t="b">
        <f t="shared" si="5"/>
        <v>0</v>
      </c>
    </row>
    <row r="7" spans="1:15" x14ac:dyDescent="0.25">
      <c r="A7" s="11">
        <v>20</v>
      </c>
      <c r="B7" s="11">
        <v>5</v>
      </c>
      <c r="C7" s="34">
        <v>100000</v>
      </c>
      <c r="D7" s="19">
        <v>0.6</v>
      </c>
      <c r="E7" s="116">
        <v>10000000</v>
      </c>
      <c r="F7" s="22">
        <v>0.35804003000000001</v>
      </c>
      <c r="G7" s="22">
        <v>0.64195997000000005</v>
      </c>
      <c r="H7" s="54">
        <v>1.5160719999999999E-4</v>
      </c>
      <c r="I7" s="33">
        <v>52.29</v>
      </c>
      <c r="J7" s="33">
        <v>3.58</v>
      </c>
      <c r="K7" s="160">
        <f t="shared" si="1"/>
        <v>0.64180836280000009</v>
      </c>
      <c r="L7" s="47">
        <f t="shared" si="2"/>
        <v>0.69880578808779781</v>
      </c>
      <c r="M7" s="53">
        <f t="shared" si="3"/>
        <v>0.64211157720000001</v>
      </c>
      <c r="N7" s="58">
        <f t="shared" si="4"/>
        <v>1.0885504092845506</v>
      </c>
      <c r="O7" s="121" t="b">
        <f t="shared" si="5"/>
        <v>0</v>
      </c>
    </row>
    <row r="8" spans="1:15" x14ac:dyDescent="0.25">
      <c r="A8" s="19">
        <v>20</v>
      </c>
      <c r="B8" s="19">
        <v>1</v>
      </c>
      <c r="C8" s="34">
        <v>100000</v>
      </c>
      <c r="D8" s="19">
        <v>0.5</v>
      </c>
      <c r="E8" s="116">
        <v>10000000</v>
      </c>
      <c r="F8" s="105">
        <v>0.41720151</v>
      </c>
      <c r="G8" s="105">
        <v>0.5827985</v>
      </c>
      <c r="H8" s="105">
        <v>1.5593089999999999E-4</v>
      </c>
      <c r="I8" s="34">
        <v>60.12</v>
      </c>
      <c r="J8" s="34">
        <v>4.1900000000000004</v>
      </c>
      <c r="K8" s="160">
        <f>G8-H8</f>
        <v>0.58264256910000001</v>
      </c>
      <c r="L8" s="47">
        <f t="shared" ref="L8:L21" si="6">(1-EXP(-2*D8))/(1-EXP(-4*C8*D8))</f>
        <v>0.63212055882855767</v>
      </c>
      <c r="M8" s="53">
        <f>G8+H8</f>
        <v>0.58295443089999999</v>
      </c>
      <c r="N8" s="58">
        <f>L8/G8</f>
        <v>1.0846296941885707</v>
      </c>
      <c r="O8" s="121" t="b">
        <f>AND(L8&gt;=K8,L8&lt;=M8)</f>
        <v>0</v>
      </c>
    </row>
    <row r="9" spans="1:15" x14ac:dyDescent="0.25">
      <c r="A9" s="19">
        <v>20</v>
      </c>
      <c r="B9" s="19">
        <v>2</v>
      </c>
      <c r="C9" s="34">
        <v>100000</v>
      </c>
      <c r="D9" s="19">
        <v>0.4</v>
      </c>
      <c r="E9" s="116">
        <v>10000000</v>
      </c>
      <c r="F9" s="105">
        <v>0.48894768999999999</v>
      </c>
      <c r="G9" s="105">
        <v>0.51105230999999995</v>
      </c>
      <c r="H9" s="105">
        <v>1.5807519999999999E-4</v>
      </c>
      <c r="I9" s="34">
        <v>71.66</v>
      </c>
      <c r="J9" s="34">
        <v>5.0999999999999996</v>
      </c>
      <c r="K9" s="160">
        <f t="shared" ref="K9:K21" si="7">G9-H9</f>
        <v>0.51089423479999996</v>
      </c>
      <c r="L9" s="47">
        <f t="shared" si="6"/>
        <v>0.55067103588277844</v>
      </c>
      <c r="M9" s="53">
        <f t="shared" ref="M9:M21" si="8">G9+H9</f>
        <v>0.51121038519999995</v>
      </c>
      <c r="N9" s="58">
        <f t="shared" ref="N9:N21" si="9">L9/G9</f>
        <v>1.0775238172444197</v>
      </c>
      <c r="O9" s="121" t="b">
        <f t="shared" ref="O9:O21" si="10">AND(L9&gt;=K9,L9&lt;=M9)</f>
        <v>0</v>
      </c>
    </row>
    <row r="10" spans="1:15" x14ac:dyDescent="0.25">
      <c r="A10" s="19">
        <v>20</v>
      </c>
      <c r="B10" s="19">
        <v>3</v>
      </c>
      <c r="C10" s="34">
        <v>100000</v>
      </c>
      <c r="D10" s="19">
        <v>0.3</v>
      </c>
      <c r="E10" s="116">
        <v>10000000</v>
      </c>
      <c r="F10" s="105">
        <v>0.57700580000000001</v>
      </c>
      <c r="G10" s="105">
        <v>0.42299419999999999</v>
      </c>
      <c r="H10" s="105">
        <v>1.5622739999999999E-4</v>
      </c>
      <c r="I10" s="34">
        <v>90.48</v>
      </c>
      <c r="J10" s="34">
        <v>6.62</v>
      </c>
      <c r="K10" s="160">
        <f t="shared" si="7"/>
        <v>0.4228379726</v>
      </c>
      <c r="L10" s="47">
        <f t="shared" si="6"/>
        <v>0.45118836390597361</v>
      </c>
      <c r="M10" s="53">
        <f t="shared" si="8"/>
        <v>0.42315042739999997</v>
      </c>
      <c r="N10" s="58">
        <f t="shared" si="9"/>
        <v>1.0666537836830237</v>
      </c>
      <c r="O10" s="121" t="b">
        <f t="shared" si="10"/>
        <v>0</v>
      </c>
    </row>
    <row r="11" spans="1:15" x14ac:dyDescent="0.25">
      <c r="A11" s="19">
        <v>20</v>
      </c>
      <c r="B11" s="19">
        <v>4</v>
      </c>
      <c r="C11" s="34">
        <v>100000</v>
      </c>
      <c r="D11" s="19">
        <v>0.2</v>
      </c>
      <c r="E11" s="116">
        <v>10000000</v>
      </c>
      <c r="F11" s="105">
        <v>0.68629735000000003</v>
      </c>
      <c r="G11" s="105">
        <v>0.31370263999999998</v>
      </c>
      <c r="H11" s="105">
        <v>1.467288E-4</v>
      </c>
      <c r="I11" s="34">
        <v>126.98</v>
      </c>
      <c r="J11" s="34">
        <v>9.66</v>
      </c>
      <c r="K11" s="160">
        <f t="shared" si="7"/>
        <v>0.31355591119999998</v>
      </c>
      <c r="L11" s="47">
        <f t="shared" si="6"/>
        <v>0.32967995396436067</v>
      </c>
      <c r="M11" s="53">
        <f t="shared" si="8"/>
        <v>0.31384936879999997</v>
      </c>
      <c r="N11" s="58">
        <f t="shared" si="9"/>
        <v>1.0509313978497621</v>
      </c>
      <c r="O11" s="121" t="b">
        <f t="shared" si="10"/>
        <v>0</v>
      </c>
    </row>
    <row r="12" spans="1:15" x14ac:dyDescent="0.25">
      <c r="A12" s="19">
        <v>20</v>
      </c>
      <c r="B12" s="19">
        <v>5</v>
      </c>
      <c r="C12" s="34">
        <v>100000</v>
      </c>
      <c r="D12" s="19">
        <v>0.1</v>
      </c>
      <c r="E12" s="116">
        <v>10000000</v>
      </c>
      <c r="F12" s="105">
        <v>0.82382668999999997</v>
      </c>
      <c r="G12" s="105">
        <v>0.17617331</v>
      </c>
      <c r="H12" s="105">
        <v>1.204725E-4</v>
      </c>
      <c r="I12" s="34">
        <v>231.05</v>
      </c>
      <c r="J12" s="34">
        <v>18.73</v>
      </c>
      <c r="K12" s="160">
        <f t="shared" si="7"/>
        <v>0.1760528375</v>
      </c>
      <c r="L12" s="47">
        <f t="shared" si="6"/>
        <v>0.18126924692201818</v>
      </c>
      <c r="M12" s="53">
        <f t="shared" si="8"/>
        <v>0.1762937825</v>
      </c>
      <c r="N12" s="58">
        <f t="shared" si="9"/>
        <v>1.0289257034565462</v>
      </c>
      <c r="O12" s="121" t="b">
        <f t="shared" si="10"/>
        <v>0</v>
      </c>
    </row>
    <row r="13" spans="1:15" x14ac:dyDescent="0.25">
      <c r="A13" s="19">
        <v>20</v>
      </c>
      <c r="B13" s="19">
        <v>6</v>
      </c>
      <c r="C13" s="34">
        <v>100000</v>
      </c>
      <c r="D13" s="19">
        <v>0.05</v>
      </c>
      <c r="E13" s="116">
        <v>10000000</v>
      </c>
      <c r="F13" s="105">
        <v>0.90629380000000004</v>
      </c>
      <c r="G13" s="105">
        <v>9.3706200000000003E-2</v>
      </c>
      <c r="H13" s="105">
        <v>9.2154899999999994E-5</v>
      </c>
      <c r="I13" s="34">
        <v>425.98</v>
      </c>
      <c r="J13" s="34">
        <v>36.9</v>
      </c>
      <c r="K13" s="160">
        <f t="shared" si="7"/>
        <v>9.3614045100000001E-2</v>
      </c>
      <c r="L13" s="47">
        <f t="shared" si="6"/>
        <v>9.5162581964040482E-2</v>
      </c>
      <c r="M13" s="53">
        <f t="shared" si="8"/>
        <v>9.3798354900000006E-2</v>
      </c>
      <c r="N13" s="58">
        <f t="shared" si="9"/>
        <v>1.0155420021731805</v>
      </c>
      <c r="O13" s="121" t="b">
        <f t="shared" si="10"/>
        <v>0</v>
      </c>
    </row>
    <row r="14" spans="1:15" x14ac:dyDescent="0.25">
      <c r="A14" s="19">
        <v>20</v>
      </c>
      <c r="B14" s="19">
        <v>7</v>
      </c>
      <c r="C14" s="34">
        <v>100000</v>
      </c>
      <c r="D14" s="187">
        <v>0.01</v>
      </c>
      <c r="E14" s="177">
        <v>10000000</v>
      </c>
      <c r="F14" s="129">
        <v>0.98026840999999998</v>
      </c>
      <c r="G14" s="129">
        <v>1.973159E-2</v>
      </c>
      <c r="H14" s="129">
        <v>4.3979800000000002E-5</v>
      </c>
      <c r="I14" s="164">
        <v>1778.82</v>
      </c>
      <c r="J14" s="164">
        <v>182.45</v>
      </c>
      <c r="K14" s="143">
        <f t="shared" si="7"/>
        <v>1.96876102E-2</v>
      </c>
      <c r="L14" s="134">
        <f t="shared" si="6"/>
        <v>1.9801326693244747E-2</v>
      </c>
      <c r="M14" s="133">
        <f t="shared" si="8"/>
        <v>1.97755698E-2</v>
      </c>
      <c r="N14" s="134">
        <f t="shared" si="9"/>
        <v>1.0035342662828868</v>
      </c>
      <c r="O14" s="132" t="b">
        <f t="shared" si="10"/>
        <v>0</v>
      </c>
    </row>
    <row r="15" spans="1:15" x14ac:dyDescent="0.25">
      <c r="A15" s="19">
        <v>20</v>
      </c>
      <c r="B15" s="19">
        <v>8</v>
      </c>
      <c r="C15" s="34">
        <v>100000</v>
      </c>
      <c r="D15" s="130">
        <v>8.0000000000000002E-3</v>
      </c>
      <c r="E15" s="177">
        <v>10000000</v>
      </c>
      <c r="F15" s="129">
        <v>0.98415562000000001</v>
      </c>
      <c r="G15" s="129">
        <v>1.5844380000000002E-2</v>
      </c>
      <c r="H15" s="129">
        <v>3.94884E-5</v>
      </c>
      <c r="I15" s="164">
        <v>2166.2600000000002</v>
      </c>
      <c r="J15" s="164">
        <v>228.12</v>
      </c>
      <c r="K15" s="143">
        <f t="shared" si="7"/>
        <v>1.5804891600000003E-2</v>
      </c>
      <c r="L15" s="134">
        <f t="shared" si="6"/>
        <v>1.5872679944714863E-2</v>
      </c>
      <c r="M15" s="133">
        <f t="shared" si="8"/>
        <v>1.5883868400000001E-2</v>
      </c>
      <c r="N15" s="134">
        <f t="shared" si="9"/>
        <v>1.001786118782487</v>
      </c>
      <c r="O15" s="132" t="b">
        <f t="shared" si="10"/>
        <v>1</v>
      </c>
    </row>
    <row r="16" spans="1:15" x14ac:dyDescent="0.25">
      <c r="A16" s="19">
        <v>20</v>
      </c>
      <c r="B16" s="19">
        <v>9</v>
      </c>
      <c r="C16" s="34">
        <v>100000</v>
      </c>
      <c r="D16" s="130">
        <v>6.0000000000000001E-3</v>
      </c>
      <c r="E16" s="177">
        <v>10000000</v>
      </c>
      <c r="F16" s="129">
        <v>0.98808812000000001</v>
      </c>
      <c r="G16" s="129">
        <v>1.191188E-2</v>
      </c>
      <c r="H16" s="129">
        <v>3.4307400000000003E-5</v>
      </c>
      <c r="I16" s="164">
        <v>2790.95</v>
      </c>
      <c r="J16" s="164">
        <v>304.18</v>
      </c>
      <c r="K16" s="143">
        <f t="shared" si="7"/>
        <v>1.1877572600000001E-2</v>
      </c>
      <c r="L16" s="134">
        <f t="shared" si="6"/>
        <v>1.1928287138069482E-2</v>
      </c>
      <c r="M16" s="133">
        <f t="shared" si="8"/>
        <v>1.1946187399999999E-2</v>
      </c>
      <c r="N16" s="134">
        <f t="shared" si="9"/>
        <v>1.0013773760371565</v>
      </c>
      <c r="O16" s="132" t="b">
        <f t="shared" si="10"/>
        <v>1</v>
      </c>
    </row>
    <row r="17" spans="1:15" x14ac:dyDescent="0.25">
      <c r="A17" s="19">
        <v>20</v>
      </c>
      <c r="B17" s="19">
        <v>10</v>
      </c>
      <c r="C17" s="34">
        <v>100000</v>
      </c>
      <c r="D17" s="130">
        <v>4.0000000000000001E-3</v>
      </c>
      <c r="E17" s="177">
        <v>10000000</v>
      </c>
      <c r="F17" s="129">
        <v>0.99204747999999998</v>
      </c>
      <c r="G17" s="129">
        <v>7.9525199999999994E-3</v>
      </c>
      <c r="H17" s="129">
        <v>2.8087799999999999E-5</v>
      </c>
      <c r="I17" s="164">
        <v>3980.53</v>
      </c>
      <c r="J17" s="164">
        <v>455.9</v>
      </c>
      <c r="K17" s="143">
        <f t="shared" si="7"/>
        <v>7.9244321999999996E-3</v>
      </c>
      <c r="L17" s="134">
        <f t="shared" si="6"/>
        <v>7.9680851629393423E-3</v>
      </c>
      <c r="M17" s="133">
        <f t="shared" si="8"/>
        <v>7.9806077999999992E-3</v>
      </c>
      <c r="N17" s="134">
        <f t="shared" si="9"/>
        <v>1.0019572617157007</v>
      </c>
      <c r="O17" s="132" t="b">
        <f t="shared" si="10"/>
        <v>1</v>
      </c>
    </row>
    <row r="18" spans="1:15" x14ac:dyDescent="0.25">
      <c r="A18" s="19">
        <v>20</v>
      </c>
      <c r="B18" s="19">
        <v>11</v>
      </c>
      <c r="C18" s="34">
        <v>100000</v>
      </c>
      <c r="D18" s="130">
        <v>2E-3</v>
      </c>
      <c r="E18" s="177">
        <v>10000000</v>
      </c>
      <c r="F18" s="129">
        <v>0.99600710000000003</v>
      </c>
      <c r="G18" s="129">
        <v>3.9929099999999997E-3</v>
      </c>
      <c r="H18" s="129">
        <v>1.99423E-5</v>
      </c>
      <c r="I18" s="164">
        <v>7262.03</v>
      </c>
      <c r="J18" s="164">
        <v>915.12</v>
      </c>
      <c r="K18" s="143">
        <f t="shared" si="7"/>
        <v>3.9729676999999998E-3</v>
      </c>
      <c r="L18" s="134">
        <f t="shared" si="6"/>
        <v>3.9920106560085156E-3</v>
      </c>
      <c r="M18" s="133">
        <f t="shared" si="8"/>
        <v>4.0128522999999996E-3</v>
      </c>
      <c r="N18" s="134">
        <f t="shared" si="9"/>
        <v>0.99977476477268856</v>
      </c>
      <c r="O18" s="132" t="b">
        <f t="shared" si="10"/>
        <v>1</v>
      </c>
    </row>
    <row r="19" spans="1:15" x14ac:dyDescent="0.25">
      <c r="A19" s="19">
        <v>20</v>
      </c>
      <c r="B19" s="19">
        <v>12</v>
      </c>
      <c r="C19" s="34">
        <v>100000</v>
      </c>
      <c r="D19" s="187">
        <v>1E-3</v>
      </c>
      <c r="E19" s="177">
        <v>10000000</v>
      </c>
      <c r="F19" s="129">
        <v>0.99800054000000005</v>
      </c>
      <c r="G19" s="129">
        <v>1.9994600000000002E-3</v>
      </c>
      <c r="H19" s="129">
        <v>1.4126E-5</v>
      </c>
      <c r="I19" s="164">
        <v>13133.66</v>
      </c>
      <c r="J19" s="164">
        <v>1845.11</v>
      </c>
      <c r="K19" s="143">
        <f t="shared" si="7"/>
        <v>1.9853340000000001E-3</v>
      </c>
      <c r="L19" s="134">
        <f t="shared" si="6"/>
        <v>1.998001332666921E-3</v>
      </c>
      <c r="M19" s="133">
        <f t="shared" si="8"/>
        <v>2.0135860000000004E-3</v>
      </c>
      <c r="N19" s="134">
        <f t="shared" si="9"/>
        <v>0.99927046936018771</v>
      </c>
      <c r="O19" s="132" t="b">
        <f t="shared" si="10"/>
        <v>1</v>
      </c>
    </row>
    <row r="20" spans="1:15" x14ac:dyDescent="0.25">
      <c r="A20" s="19">
        <v>20</v>
      </c>
      <c r="B20" s="19">
        <v>13</v>
      </c>
      <c r="C20" s="34">
        <v>100000</v>
      </c>
      <c r="D20" s="187">
        <v>1E-4</v>
      </c>
      <c r="E20" s="177">
        <v>10000000</v>
      </c>
      <c r="F20" s="129">
        <v>0.99980144000000004</v>
      </c>
      <c r="G20" s="129">
        <v>1.9856E-4</v>
      </c>
      <c r="H20" s="129">
        <v>4.4552000000000001E-6</v>
      </c>
      <c r="I20" s="164">
        <v>84842.01</v>
      </c>
      <c r="J20" s="164">
        <v>19763.71</v>
      </c>
      <c r="K20" s="143">
        <f t="shared" si="7"/>
        <v>1.9410479999999999E-4</v>
      </c>
      <c r="L20" s="134">
        <f t="shared" si="6"/>
        <v>1.9998000133325533E-4</v>
      </c>
      <c r="M20" s="133">
        <f t="shared" si="8"/>
        <v>2.0301520000000001E-4</v>
      </c>
      <c r="N20" s="134">
        <f t="shared" si="9"/>
        <v>1.0071514974479017</v>
      </c>
      <c r="O20" s="132" t="b">
        <f t="shared" si="10"/>
        <v>1</v>
      </c>
    </row>
    <row r="21" spans="1:15" x14ac:dyDescent="0.25">
      <c r="A21" s="19">
        <v>20</v>
      </c>
      <c r="B21" s="19">
        <v>14</v>
      </c>
      <c r="C21" s="34">
        <v>100000</v>
      </c>
      <c r="D21" s="187">
        <v>1.0000000000000001E-5</v>
      </c>
      <c r="E21" s="177">
        <v>10000000</v>
      </c>
      <c r="F21" s="129">
        <v>0.99998005000000001</v>
      </c>
      <c r="G21" s="129">
        <v>1.9939999999999999E-5</v>
      </c>
      <c r="H21" s="129">
        <v>1.4113999999999999E-6</v>
      </c>
      <c r="I21" s="164">
        <v>339954.7</v>
      </c>
      <c r="J21" s="164">
        <v>160898.73000000001</v>
      </c>
      <c r="K21" s="143">
        <f t="shared" si="7"/>
        <v>1.8528599999999997E-5</v>
      </c>
      <c r="L21" s="134">
        <f t="shared" si="6"/>
        <v>2.0372943477164051E-5</v>
      </c>
      <c r="M21" s="133">
        <f t="shared" si="8"/>
        <v>2.13514E-5</v>
      </c>
      <c r="N21" s="134">
        <f t="shared" si="9"/>
        <v>1.0217123107905743</v>
      </c>
      <c r="O21" s="132" t="b">
        <f t="shared" si="10"/>
        <v>1</v>
      </c>
    </row>
    <row r="22" spans="1:15" ht="15.75" x14ac:dyDescent="0.25">
      <c r="A22" s="19">
        <v>20</v>
      </c>
      <c r="B22" s="19">
        <v>1</v>
      </c>
      <c r="C22" s="34">
        <v>100000</v>
      </c>
      <c r="D22" s="247">
        <v>9.9999999999999995E-7</v>
      </c>
      <c r="E22" s="116">
        <v>10000000</v>
      </c>
      <c r="F22" s="105">
        <v>0.99999378999999999</v>
      </c>
      <c r="G22" s="245">
        <v>6.2099999999999998E-6</v>
      </c>
      <c r="H22" s="105">
        <v>7.8599999999999997E-7</v>
      </c>
      <c r="I22" s="246">
        <v>395547.62</v>
      </c>
      <c r="J22" s="34">
        <v>206024.43</v>
      </c>
      <c r="K22" s="143">
        <f t="shared" ref="K22" si="11">G22-H22</f>
        <v>5.4240000000000001E-6</v>
      </c>
      <c r="L22" s="134">
        <f t="shared" ref="L22" si="12">(1-EXP(-2*D22))/(1-EXP(-4*C22*D22))</f>
        <v>6.0664834969217994E-6</v>
      </c>
      <c r="M22" s="133">
        <f t="shared" ref="M22" si="13">G22+H22</f>
        <v>6.9959999999999996E-6</v>
      </c>
      <c r="N22" s="134">
        <f t="shared" ref="N22" si="14">L22/G22</f>
        <v>0.97688945200028976</v>
      </c>
      <c r="O22" s="132" t="b">
        <f t="shared" ref="O22" si="15">AND(L22&gt;=K22,L22&lt;=M22)</f>
        <v>1</v>
      </c>
    </row>
    <row r="23" spans="1:15" x14ac:dyDescent="0.25">
      <c r="A23" s="19">
        <v>20</v>
      </c>
      <c r="B23" s="19">
        <v>1</v>
      </c>
      <c r="C23" s="34">
        <v>100000</v>
      </c>
      <c r="D23" s="187">
        <v>9.9999999999999995E-8</v>
      </c>
      <c r="E23" s="164">
        <v>10000000</v>
      </c>
      <c r="F23" s="133">
        <v>0.99999508000000004</v>
      </c>
      <c r="G23" s="135">
        <v>4.9200000000000003E-6</v>
      </c>
      <c r="H23" s="145">
        <v>6.9979999999999995E-7</v>
      </c>
      <c r="I23" s="164">
        <v>397261.78</v>
      </c>
      <c r="J23" s="165">
        <v>202103.49</v>
      </c>
      <c r="K23" s="143">
        <f t="shared" ref="K23:K24" si="16">G23-H23</f>
        <v>4.2202000000000007E-6</v>
      </c>
      <c r="L23" s="134">
        <f t="shared" ref="L23" si="17">(1-EXP(-2*D23))/(1-EXP(-4*C23*D23))</f>
        <v>5.1006661393772552E-6</v>
      </c>
      <c r="M23" s="133">
        <f t="shared" ref="M23" si="18">G23+H23</f>
        <v>5.6198E-6</v>
      </c>
      <c r="N23" s="134">
        <f t="shared" ref="N23" si="19">L23/G23</f>
        <v>1.0367207600360273</v>
      </c>
      <c r="O23" s="132" t="b">
        <f t="shared" ref="O23" si="20">AND(L23&gt;=K23,L23&lt;=M23)</f>
        <v>1</v>
      </c>
    </row>
    <row r="24" spans="1:15" ht="15.75" x14ac:dyDescent="0.25">
      <c r="A24" s="19">
        <v>20</v>
      </c>
      <c r="B24" s="19">
        <v>15</v>
      </c>
      <c r="C24" s="34">
        <v>100000</v>
      </c>
      <c r="D24" s="130">
        <v>0</v>
      </c>
      <c r="E24" s="177">
        <v>10000000</v>
      </c>
      <c r="F24" s="129">
        <v>0.99999499000000003</v>
      </c>
      <c r="G24" s="244">
        <v>5.0100000000000003E-6</v>
      </c>
      <c r="H24" s="129">
        <v>7.0660000000000004E-7</v>
      </c>
      <c r="I24" s="242">
        <v>396826.5</v>
      </c>
      <c r="J24" s="164">
        <v>194533.28</v>
      </c>
      <c r="K24" s="143">
        <f t="shared" si="16"/>
        <v>4.3034000000000002E-6</v>
      </c>
      <c r="L24" s="134"/>
      <c r="M24" s="133"/>
      <c r="N24" s="134"/>
      <c r="O24" s="132"/>
    </row>
    <row r="25" spans="1:15" x14ac:dyDescent="0.25">
      <c r="G25" s="261" t="s">
        <v>174</v>
      </c>
      <c r="L25" s="59"/>
      <c r="M25" s="59"/>
      <c r="N25" s="59"/>
      <c r="O25" s="59"/>
    </row>
    <row r="26" spans="1:15" x14ac:dyDescent="0.25">
      <c r="L26" s="59"/>
      <c r="M26" s="59"/>
      <c r="N26" s="59"/>
      <c r="O26" s="59"/>
    </row>
    <row r="27" spans="1:15" x14ac:dyDescent="0.25">
      <c r="L27" s="59"/>
      <c r="M27" s="59"/>
      <c r="N27" s="59"/>
      <c r="O27" s="59"/>
    </row>
    <row r="29" spans="1:15" ht="18.75" customHeight="1" x14ac:dyDescent="0.25">
      <c r="B29" s="44" t="s">
        <v>41</v>
      </c>
      <c r="E29" s="9"/>
      <c r="F29" s="18"/>
      <c r="G29" s="18"/>
      <c r="H29" s="31"/>
      <c r="K29" s="42"/>
    </row>
    <row r="30" spans="1:15" ht="30" x14ac:dyDescent="0.25">
      <c r="A30" s="11" t="s">
        <v>0</v>
      </c>
      <c r="B30" s="11" t="s">
        <v>10</v>
      </c>
      <c r="C30" s="33" t="s">
        <v>11</v>
      </c>
      <c r="D30" s="11" t="s">
        <v>9</v>
      </c>
      <c r="E30" s="33" t="s">
        <v>3</v>
      </c>
      <c r="F30" s="22" t="s">
        <v>29</v>
      </c>
      <c r="G30" s="22" t="s">
        <v>27</v>
      </c>
      <c r="H30" s="54" t="s">
        <v>28</v>
      </c>
      <c r="I30" s="33" t="s">
        <v>25</v>
      </c>
      <c r="J30" s="33" t="s">
        <v>26</v>
      </c>
      <c r="K30" s="22" t="s">
        <v>151</v>
      </c>
      <c r="L30" s="28" t="s">
        <v>153</v>
      </c>
      <c r="M30" s="163" t="s">
        <v>152</v>
      </c>
      <c r="N30" s="120" t="s">
        <v>187</v>
      </c>
      <c r="O30" s="162" t="s">
        <v>156</v>
      </c>
    </row>
    <row r="31" spans="1:15" x14ac:dyDescent="0.25">
      <c r="A31" s="2">
        <v>20</v>
      </c>
      <c r="B31" s="2">
        <v>1</v>
      </c>
      <c r="C31" s="9">
        <v>100000</v>
      </c>
      <c r="D31" s="2">
        <v>0.5</v>
      </c>
      <c r="E31" s="10">
        <v>1000000</v>
      </c>
      <c r="F31">
        <v>0.41732395</v>
      </c>
      <c r="G31">
        <v>0.58267605</v>
      </c>
      <c r="H31">
        <v>4.9311690000000002E-4</v>
      </c>
      <c r="I31" s="9">
        <v>60.12</v>
      </c>
      <c r="J31" s="9">
        <v>4.1900000000000004</v>
      </c>
      <c r="K31" s="160">
        <f>G31-H31</f>
        <v>0.58218293310000002</v>
      </c>
      <c r="L31" s="47">
        <f t="shared" ref="L31:L44" si="21">(1-EXP(-2*D31))/(1-EXP(-4*C31*D31))</f>
        <v>0.63212055882855767</v>
      </c>
      <c r="M31" s="53">
        <f>G31+H31</f>
        <v>0.58316916689999998</v>
      </c>
      <c r="N31" s="58">
        <f>L31/G31</f>
        <v>1.0848576302879751</v>
      </c>
      <c r="O31" s="121" t="b">
        <f>AND(L31&gt;=K31,L31&lt;=M31)</f>
        <v>0</v>
      </c>
    </row>
    <row r="32" spans="1:15" x14ac:dyDescent="0.25">
      <c r="A32" s="2">
        <v>20</v>
      </c>
      <c r="B32" s="2">
        <v>2</v>
      </c>
      <c r="C32" s="9">
        <v>100000</v>
      </c>
      <c r="D32" s="2">
        <v>0.4</v>
      </c>
      <c r="E32" s="10">
        <v>1000000</v>
      </c>
      <c r="F32">
        <v>0.48905854999999998</v>
      </c>
      <c r="G32">
        <v>0.51094145000000002</v>
      </c>
      <c r="H32">
        <v>4.9987990000000004E-4</v>
      </c>
      <c r="I32" s="9">
        <v>71.66</v>
      </c>
      <c r="J32" s="9">
        <v>5.0999999999999996</v>
      </c>
      <c r="K32" s="160">
        <f t="shared" ref="K32:K45" si="22">G32-H32</f>
        <v>0.51044157010000002</v>
      </c>
      <c r="L32" s="47">
        <f t="shared" si="21"/>
        <v>0.55067103588277844</v>
      </c>
      <c r="M32" s="53">
        <f t="shared" ref="M32:M45" si="23">G32+H32</f>
        <v>0.51144132990000002</v>
      </c>
      <c r="N32" s="58">
        <f t="shared" ref="N32:N45" si="24">L32/G32</f>
        <v>1.0777576097667911</v>
      </c>
      <c r="O32" s="121" t="b">
        <f t="shared" ref="O32:O44" si="25">AND(L32&gt;=K32,L32&lt;=M32)</f>
        <v>0</v>
      </c>
    </row>
    <row r="33" spans="1:15" x14ac:dyDescent="0.25">
      <c r="A33" s="2">
        <v>20</v>
      </c>
      <c r="B33" s="2">
        <v>3</v>
      </c>
      <c r="C33" s="9">
        <v>100000</v>
      </c>
      <c r="D33" s="2">
        <v>0.3</v>
      </c>
      <c r="E33" s="10">
        <v>1000000</v>
      </c>
      <c r="F33">
        <v>0.57715530000000004</v>
      </c>
      <c r="G33">
        <v>0.42284470000000002</v>
      </c>
      <c r="H33">
        <v>4.9401100000000004E-4</v>
      </c>
      <c r="I33" s="9">
        <v>90.47</v>
      </c>
      <c r="J33" s="9">
        <v>6.62</v>
      </c>
      <c r="K33" s="160">
        <f t="shared" si="22"/>
        <v>0.422350689</v>
      </c>
      <c r="L33" s="47">
        <f t="shared" si="21"/>
        <v>0.45118836390597361</v>
      </c>
      <c r="M33" s="53">
        <f t="shared" si="23"/>
        <v>0.42333871100000003</v>
      </c>
      <c r="N33" s="58">
        <f t="shared" si="24"/>
        <v>1.067030907342515</v>
      </c>
      <c r="O33" s="121" t="b">
        <f t="shared" si="25"/>
        <v>0</v>
      </c>
    </row>
    <row r="34" spans="1:15" x14ac:dyDescent="0.25">
      <c r="A34" s="2">
        <v>20</v>
      </c>
      <c r="B34" s="2">
        <v>4</v>
      </c>
      <c r="C34" s="9">
        <v>100000</v>
      </c>
      <c r="D34" s="2">
        <v>0.2</v>
      </c>
      <c r="E34" s="10">
        <v>1000000</v>
      </c>
      <c r="F34">
        <v>0.68650215000000003</v>
      </c>
      <c r="G34">
        <v>0.31349785000000002</v>
      </c>
      <c r="H34">
        <v>4.6391450000000001E-4</v>
      </c>
      <c r="I34" s="9">
        <v>126.97</v>
      </c>
      <c r="J34" s="9">
        <v>9.65</v>
      </c>
      <c r="K34" s="160">
        <f t="shared" si="22"/>
        <v>0.31303393550000003</v>
      </c>
      <c r="L34" s="47">
        <f t="shared" si="21"/>
        <v>0.32967995396436067</v>
      </c>
      <c r="M34" s="53">
        <f t="shared" si="23"/>
        <v>0.31396176450000002</v>
      </c>
      <c r="N34" s="58">
        <f t="shared" si="24"/>
        <v>1.051617910503567</v>
      </c>
      <c r="O34" s="121" t="b">
        <f t="shared" si="25"/>
        <v>0</v>
      </c>
    </row>
    <row r="35" spans="1:15" x14ac:dyDescent="0.25">
      <c r="A35" s="2">
        <v>20</v>
      </c>
      <c r="B35" s="2">
        <v>5</v>
      </c>
      <c r="C35" s="9">
        <v>100000</v>
      </c>
      <c r="D35" s="2">
        <v>0.1</v>
      </c>
      <c r="E35" s="10">
        <v>1000000</v>
      </c>
      <c r="F35">
        <v>0.82383404999999998</v>
      </c>
      <c r="G35">
        <v>0.17616594999999999</v>
      </c>
      <c r="H35">
        <v>3.8096089999999999E-4</v>
      </c>
      <c r="I35" s="9">
        <v>231.06</v>
      </c>
      <c r="J35" s="9">
        <v>18.739999999999998</v>
      </c>
      <c r="K35" s="160">
        <f t="shared" si="22"/>
        <v>0.17578498909999998</v>
      </c>
      <c r="L35" s="47">
        <f t="shared" si="21"/>
        <v>0.18126924692201818</v>
      </c>
      <c r="M35" s="53">
        <f t="shared" si="23"/>
        <v>0.17654691089999999</v>
      </c>
      <c r="N35" s="58">
        <f t="shared" si="24"/>
        <v>1.028968690726092</v>
      </c>
      <c r="O35" s="121" t="b">
        <f t="shared" si="25"/>
        <v>0</v>
      </c>
    </row>
    <row r="36" spans="1:15" x14ac:dyDescent="0.25">
      <c r="A36" s="2">
        <v>20</v>
      </c>
      <c r="B36" s="2">
        <v>6</v>
      </c>
      <c r="C36" s="9">
        <v>100000</v>
      </c>
      <c r="D36" s="2">
        <v>0.05</v>
      </c>
      <c r="E36" s="10">
        <v>1000000</v>
      </c>
      <c r="F36">
        <v>0.90616289999999999</v>
      </c>
      <c r="G36">
        <v>9.3837100000000007E-2</v>
      </c>
      <c r="H36">
        <v>2.9160139999999998E-4</v>
      </c>
      <c r="I36" s="9">
        <v>425.96</v>
      </c>
      <c r="J36" s="9">
        <v>36.869999999999997</v>
      </c>
      <c r="K36" s="160">
        <f t="shared" si="22"/>
        <v>9.3545498600000013E-2</v>
      </c>
      <c r="L36" s="47">
        <f t="shared" si="21"/>
        <v>9.5162581964040482E-2</v>
      </c>
      <c r="M36" s="53">
        <f t="shared" si="23"/>
        <v>9.4128701400000001E-2</v>
      </c>
      <c r="N36" s="58">
        <f t="shared" si="24"/>
        <v>1.0141253508904311</v>
      </c>
      <c r="O36" s="121" t="b">
        <f t="shared" si="25"/>
        <v>0</v>
      </c>
    </row>
    <row r="37" spans="1:15" x14ac:dyDescent="0.25">
      <c r="A37" s="2">
        <v>20</v>
      </c>
      <c r="B37" s="2">
        <v>7</v>
      </c>
      <c r="C37" s="9">
        <v>100000</v>
      </c>
      <c r="D37" s="167">
        <v>0.01</v>
      </c>
      <c r="E37" s="176">
        <v>1000000</v>
      </c>
      <c r="F37" s="159">
        <v>0.98024100000000003</v>
      </c>
      <c r="G37" s="159">
        <v>1.9758999999999999E-2</v>
      </c>
      <c r="H37" s="159">
        <v>1.3917070000000001E-4</v>
      </c>
      <c r="I37" s="168">
        <v>1779.36</v>
      </c>
      <c r="J37" s="168">
        <v>182.43</v>
      </c>
      <c r="K37" s="160">
        <f t="shared" si="22"/>
        <v>1.9619829299999999E-2</v>
      </c>
      <c r="L37" s="134">
        <f t="shared" si="21"/>
        <v>1.9801326693244747E-2</v>
      </c>
      <c r="M37" s="133">
        <f t="shared" si="23"/>
        <v>1.9898170699999999E-2</v>
      </c>
      <c r="N37" s="134">
        <f t="shared" si="24"/>
        <v>1.0021421475400956</v>
      </c>
      <c r="O37" s="132" t="b">
        <f t="shared" si="25"/>
        <v>1</v>
      </c>
    </row>
    <row r="38" spans="1:15" x14ac:dyDescent="0.25">
      <c r="A38" s="2">
        <v>20</v>
      </c>
      <c r="B38" s="2">
        <v>8</v>
      </c>
      <c r="C38" s="9">
        <v>100000</v>
      </c>
      <c r="D38" s="167">
        <v>8.0000000000000002E-3</v>
      </c>
      <c r="E38" s="176">
        <v>1000000</v>
      </c>
      <c r="F38" s="159">
        <v>0.98412560000000004</v>
      </c>
      <c r="G38" s="159">
        <v>1.58744E-2</v>
      </c>
      <c r="H38" s="159">
        <v>1.249887E-4</v>
      </c>
      <c r="I38" s="168">
        <v>2166.46</v>
      </c>
      <c r="J38" s="168">
        <v>227.91</v>
      </c>
      <c r="K38" s="160">
        <f t="shared" si="22"/>
        <v>1.5749411300000002E-2</v>
      </c>
      <c r="L38" s="134">
        <f t="shared" si="21"/>
        <v>1.5872679944714863E-2</v>
      </c>
      <c r="M38" s="133">
        <f t="shared" si="23"/>
        <v>1.5999388699999999E-2</v>
      </c>
      <c r="N38" s="134">
        <f t="shared" si="24"/>
        <v>0.99989164596550817</v>
      </c>
      <c r="O38" s="132" t="b">
        <f t="shared" si="25"/>
        <v>1</v>
      </c>
    </row>
    <row r="39" spans="1:15" x14ac:dyDescent="0.25">
      <c r="A39" s="2">
        <v>20</v>
      </c>
      <c r="B39" s="2">
        <v>9</v>
      </c>
      <c r="C39" s="9">
        <v>100000</v>
      </c>
      <c r="D39" s="167">
        <v>6.0000000000000001E-3</v>
      </c>
      <c r="E39" s="176">
        <v>1000000</v>
      </c>
      <c r="F39" s="159">
        <v>0.98808485000000001</v>
      </c>
      <c r="G39" s="159">
        <v>1.1915149999999999E-2</v>
      </c>
      <c r="H39" s="159">
        <v>1.085033E-4</v>
      </c>
      <c r="I39" s="168">
        <v>2789.82</v>
      </c>
      <c r="J39" s="168">
        <v>303.57</v>
      </c>
      <c r="K39" s="160">
        <f t="shared" si="22"/>
        <v>1.1806646699999999E-2</v>
      </c>
      <c r="L39" s="134">
        <f t="shared" si="21"/>
        <v>1.1928287138069482E-2</v>
      </c>
      <c r="M39" s="133">
        <f t="shared" si="23"/>
        <v>1.2023653299999999E-2</v>
      </c>
      <c r="N39" s="134">
        <f t="shared" si="24"/>
        <v>1.0011025575061567</v>
      </c>
      <c r="O39" s="132" t="b">
        <f t="shared" si="25"/>
        <v>1</v>
      </c>
    </row>
    <row r="40" spans="1:15" x14ac:dyDescent="0.25">
      <c r="A40" s="2">
        <v>20</v>
      </c>
      <c r="B40" s="2">
        <v>10</v>
      </c>
      <c r="C40" s="9">
        <v>100000</v>
      </c>
      <c r="D40" s="167">
        <v>4.0000000000000001E-3</v>
      </c>
      <c r="E40" s="176">
        <v>1000000</v>
      </c>
      <c r="F40" s="159">
        <v>0.99207305000000001</v>
      </c>
      <c r="G40" s="159">
        <v>7.9269500000000003E-3</v>
      </c>
      <c r="H40" s="159">
        <v>8.8678500000000001E-5</v>
      </c>
      <c r="I40" s="168">
        <v>3980.53</v>
      </c>
      <c r="J40" s="168">
        <v>455.14</v>
      </c>
      <c r="K40" s="160">
        <f t="shared" si="22"/>
        <v>7.8382715000000006E-3</v>
      </c>
      <c r="L40" s="134">
        <f t="shared" si="21"/>
        <v>7.9680851629393423E-3</v>
      </c>
      <c r="M40" s="133">
        <f t="shared" si="23"/>
        <v>8.0156285000000001E-3</v>
      </c>
      <c r="N40" s="134">
        <f t="shared" si="24"/>
        <v>1.0051892799802373</v>
      </c>
      <c r="O40" s="132" t="b">
        <f t="shared" si="25"/>
        <v>1</v>
      </c>
    </row>
    <row r="41" spans="1:15" x14ac:dyDescent="0.25">
      <c r="A41" s="2">
        <v>20</v>
      </c>
      <c r="B41" s="2">
        <v>11</v>
      </c>
      <c r="C41" s="9">
        <v>100000</v>
      </c>
      <c r="D41" s="167">
        <v>2E-3</v>
      </c>
      <c r="E41" s="176">
        <v>1000000</v>
      </c>
      <c r="F41" s="159">
        <v>0.99602285000000002</v>
      </c>
      <c r="G41" s="159">
        <v>3.9771499999999996E-3</v>
      </c>
      <c r="H41" s="159">
        <v>6.2937500000000005E-5</v>
      </c>
      <c r="I41" s="168">
        <v>7264.01</v>
      </c>
      <c r="J41" s="168">
        <v>916.94</v>
      </c>
      <c r="K41" s="160">
        <f t="shared" si="22"/>
        <v>3.9142125E-3</v>
      </c>
      <c r="L41" s="134">
        <f t="shared" si="21"/>
        <v>3.9920106560085156E-3</v>
      </c>
      <c r="M41" s="133">
        <f t="shared" si="23"/>
        <v>4.0400874999999992E-3</v>
      </c>
      <c r="N41" s="134">
        <f t="shared" si="24"/>
        <v>1.0037365088086987</v>
      </c>
      <c r="O41" s="132" t="b">
        <f t="shared" si="25"/>
        <v>1</v>
      </c>
    </row>
    <row r="42" spans="1:15" x14ac:dyDescent="0.25">
      <c r="A42" s="2">
        <v>20</v>
      </c>
      <c r="B42" s="2">
        <v>12</v>
      </c>
      <c r="C42" s="9">
        <v>100000</v>
      </c>
      <c r="D42" s="167">
        <v>1E-3</v>
      </c>
      <c r="E42" s="176">
        <v>1000000</v>
      </c>
      <c r="F42" s="159">
        <v>0.99802020000000002</v>
      </c>
      <c r="G42" s="159">
        <v>1.9797999999999999E-3</v>
      </c>
      <c r="H42" s="159">
        <v>4.4448099999999999E-5</v>
      </c>
      <c r="I42" s="168">
        <v>13119.02</v>
      </c>
      <c r="J42" s="168">
        <v>1842.72</v>
      </c>
      <c r="K42" s="160">
        <f t="shared" si="22"/>
        <v>1.9353519E-3</v>
      </c>
      <c r="L42" s="134">
        <f t="shared" si="21"/>
        <v>1.998001332666921E-3</v>
      </c>
      <c r="M42" s="133">
        <f t="shared" si="23"/>
        <v>2.0242480999999998E-3</v>
      </c>
      <c r="N42" s="134">
        <f t="shared" si="24"/>
        <v>1.0091935208944949</v>
      </c>
      <c r="O42" s="132" t="b">
        <f t="shared" si="25"/>
        <v>1</v>
      </c>
    </row>
    <row r="43" spans="1:15" x14ac:dyDescent="0.25">
      <c r="A43" s="2">
        <v>20</v>
      </c>
      <c r="B43" s="2">
        <v>13</v>
      </c>
      <c r="C43" s="9">
        <v>100000</v>
      </c>
      <c r="D43" s="167">
        <v>1E-4</v>
      </c>
      <c r="E43" s="176">
        <v>1000000</v>
      </c>
      <c r="F43" s="159">
        <v>0.99980064999999996</v>
      </c>
      <c r="G43" s="159">
        <v>1.9934999999999999E-4</v>
      </c>
      <c r="H43" s="159">
        <v>1.4107000000000001E-5</v>
      </c>
      <c r="I43" s="168">
        <v>84992.66</v>
      </c>
      <c r="J43" s="168">
        <v>19019.72</v>
      </c>
      <c r="K43" s="160">
        <f t="shared" si="22"/>
        <v>1.85243E-4</v>
      </c>
      <c r="L43" s="134">
        <f t="shared" si="21"/>
        <v>1.9998000133325533E-4</v>
      </c>
      <c r="M43" s="133">
        <f t="shared" si="23"/>
        <v>2.1345699999999999E-4</v>
      </c>
      <c r="N43" s="134">
        <f t="shared" si="24"/>
        <v>1.0031602775683739</v>
      </c>
      <c r="O43" s="132" t="b">
        <f t="shared" si="25"/>
        <v>1</v>
      </c>
    </row>
    <row r="44" spans="1:15" x14ac:dyDescent="0.25">
      <c r="A44" s="2">
        <v>20</v>
      </c>
      <c r="B44" s="2">
        <v>14</v>
      </c>
      <c r="C44" s="9">
        <v>100000</v>
      </c>
      <c r="D44" s="171">
        <v>1.0000000000000001E-5</v>
      </c>
      <c r="E44" s="176">
        <v>1000000</v>
      </c>
      <c r="F44" s="159">
        <v>0.99997910000000001</v>
      </c>
      <c r="G44" s="159">
        <v>2.09E-5</v>
      </c>
      <c r="H44" s="159">
        <v>4.5492999999999998E-6</v>
      </c>
      <c r="I44" s="168">
        <v>334745.42</v>
      </c>
      <c r="J44" s="168">
        <v>163842.17000000001</v>
      </c>
      <c r="K44" s="160">
        <f t="shared" si="22"/>
        <v>1.6350699999999999E-5</v>
      </c>
      <c r="L44" s="134">
        <f t="shared" si="21"/>
        <v>2.0372943477164051E-5</v>
      </c>
      <c r="M44" s="133">
        <f t="shared" si="23"/>
        <v>2.54493E-5</v>
      </c>
      <c r="N44" s="134">
        <f t="shared" si="24"/>
        <v>0.97478198455330389</v>
      </c>
      <c r="O44" s="132" t="b">
        <f t="shared" si="25"/>
        <v>1</v>
      </c>
    </row>
    <row r="45" spans="1:15" x14ac:dyDescent="0.25">
      <c r="A45" s="2">
        <v>20</v>
      </c>
      <c r="B45" s="2">
        <v>15</v>
      </c>
      <c r="C45" s="9">
        <v>100000</v>
      </c>
      <c r="D45" s="167">
        <v>0</v>
      </c>
      <c r="E45" s="176">
        <v>1000000</v>
      </c>
      <c r="F45" s="159">
        <v>0.99999484999999999</v>
      </c>
      <c r="G45" s="159">
        <v>5.1499999999999998E-6</v>
      </c>
      <c r="H45" s="159">
        <v>2.1988E-6</v>
      </c>
      <c r="I45" s="168">
        <v>402390.74</v>
      </c>
      <c r="J45" s="168">
        <v>122260.8</v>
      </c>
      <c r="K45" s="160">
        <f t="shared" si="22"/>
        <v>2.9511999999999998E-6</v>
      </c>
      <c r="L45" s="134">
        <v>5.0000000000000002E-5</v>
      </c>
      <c r="M45" s="133">
        <f t="shared" si="23"/>
        <v>7.3487999999999998E-6</v>
      </c>
      <c r="N45" s="134">
        <f t="shared" si="24"/>
        <v>9.7087378640776709</v>
      </c>
      <c r="O45" s="132"/>
    </row>
    <row r="46" spans="1:15" x14ac:dyDescent="0.25">
      <c r="F46" s="57" t="s">
        <v>40</v>
      </c>
      <c r="G46">
        <v>5.0000000000000004E-6</v>
      </c>
      <c r="I46" s="9">
        <v>400000</v>
      </c>
    </row>
    <row r="47" spans="1:15" x14ac:dyDescent="0.25">
      <c r="G47" s="14"/>
      <c r="H47" s="14"/>
      <c r="I47" s="157"/>
    </row>
    <row r="48" spans="1:15" x14ac:dyDescent="0.25">
      <c r="G48" s="14"/>
      <c r="H48" s="14"/>
      <c r="I48" s="157"/>
    </row>
    <row r="52" spans="1:15" x14ac:dyDescent="0.25">
      <c r="B52" s="44" t="s">
        <v>42</v>
      </c>
      <c r="E52" s="9"/>
      <c r="F52" s="18"/>
      <c r="G52" s="18"/>
      <c r="H52" s="31"/>
      <c r="K52" s="42"/>
    </row>
    <row r="53" spans="1:15" ht="30" x14ac:dyDescent="0.25">
      <c r="A53" s="11" t="s">
        <v>0</v>
      </c>
      <c r="B53" s="11" t="s">
        <v>10</v>
      </c>
      <c r="C53" s="33" t="s">
        <v>11</v>
      </c>
      <c r="D53" s="11" t="s">
        <v>9</v>
      </c>
      <c r="E53" s="33" t="s">
        <v>3</v>
      </c>
      <c r="F53" s="22" t="s">
        <v>29</v>
      </c>
      <c r="G53" s="22" t="s">
        <v>27</v>
      </c>
      <c r="H53" s="54" t="s">
        <v>28</v>
      </c>
      <c r="I53" s="33" t="s">
        <v>25</v>
      </c>
      <c r="J53" s="33" t="s">
        <v>26</v>
      </c>
      <c r="K53" s="22" t="s">
        <v>151</v>
      </c>
      <c r="L53" s="28" t="s">
        <v>153</v>
      </c>
      <c r="M53" s="163" t="s">
        <v>152</v>
      </c>
      <c r="N53" s="120" t="s">
        <v>187</v>
      </c>
      <c r="O53" s="162" t="s">
        <v>156</v>
      </c>
    </row>
    <row r="54" spans="1:15" x14ac:dyDescent="0.25">
      <c r="A54" s="2">
        <v>20</v>
      </c>
      <c r="B54" s="2">
        <v>1</v>
      </c>
      <c r="C54" s="9">
        <v>100000</v>
      </c>
      <c r="D54" s="2">
        <v>0.5</v>
      </c>
      <c r="E54" s="10">
        <v>100000</v>
      </c>
      <c r="F54">
        <v>0.41732900000000001</v>
      </c>
      <c r="G54">
        <v>0.58267100000000005</v>
      </c>
      <c r="H54">
        <v>1.5593706E-3</v>
      </c>
      <c r="I54" s="9">
        <v>60.12</v>
      </c>
      <c r="J54" s="9">
        <v>4.1900000000000004</v>
      </c>
      <c r="K54" s="160">
        <f>G54-H54</f>
        <v>0.58111162940000005</v>
      </c>
      <c r="L54" s="47">
        <f t="shared" ref="L54:L66" si="26">(1-EXP(-2*D54))/(1-EXP(-4*C54*D54))</f>
        <v>0.63212055882855767</v>
      </c>
      <c r="M54" s="53">
        <f>G54+H54</f>
        <v>0.58423037060000005</v>
      </c>
      <c r="N54" s="58">
        <f t="shared" ref="N54:N66" si="27">L54/G54</f>
        <v>1.0848670327312628</v>
      </c>
      <c r="O54" s="121" t="b">
        <f>AND(L54&gt;=K54,L54&lt;=M54)</f>
        <v>0</v>
      </c>
    </row>
    <row r="55" spans="1:15" x14ac:dyDescent="0.25">
      <c r="A55" s="2">
        <v>20</v>
      </c>
      <c r="B55" s="2">
        <v>2</v>
      </c>
      <c r="C55" s="9">
        <v>100000</v>
      </c>
      <c r="D55" s="2">
        <v>0.4</v>
      </c>
      <c r="E55" s="10">
        <v>100000</v>
      </c>
      <c r="F55">
        <v>0.48881550000000001</v>
      </c>
      <c r="G55">
        <v>0.51118450000000004</v>
      </c>
      <c r="H55">
        <v>1.5807382E-3</v>
      </c>
      <c r="I55" s="9">
        <v>71.67</v>
      </c>
      <c r="J55" s="9">
        <v>5.1100000000000003</v>
      </c>
      <c r="L55" s="47">
        <f t="shared" si="26"/>
        <v>0.55067103588277844</v>
      </c>
      <c r="M55" s="53">
        <f t="shared" ref="M55:M66" si="28">G55+H55</f>
        <v>0.51276523820000008</v>
      </c>
      <c r="N55" s="58">
        <f t="shared" si="27"/>
        <v>1.0772451744581035</v>
      </c>
      <c r="O55" s="121" t="b">
        <f t="shared" ref="O55:O66" si="29">AND(L55&gt;=K55,L55&lt;=M55)</f>
        <v>0</v>
      </c>
    </row>
    <row r="56" spans="1:15" x14ac:dyDescent="0.25">
      <c r="A56" s="2">
        <v>20</v>
      </c>
      <c r="B56" s="2">
        <v>3</v>
      </c>
      <c r="C56" s="9">
        <v>100000</v>
      </c>
      <c r="D56" s="2">
        <v>0.3</v>
      </c>
      <c r="E56" s="10">
        <v>100000</v>
      </c>
      <c r="F56">
        <v>0.57709350000000004</v>
      </c>
      <c r="G56">
        <v>0.42290650000000002</v>
      </c>
      <c r="H56">
        <v>1.5622257E-3</v>
      </c>
      <c r="I56" s="9">
        <v>90.47</v>
      </c>
      <c r="J56" s="9">
        <v>6.62</v>
      </c>
      <c r="L56" s="47">
        <f t="shared" si="26"/>
        <v>0.45118836390597361</v>
      </c>
      <c r="M56" s="53">
        <f t="shared" si="28"/>
        <v>0.42446872569999999</v>
      </c>
      <c r="N56" s="58">
        <f t="shared" si="27"/>
        <v>1.066874980417595</v>
      </c>
      <c r="O56" s="121" t="b">
        <f t="shared" si="29"/>
        <v>0</v>
      </c>
    </row>
    <row r="57" spans="1:15" x14ac:dyDescent="0.25">
      <c r="A57" s="2">
        <v>20</v>
      </c>
      <c r="B57" s="2">
        <v>4</v>
      </c>
      <c r="C57" s="9">
        <v>100000</v>
      </c>
      <c r="D57" s="2">
        <v>0.2</v>
      </c>
      <c r="E57" s="10">
        <v>100000</v>
      </c>
      <c r="F57">
        <v>0.68598899999999996</v>
      </c>
      <c r="G57">
        <v>0.31401099999999998</v>
      </c>
      <c r="H57">
        <v>1.4676731000000001E-3</v>
      </c>
      <c r="I57" s="9">
        <v>126.98</v>
      </c>
      <c r="J57" s="9">
        <v>9.64</v>
      </c>
      <c r="L57" s="47">
        <f t="shared" si="26"/>
        <v>0.32967995396436067</v>
      </c>
      <c r="M57" s="53">
        <f t="shared" si="28"/>
        <v>0.3154786731</v>
      </c>
      <c r="N57" s="58">
        <f t="shared" si="27"/>
        <v>1.0498993792076097</v>
      </c>
      <c r="O57" s="121" t="b">
        <f t="shared" si="29"/>
        <v>0</v>
      </c>
    </row>
    <row r="58" spans="1:15" x14ac:dyDescent="0.25">
      <c r="A58" s="2">
        <v>20</v>
      </c>
      <c r="B58" s="2">
        <v>5</v>
      </c>
      <c r="C58" s="9">
        <v>100000</v>
      </c>
      <c r="D58" s="2">
        <v>0.1</v>
      </c>
      <c r="E58" s="10">
        <v>100000</v>
      </c>
      <c r="F58">
        <v>0.82362449999999998</v>
      </c>
      <c r="G58">
        <v>0.17637549999999999</v>
      </c>
      <c r="H58">
        <v>1.2052599000000001E-3</v>
      </c>
      <c r="I58" s="9">
        <v>231.05</v>
      </c>
      <c r="J58" s="9">
        <v>18.79</v>
      </c>
      <c r="L58" s="47">
        <f t="shared" si="26"/>
        <v>0.18126924692201818</v>
      </c>
      <c r="M58" s="53">
        <f t="shared" si="28"/>
        <v>0.1775807599</v>
      </c>
      <c r="N58" s="58">
        <f t="shared" si="27"/>
        <v>1.0277461831264443</v>
      </c>
      <c r="O58" s="121" t="b">
        <f t="shared" si="29"/>
        <v>0</v>
      </c>
    </row>
    <row r="59" spans="1:15" x14ac:dyDescent="0.25">
      <c r="A59" s="2">
        <v>20</v>
      </c>
      <c r="B59" s="2">
        <v>6</v>
      </c>
      <c r="C59" s="9">
        <v>100000</v>
      </c>
      <c r="D59" s="2">
        <v>0.05</v>
      </c>
      <c r="E59" s="10">
        <v>100000</v>
      </c>
      <c r="F59">
        <v>0.90637400000000001</v>
      </c>
      <c r="G59">
        <v>9.3626000000000001E-2</v>
      </c>
      <c r="H59">
        <v>9.2118090000000005E-4</v>
      </c>
      <c r="I59" s="9">
        <v>425.98</v>
      </c>
      <c r="J59" s="9">
        <v>36.9</v>
      </c>
      <c r="L59" s="47">
        <f t="shared" si="26"/>
        <v>9.5162581964040482E-2</v>
      </c>
      <c r="M59" s="53">
        <f t="shared" si="28"/>
        <v>9.45471809E-2</v>
      </c>
      <c r="N59" s="58">
        <f t="shared" si="27"/>
        <v>1.0164119151094833</v>
      </c>
      <c r="O59" s="121" t="b">
        <f t="shared" si="29"/>
        <v>0</v>
      </c>
    </row>
    <row r="60" spans="1:15" x14ac:dyDescent="0.25">
      <c r="A60" s="2">
        <v>20</v>
      </c>
      <c r="B60" s="2">
        <v>7</v>
      </c>
      <c r="C60" s="9">
        <v>100000</v>
      </c>
      <c r="D60" s="167">
        <v>0.01</v>
      </c>
      <c r="E60" s="176">
        <v>100000</v>
      </c>
      <c r="F60" s="159">
        <v>0.98013150000000004</v>
      </c>
      <c r="G60" s="159">
        <v>1.9868500000000001E-2</v>
      </c>
      <c r="H60" s="159">
        <v>4.4127370000000002E-4</v>
      </c>
      <c r="I60" s="168">
        <v>1779.68</v>
      </c>
      <c r="J60" s="168">
        <v>182.1</v>
      </c>
      <c r="K60" s="159"/>
      <c r="L60" s="134">
        <f t="shared" si="26"/>
        <v>1.9801326693244747E-2</v>
      </c>
      <c r="M60" s="133">
        <f t="shared" si="28"/>
        <v>2.0309773700000002E-2</v>
      </c>
      <c r="N60" s="134">
        <f t="shared" si="27"/>
        <v>0.99661910527944975</v>
      </c>
      <c r="O60" s="132" t="b">
        <f t="shared" si="29"/>
        <v>1</v>
      </c>
    </row>
    <row r="61" spans="1:15" x14ac:dyDescent="0.25">
      <c r="A61" s="2">
        <v>20</v>
      </c>
      <c r="B61" s="2">
        <v>8</v>
      </c>
      <c r="C61" s="9">
        <v>100000</v>
      </c>
      <c r="D61" s="167">
        <v>8.0000000000000002E-3</v>
      </c>
      <c r="E61" s="176">
        <v>100000</v>
      </c>
      <c r="F61" s="159">
        <v>0.98428950000000004</v>
      </c>
      <c r="G61" s="159">
        <v>1.5710499999999999E-2</v>
      </c>
      <c r="H61" s="159">
        <v>3.931947E-4</v>
      </c>
      <c r="I61" s="168">
        <v>2164.9699999999998</v>
      </c>
      <c r="J61" s="168">
        <v>227.8</v>
      </c>
      <c r="K61" s="159"/>
      <c r="L61" s="134">
        <f t="shared" si="26"/>
        <v>1.5872679944714863E-2</v>
      </c>
      <c r="M61" s="133">
        <f t="shared" si="28"/>
        <v>1.6103694699999997E-2</v>
      </c>
      <c r="N61" s="134">
        <f t="shared" si="27"/>
        <v>1.0103230288478955</v>
      </c>
      <c r="O61" s="132" t="b">
        <f t="shared" si="29"/>
        <v>1</v>
      </c>
    </row>
    <row r="62" spans="1:15" x14ac:dyDescent="0.25">
      <c r="A62" s="2">
        <v>20</v>
      </c>
      <c r="B62" s="2">
        <v>9</v>
      </c>
      <c r="C62" s="9">
        <v>100000</v>
      </c>
      <c r="D62" s="167">
        <v>6.0000000000000001E-3</v>
      </c>
      <c r="E62" s="176">
        <v>100000</v>
      </c>
      <c r="F62" s="159">
        <v>0.98800600000000005</v>
      </c>
      <c r="G62" s="159">
        <v>1.1993999999999999E-2</v>
      </c>
      <c r="H62" s="159">
        <v>3.4421480000000002E-4</v>
      </c>
      <c r="I62" s="168">
        <v>2787.32</v>
      </c>
      <c r="J62" s="168">
        <v>300.70999999999998</v>
      </c>
      <c r="K62" s="159"/>
      <c r="L62" s="134">
        <f t="shared" si="26"/>
        <v>1.1928287138069482E-2</v>
      </c>
      <c r="M62" s="133">
        <f t="shared" si="28"/>
        <v>1.2338214799999999E-2</v>
      </c>
      <c r="N62" s="134">
        <f t="shared" si="27"/>
        <v>0.99452118876684026</v>
      </c>
      <c r="O62" s="132" t="b">
        <f t="shared" si="29"/>
        <v>1</v>
      </c>
    </row>
    <row r="63" spans="1:15" x14ac:dyDescent="0.25">
      <c r="A63" s="2">
        <v>20</v>
      </c>
      <c r="B63" s="2">
        <v>10</v>
      </c>
      <c r="C63" s="9">
        <v>100000</v>
      </c>
      <c r="D63" s="167">
        <v>4.0000000000000001E-3</v>
      </c>
      <c r="E63" s="176">
        <v>100000</v>
      </c>
      <c r="F63" s="159">
        <v>0.9919675</v>
      </c>
      <c r="G63" s="159">
        <v>8.0324999999999997E-3</v>
      </c>
      <c r="H63" s="159">
        <v>2.8224199999999999E-4</v>
      </c>
      <c r="I63" s="168">
        <v>3978.22</v>
      </c>
      <c r="J63" s="168">
        <v>455.12</v>
      </c>
      <c r="K63" s="159"/>
      <c r="L63" s="134">
        <f t="shared" si="26"/>
        <v>7.9680851629393423E-3</v>
      </c>
      <c r="M63" s="133">
        <f t="shared" si="28"/>
        <v>8.314742E-3</v>
      </c>
      <c r="N63" s="134">
        <f t="shared" si="27"/>
        <v>0.99198072367747803</v>
      </c>
      <c r="O63" s="132" t="b">
        <f t="shared" si="29"/>
        <v>1</v>
      </c>
    </row>
    <row r="64" spans="1:15" x14ac:dyDescent="0.25">
      <c r="A64" s="2">
        <v>20</v>
      </c>
      <c r="B64" s="2">
        <v>11</v>
      </c>
      <c r="C64" s="9">
        <v>100000</v>
      </c>
      <c r="D64" s="167">
        <v>2E-3</v>
      </c>
      <c r="E64" s="176">
        <v>100000</v>
      </c>
      <c r="F64" s="159">
        <v>0.99608200000000002</v>
      </c>
      <c r="G64" s="159">
        <v>3.9179999999999996E-3</v>
      </c>
      <c r="H64" s="159">
        <v>1.9746229999999999E-4</v>
      </c>
      <c r="I64" s="168">
        <v>7265.13</v>
      </c>
      <c r="J64" s="168">
        <v>905.1</v>
      </c>
      <c r="K64" s="159"/>
      <c r="L64" s="134">
        <f t="shared" si="26"/>
        <v>3.9920106560085156E-3</v>
      </c>
      <c r="M64" s="133">
        <f t="shared" si="28"/>
        <v>4.1154623E-3</v>
      </c>
      <c r="N64" s="134">
        <f t="shared" si="27"/>
        <v>1.0188899070976305</v>
      </c>
      <c r="O64" s="132" t="b">
        <f t="shared" si="29"/>
        <v>1</v>
      </c>
    </row>
    <row r="65" spans="1:15" x14ac:dyDescent="0.25">
      <c r="A65" s="2">
        <v>20</v>
      </c>
      <c r="B65" s="2">
        <v>12</v>
      </c>
      <c r="C65" s="9">
        <v>100000</v>
      </c>
      <c r="D65" s="167">
        <v>1E-3</v>
      </c>
      <c r="E65" s="176">
        <v>100000</v>
      </c>
      <c r="F65" s="159">
        <v>0.99804700000000002</v>
      </c>
      <c r="G65" s="159">
        <v>1.9530000000000001E-3</v>
      </c>
      <c r="H65" s="159">
        <v>1.3953619999999999E-4</v>
      </c>
      <c r="I65" s="168">
        <v>13098.19</v>
      </c>
      <c r="J65" s="168">
        <v>1827.75</v>
      </c>
      <c r="K65" s="159"/>
      <c r="L65" s="134">
        <f t="shared" si="26"/>
        <v>1.998001332666921E-3</v>
      </c>
      <c r="M65" s="133">
        <f t="shared" si="28"/>
        <v>2.0925361999999999E-3</v>
      </c>
      <c r="N65" s="134">
        <f t="shared" si="27"/>
        <v>1.0230421570235131</v>
      </c>
      <c r="O65" s="132" t="b">
        <f t="shared" si="29"/>
        <v>1</v>
      </c>
    </row>
    <row r="66" spans="1:15" x14ac:dyDescent="0.25">
      <c r="A66" s="2">
        <v>20</v>
      </c>
      <c r="B66" s="2">
        <v>13</v>
      </c>
      <c r="C66" s="9">
        <v>100000</v>
      </c>
      <c r="D66" s="167">
        <v>1E-4</v>
      </c>
      <c r="E66" s="176">
        <v>100000</v>
      </c>
      <c r="F66" s="159">
        <v>0.99980449999999998</v>
      </c>
      <c r="G66" s="159">
        <v>1.9550000000000001E-4</v>
      </c>
      <c r="H66" s="159">
        <v>4.3763600000000002E-5</v>
      </c>
      <c r="I66" s="168">
        <v>83702.11</v>
      </c>
      <c r="J66" s="168">
        <v>17952.87</v>
      </c>
      <c r="K66" s="159"/>
      <c r="L66" s="134">
        <f t="shared" si="26"/>
        <v>1.9998000133325533E-4</v>
      </c>
      <c r="M66" s="133">
        <f t="shared" si="28"/>
        <v>2.3926360000000002E-4</v>
      </c>
      <c r="N66" s="134">
        <f t="shared" si="27"/>
        <v>1.0229156078427382</v>
      </c>
      <c r="O66" s="132" t="b">
        <f t="shared" si="29"/>
        <v>1</v>
      </c>
    </row>
    <row r="67" spans="1:15" x14ac:dyDescent="0.25">
      <c r="A67" s="2">
        <v>20</v>
      </c>
      <c r="B67" s="2">
        <v>14</v>
      </c>
      <c r="C67" s="9">
        <v>100000</v>
      </c>
      <c r="D67" s="46">
        <v>1.0000000000000001E-5</v>
      </c>
      <c r="E67" s="10">
        <v>100000</v>
      </c>
      <c r="F67">
        <v>0.99997849999999999</v>
      </c>
      <c r="G67">
        <v>2.1500000000000001E-5</v>
      </c>
      <c r="H67">
        <v>1.3920999999999999E-5</v>
      </c>
      <c r="I67" s="9" t="s">
        <v>12</v>
      </c>
      <c r="J67" s="9" t="s">
        <v>12</v>
      </c>
    </row>
    <row r="68" spans="1:15" x14ac:dyDescent="0.25">
      <c r="A68" s="2">
        <v>20</v>
      </c>
      <c r="B68" s="2">
        <v>15</v>
      </c>
      <c r="C68" s="9">
        <v>100000</v>
      </c>
      <c r="D68" s="2">
        <v>0</v>
      </c>
      <c r="E68" s="10">
        <v>100000</v>
      </c>
      <c r="F68">
        <v>0.99999450000000001</v>
      </c>
      <c r="G68">
        <v>5.4999999999999999E-6</v>
      </c>
      <c r="H68">
        <v>4.9142000000000003E-6</v>
      </c>
      <c r="I68" s="9" t="s">
        <v>12</v>
      </c>
      <c r="J68" s="9" t="s">
        <v>12</v>
      </c>
    </row>
    <row r="69" spans="1:15" x14ac:dyDescent="0.25">
      <c r="D69" s="2">
        <v>0</v>
      </c>
      <c r="G69">
        <f>1/(2*100000)</f>
        <v>5.0000000000000004E-6</v>
      </c>
      <c r="I69" s="9">
        <f>400000</f>
        <v>400000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B60E9-DB8F-4A6C-901C-9369434880A0}">
  <dimension ref="A1:R44"/>
  <sheetViews>
    <sheetView showGridLines="0" zoomScaleNormal="100" workbookViewId="0">
      <selection activeCell="I25" sqref="I25:J25"/>
    </sheetView>
  </sheetViews>
  <sheetFormatPr defaultColWidth="9.140625" defaultRowHeight="15" x14ac:dyDescent="0.25"/>
  <cols>
    <col min="1" max="1" width="5.28515625" style="2" bestFit="1" customWidth="1"/>
    <col min="2" max="2" width="5.140625" style="2" customWidth="1"/>
    <col min="3" max="3" width="10.28515625" style="9" customWidth="1"/>
    <col min="4" max="4" width="10.7109375" style="2" customWidth="1"/>
    <col min="5" max="5" width="10.42578125" style="10" customWidth="1"/>
    <col min="7" max="7" width="11.85546875" style="114" customWidth="1"/>
    <col min="8" max="8" width="12.7109375" customWidth="1"/>
    <col min="9" max="9" width="10.140625" style="10" bestFit="1" customWidth="1"/>
    <col min="10" max="10" width="10.42578125" style="61" bestFit="1" customWidth="1"/>
    <col min="11" max="11" width="10.28515625" style="2" customWidth="1"/>
    <col min="12" max="12" width="8.5703125" style="183" bestFit="1" customWidth="1"/>
    <col min="13" max="13" width="10.5703125" style="111" customWidth="1"/>
    <col min="14" max="14" width="21.7109375" style="95" customWidth="1"/>
    <col min="15" max="15" width="10.140625" style="95" bestFit="1" customWidth="1"/>
    <col min="16" max="16" width="14.85546875" style="95" customWidth="1"/>
  </cols>
  <sheetData>
    <row r="1" spans="1:18" ht="34.5" customHeight="1" x14ac:dyDescent="0.25">
      <c r="A1" s="8"/>
      <c r="B1" s="8" t="s">
        <v>52</v>
      </c>
      <c r="E1" s="60" t="s">
        <v>53</v>
      </c>
    </row>
    <row r="2" spans="1:18" ht="30" x14ac:dyDescent="0.25">
      <c r="A2" s="11" t="s">
        <v>0</v>
      </c>
      <c r="B2" s="11" t="s">
        <v>10</v>
      </c>
      <c r="C2" s="33" t="s">
        <v>11</v>
      </c>
      <c r="D2" s="11" t="s">
        <v>9</v>
      </c>
      <c r="E2" s="33" t="s">
        <v>3</v>
      </c>
      <c r="F2" s="22" t="s">
        <v>29</v>
      </c>
      <c r="G2" s="115" t="s">
        <v>27</v>
      </c>
      <c r="H2" s="54" t="s">
        <v>28</v>
      </c>
      <c r="I2" s="33" t="s">
        <v>25</v>
      </c>
      <c r="J2" s="16" t="s">
        <v>26</v>
      </c>
      <c r="K2" s="22" t="s">
        <v>151</v>
      </c>
      <c r="L2" s="112" t="s">
        <v>153</v>
      </c>
      <c r="M2" s="163" t="s">
        <v>152</v>
      </c>
      <c r="N2" s="120" t="s">
        <v>187</v>
      </c>
      <c r="O2" s="22" t="s">
        <v>173</v>
      </c>
      <c r="P2" s="162" t="s">
        <v>156</v>
      </c>
    </row>
    <row r="3" spans="1:18" x14ac:dyDescent="0.25">
      <c r="A3" s="11">
        <v>20</v>
      </c>
      <c r="B3" s="11">
        <v>1</v>
      </c>
      <c r="C3" s="249">
        <v>1000000</v>
      </c>
      <c r="D3" s="136">
        <v>1</v>
      </c>
      <c r="E3" s="252">
        <v>10000000</v>
      </c>
      <c r="F3" s="163">
        <v>0.20324400000000001</v>
      </c>
      <c r="G3" s="331">
        <v>0.79675600999999996</v>
      </c>
      <c r="H3" s="332">
        <v>1.2725400000000001E-4</v>
      </c>
      <c r="I3" s="333">
        <v>42.78</v>
      </c>
      <c r="J3" s="16">
        <v>2.35</v>
      </c>
      <c r="K3" s="53">
        <f>G3-H3</f>
        <v>0.79662875599999994</v>
      </c>
      <c r="L3" s="184">
        <f>(1-EXP(-2*D3))/(1-EXP(-4*C3*D3))</f>
        <v>0.8646647167633873</v>
      </c>
      <c r="M3" s="53">
        <f>G3+H3</f>
        <v>0.79688326399999998</v>
      </c>
      <c r="N3" s="121">
        <f>L3/G3</f>
        <v>1.0852314961055485</v>
      </c>
      <c r="O3" s="53">
        <f>1 - EXP(-2*D3)</f>
        <v>0.8646647167633873</v>
      </c>
      <c r="P3" s="121" t="b">
        <f>AND(L3&gt;=K3,L3&lt;=M3)</f>
        <v>0</v>
      </c>
    </row>
    <row r="4" spans="1:18" x14ac:dyDescent="0.25">
      <c r="A4" s="11">
        <v>20</v>
      </c>
      <c r="B4" s="11">
        <v>2</v>
      </c>
      <c r="C4" s="249">
        <v>1000000</v>
      </c>
      <c r="D4" s="136">
        <v>0.9</v>
      </c>
      <c r="E4" s="252">
        <v>10000000</v>
      </c>
      <c r="F4" s="163">
        <v>0.23276980999999999</v>
      </c>
      <c r="G4" s="331">
        <v>0.76723017999999998</v>
      </c>
      <c r="H4" s="332">
        <v>1.3363679999999999E-4</v>
      </c>
      <c r="I4" s="333">
        <v>46.06</v>
      </c>
      <c r="J4" s="16">
        <v>2.56</v>
      </c>
      <c r="K4" s="53">
        <f t="shared" ref="K4:K7" si="0">G4-H4</f>
        <v>0.76709654319999998</v>
      </c>
      <c r="L4" s="184">
        <f t="shared" ref="L4:L7" si="1">(1-EXP(-2*D4))/(1-EXP(-4*C4*D4))</f>
        <v>0.83470111177841344</v>
      </c>
      <c r="M4" s="53">
        <f t="shared" ref="M4:M7" si="2">G4+H4</f>
        <v>0.76736381679999999</v>
      </c>
      <c r="N4" s="121">
        <f t="shared" ref="N4:N7" si="3">L4/G4</f>
        <v>1.0879409250798939</v>
      </c>
      <c r="O4" s="53">
        <f t="shared" ref="O4:O7" si="4">1 - EXP(-2*D4)</f>
        <v>0.83470111177841344</v>
      </c>
      <c r="P4" s="121" t="b">
        <f t="shared" ref="P4:P7" si="5">AND(L4&gt;=K4,L4&lt;=M4)</f>
        <v>0</v>
      </c>
    </row>
    <row r="5" spans="1:18" x14ac:dyDescent="0.25">
      <c r="A5" s="11">
        <v>20</v>
      </c>
      <c r="B5" s="11">
        <v>3</v>
      </c>
      <c r="C5" s="249">
        <v>1000000</v>
      </c>
      <c r="D5" s="136">
        <v>0.8</v>
      </c>
      <c r="E5" s="252">
        <v>10000000</v>
      </c>
      <c r="F5" s="163">
        <v>0.26758556999999999</v>
      </c>
      <c r="G5" s="331">
        <v>0.73241442000000001</v>
      </c>
      <c r="H5" s="332">
        <v>1.3999410000000001E-4</v>
      </c>
      <c r="I5" s="333">
        <v>50.13</v>
      </c>
      <c r="J5" s="16">
        <v>2.81</v>
      </c>
      <c r="K5" s="53">
        <f t="shared" si="0"/>
        <v>0.73227442590000003</v>
      </c>
      <c r="L5" s="184">
        <f t="shared" si="1"/>
        <v>0.79810348200534464</v>
      </c>
      <c r="M5" s="53">
        <f t="shared" si="2"/>
        <v>0.7325544141</v>
      </c>
      <c r="N5" s="121">
        <f t="shared" si="3"/>
        <v>1.089688378889843</v>
      </c>
      <c r="O5" s="53">
        <f t="shared" si="4"/>
        <v>0.79810348200534464</v>
      </c>
      <c r="P5" s="121" t="b">
        <f t="shared" si="5"/>
        <v>0</v>
      </c>
    </row>
    <row r="6" spans="1:18" x14ac:dyDescent="0.25">
      <c r="A6" s="11">
        <v>20</v>
      </c>
      <c r="B6" s="11">
        <v>4</v>
      </c>
      <c r="C6" s="249">
        <v>1000000</v>
      </c>
      <c r="D6" s="136">
        <v>0.7</v>
      </c>
      <c r="E6" s="252">
        <v>10000000</v>
      </c>
      <c r="F6" s="163">
        <v>0.30880861999999998</v>
      </c>
      <c r="G6" s="331">
        <v>0.69119138000000002</v>
      </c>
      <c r="H6" s="332">
        <v>1.4609789999999999E-4</v>
      </c>
      <c r="I6" s="333">
        <v>55.29</v>
      </c>
      <c r="J6" s="16">
        <v>3.14</v>
      </c>
      <c r="K6" s="53">
        <f t="shared" si="0"/>
        <v>0.69104528210000005</v>
      </c>
      <c r="L6" s="184">
        <f t="shared" si="1"/>
        <v>0.75340303605839354</v>
      </c>
      <c r="M6" s="53">
        <f t="shared" si="2"/>
        <v>0.6913374779</v>
      </c>
      <c r="N6" s="121">
        <f t="shared" si="3"/>
        <v>1.09000641191213</v>
      </c>
      <c r="O6" s="53">
        <f t="shared" si="4"/>
        <v>0.75340303605839354</v>
      </c>
      <c r="P6" s="121" t="b">
        <f t="shared" si="5"/>
        <v>0</v>
      </c>
    </row>
    <row r="7" spans="1:18" x14ac:dyDescent="0.25">
      <c r="A7" s="11">
        <v>20</v>
      </c>
      <c r="B7" s="11">
        <v>5</v>
      </c>
      <c r="C7" s="249">
        <v>1000000</v>
      </c>
      <c r="D7" s="136">
        <v>0.6</v>
      </c>
      <c r="E7" s="252">
        <v>10000000</v>
      </c>
      <c r="F7" s="163">
        <v>0.35798737000000003</v>
      </c>
      <c r="G7" s="331">
        <v>0.64201262999999997</v>
      </c>
      <c r="H7" s="332">
        <v>1.5160219999999999E-4</v>
      </c>
      <c r="I7" s="333">
        <v>62.09</v>
      </c>
      <c r="J7" s="16">
        <v>3.58</v>
      </c>
      <c r="K7" s="53">
        <f t="shared" si="0"/>
        <v>0.64186102779999998</v>
      </c>
      <c r="L7" s="184">
        <f t="shared" si="1"/>
        <v>0.69880578808779781</v>
      </c>
      <c r="M7" s="53">
        <f t="shared" si="2"/>
        <v>0.64216423219999996</v>
      </c>
      <c r="N7" s="121">
        <f t="shared" si="3"/>
        <v>1.0884611227785315</v>
      </c>
      <c r="O7" s="53">
        <f t="shared" si="4"/>
        <v>0.69880578808779781</v>
      </c>
      <c r="P7" s="121" t="b">
        <f t="shared" si="5"/>
        <v>0</v>
      </c>
    </row>
    <row r="8" spans="1:18" x14ac:dyDescent="0.25">
      <c r="A8" s="19">
        <v>20</v>
      </c>
      <c r="B8" s="19">
        <v>1</v>
      </c>
      <c r="C8" s="34">
        <v>1000000</v>
      </c>
      <c r="D8" s="19">
        <v>0.5</v>
      </c>
      <c r="E8" s="116">
        <v>10000000</v>
      </c>
      <c r="F8" s="105">
        <v>0.41716049999999999</v>
      </c>
      <c r="G8" s="128">
        <v>0.58283949999999995</v>
      </c>
      <c r="H8" s="105">
        <v>1.559287E-4</v>
      </c>
      <c r="I8" s="116">
        <v>71.48</v>
      </c>
      <c r="J8" s="181">
        <v>4.1900000000000004</v>
      </c>
      <c r="K8" s="53">
        <f>G8-H8</f>
        <v>0.58268357129999993</v>
      </c>
      <c r="L8" s="184">
        <f>(1-EXP(-2*D8))/(1-EXP(-4*C8*D8))</f>
        <v>0.63212055882855767</v>
      </c>
      <c r="M8" s="53">
        <f>G8+H8</f>
        <v>0.58299542869999998</v>
      </c>
      <c r="N8" s="121">
        <f>L8/G8</f>
        <v>1.084553395623594</v>
      </c>
      <c r="O8" s="53">
        <f>1 - EXP(-2*D8)</f>
        <v>0.63212055882855767</v>
      </c>
      <c r="P8" s="121" t="b">
        <f>AND(L8&gt;=K8,L8&lt;=M8)</f>
        <v>0</v>
      </c>
    </row>
    <row r="9" spans="1:18" x14ac:dyDescent="0.25">
      <c r="A9" s="19">
        <v>20</v>
      </c>
      <c r="B9" s="19">
        <v>2</v>
      </c>
      <c r="C9" s="34">
        <v>1000000</v>
      </c>
      <c r="D9" s="19">
        <v>0.4</v>
      </c>
      <c r="E9" s="116">
        <v>10000000</v>
      </c>
      <c r="F9" s="105">
        <v>0.48899520000000002</v>
      </c>
      <c r="G9" s="128">
        <v>0.51100480000000004</v>
      </c>
      <c r="H9" s="105">
        <v>1.5807559999999999E-4</v>
      </c>
      <c r="I9" s="116">
        <v>85.35</v>
      </c>
      <c r="J9" s="181">
        <v>5.0999999999999996</v>
      </c>
      <c r="K9" s="53">
        <f t="shared" ref="K9:K25" si="6">G9-H9</f>
        <v>0.51084672440000001</v>
      </c>
      <c r="L9" s="184">
        <f t="shared" ref="L9:L20" si="7">(1-EXP(-2*D9))/(1-EXP(-4*C9*D9))</f>
        <v>0.55067103588277844</v>
      </c>
      <c r="M9" s="53">
        <f t="shared" ref="M9:M25" si="8">G9+H9</f>
        <v>0.51116287560000007</v>
      </c>
      <c r="N9" s="121">
        <f t="shared" ref="N9:N20" si="9">L9/G9</f>
        <v>1.0776239986058416</v>
      </c>
      <c r="O9" s="53">
        <f t="shared" ref="O9:O22" si="10">1 - EXP(-2*D9)</f>
        <v>0.55067103588277844</v>
      </c>
      <c r="P9" s="121" t="b">
        <f t="shared" ref="P9:P25" si="11">AND(L9&gt;=K9,L9&lt;=M9)</f>
        <v>0</v>
      </c>
    </row>
    <row r="10" spans="1:18" x14ac:dyDescent="0.25">
      <c r="A10" s="19">
        <v>20</v>
      </c>
      <c r="B10" s="19">
        <v>3</v>
      </c>
      <c r="C10" s="34">
        <v>1000000</v>
      </c>
      <c r="D10" s="19">
        <v>0.3</v>
      </c>
      <c r="E10" s="116">
        <v>10000000</v>
      </c>
      <c r="F10" s="105">
        <v>0.57707794999999995</v>
      </c>
      <c r="G10" s="128">
        <v>0.42292204999999999</v>
      </c>
      <c r="H10" s="105">
        <v>1.5622389999999999E-4</v>
      </c>
      <c r="I10" s="116">
        <v>108.03</v>
      </c>
      <c r="J10" s="181">
        <v>6.62</v>
      </c>
      <c r="K10" s="53">
        <f t="shared" si="6"/>
        <v>0.42276582610000002</v>
      </c>
      <c r="L10" s="184">
        <f t="shared" si="7"/>
        <v>0.45118836390597361</v>
      </c>
      <c r="M10" s="53">
        <f t="shared" si="8"/>
        <v>0.42307827389999997</v>
      </c>
      <c r="N10" s="121">
        <f t="shared" si="9"/>
        <v>1.0668357535531041</v>
      </c>
      <c r="O10" s="53">
        <f t="shared" si="10"/>
        <v>0.45118836390597361</v>
      </c>
      <c r="P10" s="121" t="b">
        <f t="shared" si="11"/>
        <v>0</v>
      </c>
    </row>
    <row r="11" spans="1:18" x14ac:dyDescent="0.25">
      <c r="A11" s="19">
        <v>20</v>
      </c>
      <c r="B11" s="19">
        <v>4</v>
      </c>
      <c r="C11" s="34">
        <v>1000000</v>
      </c>
      <c r="D11" s="19">
        <v>0.2</v>
      </c>
      <c r="E11" s="116">
        <v>10000000</v>
      </c>
      <c r="F11" s="105">
        <v>0.68630659999999999</v>
      </c>
      <c r="G11" s="128">
        <v>0.31369340000000001</v>
      </c>
      <c r="H11" s="105">
        <v>1.4672759999999999E-4</v>
      </c>
      <c r="I11" s="116">
        <v>152.24</v>
      </c>
      <c r="J11" s="181">
        <v>9.66</v>
      </c>
      <c r="K11" s="53">
        <f t="shared" si="6"/>
        <v>0.3135466724</v>
      </c>
      <c r="L11" s="184">
        <f t="shared" si="7"/>
        <v>0.32967995396436067</v>
      </c>
      <c r="M11" s="53">
        <f t="shared" si="8"/>
        <v>0.31384012760000002</v>
      </c>
      <c r="N11" s="121">
        <f t="shared" si="9"/>
        <v>1.0509623535731407</v>
      </c>
      <c r="O11" s="53">
        <f t="shared" si="10"/>
        <v>0.32967995396436067</v>
      </c>
      <c r="P11" s="121" t="b">
        <f t="shared" si="11"/>
        <v>0</v>
      </c>
    </row>
    <row r="12" spans="1:18" x14ac:dyDescent="0.25">
      <c r="A12" s="19">
        <v>20</v>
      </c>
      <c r="B12" s="19">
        <v>5</v>
      </c>
      <c r="C12" s="34">
        <v>1000000</v>
      </c>
      <c r="D12" s="19">
        <v>0.1</v>
      </c>
      <c r="E12" s="116">
        <v>10000000</v>
      </c>
      <c r="F12" s="105">
        <v>0.82388919999999999</v>
      </c>
      <c r="G12" s="128">
        <v>0.17611080000000001</v>
      </c>
      <c r="H12" s="105">
        <v>1.2045570000000001E-4</v>
      </c>
      <c r="I12" s="116">
        <v>279.38</v>
      </c>
      <c r="J12" s="181">
        <v>18.73</v>
      </c>
      <c r="K12" s="53">
        <f t="shared" si="6"/>
        <v>0.17599034430000002</v>
      </c>
      <c r="L12" s="184">
        <f t="shared" si="7"/>
        <v>0.18126924692201818</v>
      </c>
      <c r="M12" s="53">
        <f t="shared" si="8"/>
        <v>0.17623125570000001</v>
      </c>
      <c r="N12" s="121">
        <f t="shared" si="9"/>
        <v>1.0292909175474654</v>
      </c>
      <c r="O12" s="53">
        <f t="shared" si="10"/>
        <v>0.18126924692201818</v>
      </c>
      <c r="P12" s="121" t="b">
        <f t="shared" si="11"/>
        <v>0</v>
      </c>
    </row>
    <row r="13" spans="1:18" x14ac:dyDescent="0.25">
      <c r="A13" s="19">
        <v>20</v>
      </c>
      <c r="B13" s="19">
        <v>6</v>
      </c>
      <c r="C13" s="34">
        <v>1000000</v>
      </c>
      <c r="D13" s="19">
        <v>0.05</v>
      </c>
      <c r="E13" s="116">
        <v>10000000</v>
      </c>
      <c r="F13" s="105">
        <v>0.90633419000000004</v>
      </c>
      <c r="G13" s="128">
        <v>9.3665819999999997E-2</v>
      </c>
      <c r="H13" s="105">
        <v>9.2137099999999996E-5</v>
      </c>
      <c r="I13" s="116">
        <v>520.36</v>
      </c>
      <c r="J13" s="181">
        <v>36.869999999999997</v>
      </c>
      <c r="K13" s="53">
        <f t="shared" si="6"/>
        <v>9.3573682899999996E-2</v>
      </c>
      <c r="L13" s="184">
        <f t="shared" si="7"/>
        <v>9.5162581964040482E-2</v>
      </c>
      <c r="M13" s="53">
        <f t="shared" si="8"/>
        <v>9.3757957099999997E-2</v>
      </c>
      <c r="N13" s="121">
        <f t="shared" si="9"/>
        <v>1.0159798095403476</v>
      </c>
      <c r="O13" s="53">
        <f t="shared" si="10"/>
        <v>9.5162581964040482E-2</v>
      </c>
      <c r="P13" s="121" t="b">
        <f t="shared" si="11"/>
        <v>0</v>
      </c>
    </row>
    <row r="14" spans="1:18" x14ac:dyDescent="0.25">
      <c r="A14" s="19">
        <v>20</v>
      </c>
      <c r="B14" s="19">
        <v>7</v>
      </c>
      <c r="C14" s="34">
        <v>1000000</v>
      </c>
      <c r="D14" s="187">
        <v>0.01</v>
      </c>
      <c r="E14" s="177">
        <v>10000000</v>
      </c>
      <c r="F14" s="129">
        <v>0.98025300000000004</v>
      </c>
      <c r="G14" s="131">
        <v>1.9747009999999999E-2</v>
      </c>
      <c r="H14" s="129">
        <v>4.3996599999999998E-5</v>
      </c>
      <c r="I14" s="177">
        <v>2241.77</v>
      </c>
      <c r="J14" s="182">
        <v>182.1</v>
      </c>
      <c r="K14" s="133">
        <f t="shared" si="6"/>
        <v>1.97030134E-2</v>
      </c>
      <c r="L14" s="185">
        <f t="shared" si="7"/>
        <v>1.9801326693244747E-2</v>
      </c>
      <c r="M14" s="133">
        <f t="shared" si="8"/>
        <v>1.9791006599999997E-2</v>
      </c>
      <c r="N14" s="132">
        <f t="shared" si="9"/>
        <v>1.0027506287404901</v>
      </c>
      <c r="O14" s="53">
        <f t="shared" si="10"/>
        <v>1.9801326693244747E-2</v>
      </c>
      <c r="P14" s="132" t="b">
        <f t="shared" si="11"/>
        <v>0</v>
      </c>
      <c r="R14" s="345" t="s">
        <v>186</v>
      </c>
    </row>
    <row r="15" spans="1:18" x14ac:dyDescent="0.25">
      <c r="A15" s="19">
        <v>20</v>
      </c>
      <c r="B15" s="19">
        <v>8</v>
      </c>
      <c r="C15" s="34">
        <v>1000000</v>
      </c>
      <c r="D15" s="130">
        <v>8.0000000000000002E-3</v>
      </c>
      <c r="E15" s="177">
        <v>10000000</v>
      </c>
      <c r="F15" s="129">
        <v>0.98416868999999996</v>
      </c>
      <c r="G15" s="131">
        <v>1.5831310000000001E-2</v>
      </c>
      <c r="H15" s="129">
        <v>3.9472299999999998E-5</v>
      </c>
      <c r="I15" s="177">
        <v>2744.55</v>
      </c>
      <c r="J15" s="182">
        <v>227.5</v>
      </c>
      <c r="K15" s="133">
        <f t="shared" si="6"/>
        <v>1.5791837700000002E-2</v>
      </c>
      <c r="L15" s="185">
        <f t="shared" si="7"/>
        <v>1.5872679944714863E-2</v>
      </c>
      <c r="M15" s="133">
        <f t="shared" si="8"/>
        <v>1.58707823E-2</v>
      </c>
      <c r="N15" s="132">
        <f t="shared" si="9"/>
        <v>1.0026131725495149</v>
      </c>
      <c r="O15" s="53">
        <f t="shared" si="10"/>
        <v>1.5872679944714863E-2</v>
      </c>
      <c r="P15" s="132" t="b">
        <f t="shared" si="11"/>
        <v>0</v>
      </c>
    </row>
    <row r="16" spans="1:18" x14ac:dyDescent="0.25">
      <c r="A16" s="19">
        <v>20</v>
      </c>
      <c r="B16" s="19">
        <v>9</v>
      </c>
      <c r="C16" s="34">
        <v>1000000</v>
      </c>
      <c r="D16" s="130">
        <v>6.0000000000000001E-3</v>
      </c>
      <c r="E16" s="177">
        <v>10000000</v>
      </c>
      <c r="F16" s="129">
        <v>0.98809641000000004</v>
      </c>
      <c r="G16" s="131">
        <v>1.190359E-2</v>
      </c>
      <c r="H16" s="129">
        <v>3.4295599999999997E-5</v>
      </c>
      <c r="I16" s="177">
        <v>3560.73</v>
      </c>
      <c r="J16" s="182">
        <v>303.05</v>
      </c>
      <c r="K16" s="133">
        <f t="shared" si="6"/>
        <v>1.1869294400000001E-2</v>
      </c>
      <c r="L16" s="185">
        <f t="shared" si="7"/>
        <v>1.1928287138069482E-2</v>
      </c>
      <c r="M16" s="133">
        <f t="shared" si="8"/>
        <v>1.19378856E-2</v>
      </c>
      <c r="N16" s="132">
        <f t="shared" si="9"/>
        <v>1.0020747638375886</v>
      </c>
      <c r="O16" s="53">
        <f t="shared" si="10"/>
        <v>1.1928287138069482E-2</v>
      </c>
      <c r="P16" s="132" t="b">
        <f t="shared" si="11"/>
        <v>1</v>
      </c>
    </row>
    <row r="17" spans="1:16" x14ac:dyDescent="0.25">
      <c r="A17" s="19">
        <v>20</v>
      </c>
      <c r="B17" s="19">
        <v>10</v>
      </c>
      <c r="C17" s="34">
        <v>1000000</v>
      </c>
      <c r="D17" s="130">
        <v>4.0000000000000001E-3</v>
      </c>
      <c r="E17" s="177">
        <v>10000000</v>
      </c>
      <c r="F17" s="129">
        <v>0.99203792000000002</v>
      </c>
      <c r="G17" s="131">
        <v>7.9620799999999999E-3</v>
      </c>
      <c r="H17" s="129">
        <v>2.8104599999999999E-5</v>
      </c>
      <c r="I17" s="177">
        <v>5134.9399999999996</v>
      </c>
      <c r="J17" s="182">
        <v>454.55</v>
      </c>
      <c r="K17" s="133">
        <f t="shared" si="6"/>
        <v>7.9339753999999995E-3</v>
      </c>
      <c r="L17" s="185">
        <f t="shared" si="7"/>
        <v>7.9680851629393423E-3</v>
      </c>
      <c r="M17" s="133">
        <f t="shared" si="8"/>
        <v>7.9901846000000002E-3</v>
      </c>
      <c r="N17" s="132">
        <f t="shared" si="9"/>
        <v>1.000754220371981</v>
      </c>
      <c r="O17" s="53">
        <f t="shared" si="10"/>
        <v>7.9680851629393423E-3</v>
      </c>
      <c r="P17" s="132" t="b">
        <f t="shared" si="11"/>
        <v>1</v>
      </c>
    </row>
    <row r="18" spans="1:16" x14ac:dyDescent="0.25">
      <c r="A18" s="19">
        <v>20</v>
      </c>
      <c r="B18" s="19">
        <v>11</v>
      </c>
      <c r="C18" s="34">
        <v>1000000</v>
      </c>
      <c r="D18" s="130">
        <v>2E-3</v>
      </c>
      <c r="E18" s="177">
        <v>10000000</v>
      </c>
      <c r="F18" s="129">
        <v>0.99601812000000001</v>
      </c>
      <c r="G18" s="131">
        <v>3.9818800000000001E-3</v>
      </c>
      <c r="H18" s="129">
        <v>1.9914800000000001E-5</v>
      </c>
      <c r="I18" s="177">
        <v>9568.56</v>
      </c>
      <c r="J18" s="182">
        <v>909.38</v>
      </c>
      <c r="K18" s="133">
        <f t="shared" si="6"/>
        <v>3.9619652000000005E-3</v>
      </c>
      <c r="L18" s="185">
        <f t="shared" si="7"/>
        <v>3.9920106560085156E-3</v>
      </c>
      <c r="M18" s="133">
        <f t="shared" si="8"/>
        <v>4.0017947999999998E-3</v>
      </c>
      <c r="N18" s="132">
        <f t="shared" si="9"/>
        <v>1.0025441891791103</v>
      </c>
      <c r="O18" s="53">
        <f t="shared" si="10"/>
        <v>3.9920106560085156E-3</v>
      </c>
      <c r="P18" s="132" t="b">
        <f t="shared" si="11"/>
        <v>1</v>
      </c>
    </row>
    <row r="19" spans="1:16" x14ac:dyDescent="0.25">
      <c r="A19" s="19">
        <v>20</v>
      </c>
      <c r="B19" s="19">
        <v>12</v>
      </c>
      <c r="C19" s="34">
        <v>1000000</v>
      </c>
      <c r="D19" s="187">
        <v>1E-3</v>
      </c>
      <c r="E19" s="177">
        <v>10000000</v>
      </c>
      <c r="F19" s="129">
        <v>0.99800756000000002</v>
      </c>
      <c r="G19" s="131">
        <v>1.9924399999999998E-3</v>
      </c>
      <c r="H19" s="129">
        <v>1.41013E-5</v>
      </c>
      <c r="I19" s="177">
        <v>17745.41</v>
      </c>
      <c r="J19" s="182">
        <v>1822.72</v>
      </c>
      <c r="K19" s="133">
        <f t="shared" si="6"/>
        <v>1.9783386999999999E-3</v>
      </c>
      <c r="L19" s="185">
        <f t="shared" si="7"/>
        <v>1.998001332666921E-3</v>
      </c>
      <c r="M19" s="133">
        <f t="shared" si="8"/>
        <v>2.0065412999999998E-3</v>
      </c>
      <c r="N19" s="132">
        <f t="shared" si="9"/>
        <v>1.0027912171342279</v>
      </c>
      <c r="O19" s="53">
        <f t="shared" si="10"/>
        <v>1.998001332666921E-3</v>
      </c>
      <c r="P19" s="132" t="b">
        <f t="shared" si="11"/>
        <v>1</v>
      </c>
    </row>
    <row r="20" spans="1:16" x14ac:dyDescent="0.25">
      <c r="A20" s="19">
        <v>20</v>
      </c>
      <c r="B20" s="19">
        <v>13</v>
      </c>
      <c r="C20" s="34">
        <v>1000000</v>
      </c>
      <c r="D20" s="187">
        <v>1E-4</v>
      </c>
      <c r="E20" s="177">
        <v>10000000</v>
      </c>
      <c r="F20" s="129">
        <v>0.99979947000000002</v>
      </c>
      <c r="G20" s="178">
        <v>2.0053000000000001E-4</v>
      </c>
      <c r="H20" s="129">
        <v>4.4773000000000003E-6</v>
      </c>
      <c r="I20" s="177">
        <v>131278.21</v>
      </c>
      <c r="J20" s="182">
        <v>18285.29</v>
      </c>
      <c r="K20" s="133">
        <f t="shared" si="6"/>
        <v>1.9605269999999999E-4</v>
      </c>
      <c r="L20" s="186">
        <f t="shared" si="7"/>
        <v>1.9998000133325533E-4</v>
      </c>
      <c r="M20" s="133">
        <f t="shared" si="8"/>
        <v>2.0500730000000002E-4</v>
      </c>
      <c r="N20" s="132">
        <f t="shared" si="9"/>
        <v>0.9972572748878239</v>
      </c>
      <c r="O20" s="58">
        <f t="shared" si="10"/>
        <v>1.9998000133325533E-4</v>
      </c>
      <c r="P20" s="132" t="b">
        <f t="shared" si="11"/>
        <v>1</v>
      </c>
    </row>
    <row r="21" spans="1:16" x14ac:dyDescent="0.25">
      <c r="A21" s="19">
        <v>20</v>
      </c>
      <c r="B21" s="19">
        <v>14</v>
      </c>
      <c r="C21" s="34">
        <v>1000000</v>
      </c>
      <c r="D21" s="187">
        <v>1.0000000000000001E-5</v>
      </c>
      <c r="E21" s="177">
        <v>10000000</v>
      </c>
      <c r="F21" s="129">
        <v>0.99998014999999996</v>
      </c>
      <c r="G21" s="178">
        <v>1.9850000000000001E-5</v>
      </c>
      <c r="H21" s="129">
        <v>1.4080999999999999E-6</v>
      </c>
      <c r="I21" s="177">
        <v>845456.52</v>
      </c>
      <c r="J21" s="182">
        <v>196179.71</v>
      </c>
      <c r="K21" s="133">
        <f t="shared" si="6"/>
        <v>1.84419E-5</v>
      </c>
      <c r="L21" s="186">
        <f>(1-EXP(-2*D21))/(1-EXP(-4*C21*D21))</f>
        <v>1.9999800001335721E-5</v>
      </c>
      <c r="M21" s="133">
        <f t="shared" si="8"/>
        <v>2.1258100000000002E-5</v>
      </c>
      <c r="N21" s="132">
        <f>L21/G21</f>
        <v>1.0075465995635124</v>
      </c>
      <c r="O21" s="58">
        <f t="shared" si="10"/>
        <v>1.9999800001335721E-5</v>
      </c>
      <c r="P21" s="132" t="b">
        <f t="shared" si="11"/>
        <v>1</v>
      </c>
    </row>
    <row r="22" spans="1:16" x14ac:dyDescent="0.25">
      <c r="A22" s="136">
        <v>20</v>
      </c>
      <c r="B22" s="136">
        <v>1</v>
      </c>
      <c r="C22" s="249">
        <v>1000000</v>
      </c>
      <c r="D22" s="187">
        <v>9.9999999999999995E-7</v>
      </c>
      <c r="E22" s="177">
        <v>10000000</v>
      </c>
      <c r="F22" s="129">
        <v>0.99999799</v>
      </c>
      <c r="G22" s="178">
        <v>2.0099999999999998E-6</v>
      </c>
      <c r="H22" s="129">
        <v>4.4519999999999999E-7</v>
      </c>
      <c r="I22" s="177">
        <v>3328070.07</v>
      </c>
      <c r="J22" s="182">
        <v>1515954.07</v>
      </c>
      <c r="K22" s="133">
        <f t="shared" ref="K22:K24" si="12">G22-H22</f>
        <v>1.5647999999999998E-6</v>
      </c>
      <c r="L22" s="186">
        <f t="shared" ref="L22:L24" si="13">(1-EXP(-2*D22))/(1-EXP(-4*C22*D22))</f>
        <v>2.0373126834033871E-6</v>
      </c>
      <c r="M22" s="133">
        <f t="shared" ref="M22:M24" si="14">G22+H22</f>
        <v>2.4551999999999998E-6</v>
      </c>
      <c r="N22" s="132">
        <f t="shared" ref="N22:N24" si="15">L22/G22</f>
        <v>1.0135883997031778</v>
      </c>
      <c r="O22" s="58">
        <f t="shared" si="10"/>
        <v>1.9999979999907325E-6</v>
      </c>
      <c r="P22" s="132" t="b">
        <f t="shared" ref="P22:P24" si="16">AND(L22&gt;=K22,L22&lt;=M22)</f>
        <v>1</v>
      </c>
    </row>
    <row r="23" spans="1:16" ht="15.75" x14ac:dyDescent="0.25">
      <c r="A23" s="136">
        <v>20</v>
      </c>
      <c r="B23" s="136">
        <v>2</v>
      </c>
      <c r="C23" s="249">
        <v>1000000</v>
      </c>
      <c r="D23" s="243">
        <v>9.9999999999999995E-8</v>
      </c>
      <c r="E23" s="177">
        <v>10000000</v>
      </c>
      <c r="F23" s="129">
        <v>0.99999945000000001</v>
      </c>
      <c r="G23" s="271">
        <v>5.5000000000000003E-7</v>
      </c>
      <c r="H23" s="129">
        <v>2.294E-7</v>
      </c>
      <c r="I23" s="272">
        <v>3950130.1</v>
      </c>
      <c r="J23" s="182">
        <v>1382330.25</v>
      </c>
      <c r="K23" s="133">
        <f t="shared" si="12"/>
        <v>3.2060000000000005E-7</v>
      </c>
      <c r="L23" s="186">
        <f t="shared" si="13"/>
        <v>6.0664889574498439E-7</v>
      </c>
      <c r="M23" s="133">
        <f t="shared" si="14"/>
        <v>7.794E-7</v>
      </c>
      <c r="N23" s="132">
        <f t="shared" si="15"/>
        <v>1.102997992263608</v>
      </c>
      <c r="O23" s="58"/>
      <c r="P23" s="132" t="b">
        <f t="shared" si="16"/>
        <v>1</v>
      </c>
    </row>
    <row r="24" spans="1:16" x14ac:dyDescent="0.25">
      <c r="A24" s="136">
        <v>20</v>
      </c>
      <c r="B24" s="136">
        <v>3</v>
      </c>
      <c r="C24" s="249">
        <v>1000000</v>
      </c>
      <c r="D24" s="187">
        <v>1E-8</v>
      </c>
      <c r="E24" s="177">
        <v>10000000</v>
      </c>
      <c r="F24" s="129">
        <v>0.99999948999999999</v>
      </c>
      <c r="G24" s="178">
        <v>4.9999999999999998E-7</v>
      </c>
      <c r="H24" s="129">
        <v>2.1820000000000001E-7</v>
      </c>
      <c r="I24" s="177">
        <v>4088090.55</v>
      </c>
      <c r="J24" s="182">
        <v>1892143.26</v>
      </c>
      <c r="K24" s="133">
        <f t="shared" si="12"/>
        <v>2.818E-7</v>
      </c>
      <c r="L24" s="186">
        <f t="shared" si="13"/>
        <v>5.1006665895760205E-7</v>
      </c>
      <c r="M24" s="133">
        <f t="shared" si="14"/>
        <v>7.1819999999999996E-7</v>
      </c>
      <c r="N24" s="132">
        <f t="shared" si="15"/>
        <v>1.0201333179152041</v>
      </c>
      <c r="O24" s="58"/>
      <c r="P24" s="132" t="b">
        <f t="shared" si="16"/>
        <v>1</v>
      </c>
    </row>
    <row r="25" spans="1:16" x14ac:dyDescent="0.25">
      <c r="A25" s="19">
        <v>20</v>
      </c>
      <c r="B25" s="19">
        <v>15</v>
      </c>
      <c r="C25" s="34">
        <v>1000000</v>
      </c>
      <c r="D25" s="130">
        <v>0</v>
      </c>
      <c r="E25" s="177">
        <v>10000000</v>
      </c>
      <c r="F25" s="129">
        <v>0.99999945999999995</v>
      </c>
      <c r="G25" s="179">
        <v>4.9999999999999998E-7</v>
      </c>
      <c r="H25" s="129">
        <v>2.2609999999999999E-7</v>
      </c>
      <c r="I25" s="177">
        <v>4030861.68</v>
      </c>
      <c r="J25" s="182">
        <v>1879884.4</v>
      </c>
      <c r="K25" s="133">
        <f t="shared" si="6"/>
        <v>2.7389999999999998E-7</v>
      </c>
      <c r="L25" s="187">
        <v>4.9999999999999998E-7</v>
      </c>
      <c r="M25" s="133">
        <f t="shared" si="8"/>
        <v>7.2609999999999992E-7</v>
      </c>
      <c r="N25" s="132">
        <f>L25/G25</f>
        <v>1</v>
      </c>
      <c r="O25" s="58"/>
      <c r="P25" s="132" t="b">
        <f t="shared" si="11"/>
        <v>1</v>
      </c>
    </row>
    <row r="26" spans="1:16" x14ac:dyDescent="0.25">
      <c r="G26" s="63"/>
      <c r="H26" s="62" t="s">
        <v>54</v>
      </c>
      <c r="I26" s="10">
        <v>4000000</v>
      </c>
    </row>
    <row r="27" spans="1:16" ht="72.75" customHeight="1" x14ac:dyDescent="0.25">
      <c r="B27" s="8" t="s">
        <v>51</v>
      </c>
      <c r="C27" s="262"/>
      <c r="D27" s="263"/>
      <c r="E27" s="264"/>
      <c r="F27" s="265"/>
      <c r="G27" s="261" t="s">
        <v>174</v>
      </c>
      <c r="H27" s="265"/>
      <c r="I27" s="266"/>
      <c r="J27" s="267"/>
      <c r="K27" s="263"/>
      <c r="L27" s="268"/>
      <c r="M27" s="269"/>
      <c r="N27" s="270"/>
      <c r="O27" s="270"/>
      <c r="P27" s="270"/>
    </row>
    <row r="28" spans="1:16" ht="30" x14ac:dyDescent="0.25">
      <c r="A28" s="11" t="s">
        <v>0</v>
      </c>
      <c r="B28" s="11" t="s">
        <v>10</v>
      </c>
      <c r="C28" s="33" t="s">
        <v>11</v>
      </c>
      <c r="D28" s="11" t="s">
        <v>9</v>
      </c>
      <c r="E28" s="33" t="s">
        <v>3</v>
      </c>
      <c r="F28" s="22" t="s">
        <v>29</v>
      </c>
      <c r="G28" s="115" t="s">
        <v>27</v>
      </c>
      <c r="H28" s="54" t="s">
        <v>28</v>
      </c>
      <c r="I28" s="33" t="s">
        <v>25</v>
      </c>
      <c r="J28" s="16" t="s">
        <v>26</v>
      </c>
      <c r="K28" s="22" t="s">
        <v>151</v>
      </c>
      <c r="L28" s="112" t="s">
        <v>153</v>
      </c>
      <c r="M28" s="163" t="s">
        <v>152</v>
      </c>
      <c r="N28" s="120" t="s">
        <v>187</v>
      </c>
      <c r="O28" s="120"/>
      <c r="P28" s="162" t="s">
        <v>156</v>
      </c>
    </row>
    <row r="29" spans="1:16" x14ac:dyDescent="0.25">
      <c r="A29" s="19">
        <v>20</v>
      </c>
      <c r="B29" s="19">
        <v>1</v>
      </c>
      <c r="C29" s="34">
        <v>1000000</v>
      </c>
      <c r="D29" s="19">
        <v>0.5</v>
      </c>
      <c r="E29" s="116">
        <v>1000000</v>
      </c>
      <c r="F29" s="105">
        <v>0.41686974999999998</v>
      </c>
      <c r="G29" s="128">
        <v>0.58313024999999996</v>
      </c>
      <c r="H29" s="105">
        <v>4.9304079999999998E-4</v>
      </c>
      <c r="I29" s="116">
        <v>71.48</v>
      </c>
      <c r="J29" s="181">
        <v>4.1900000000000004</v>
      </c>
      <c r="K29" s="53">
        <f>G29-H29</f>
        <v>0.58263720919999995</v>
      </c>
      <c r="L29" s="113">
        <f t="shared" ref="L29:L42" si="17">(1-EXP(-2*D29))/(1-EXP(-4*C29*D29))</f>
        <v>0.63212055882855767</v>
      </c>
      <c r="M29" s="53">
        <f>G29+H29</f>
        <v>0.58362329079999997</v>
      </c>
      <c r="N29" s="121">
        <f>L29/G29</f>
        <v>1.0840126349620136</v>
      </c>
      <c r="O29" s="121"/>
      <c r="P29" s="121" t="b">
        <f>AND(L29&gt;=K29,L29&lt;=M29)</f>
        <v>0</v>
      </c>
    </row>
    <row r="30" spans="1:16" x14ac:dyDescent="0.25">
      <c r="A30" s="19">
        <v>20</v>
      </c>
      <c r="B30" s="19">
        <v>2</v>
      </c>
      <c r="C30" s="34">
        <v>1000000</v>
      </c>
      <c r="D30" s="19">
        <v>0.4</v>
      </c>
      <c r="E30" s="116">
        <v>1000000</v>
      </c>
      <c r="F30" s="105">
        <v>0.48887615000000001</v>
      </c>
      <c r="G30" s="128">
        <v>0.51112385000000005</v>
      </c>
      <c r="H30" s="105">
        <v>4.9987600000000001E-4</v>
      </c>
      <c r="I30" s="116">
        <v>85.35</v>
      </c>
      <c r="J30" s="181">
        <v>5.1100000000000003</v>
      </c>
      <c r="K30" s="53">
        <f t="shared" ref="K30:K42" si="18">G30-H30</f>
        <v>0.51062397400000004</v>
      </c>
      <c r="L30" s="113">
        <f t="shared" si="17"/>
        <v>0.55067103588277844</v>
      </c>
      <c r="M30" s="53">
        <f t="shared" ref="M30:M42" si="19">G30+H30</f>
        <v>0.51162372600000006</v>
      </c>
      <c r="N30" s="121">
        <f t="shared" ref="N30:N42" si="20">L30/G30</f>
        <v>1.0773730004631528</v>
      </c>
      <c r="O30" s="121"/>
      <c r="P30" s="121" t="b">
        <f t="shared" ref="P30:P42" si="21">AND(L30&gt;=K30,L30&lt;=M30)</f>
        <v>0</v>
      </c>
    </row>
    <row r="31" spans="1:16" x14ac:dyDescent="0.25">
      <c r="A31" s="19">
        <v>20</v>
      </c>
      <c r="B31" s="19">
        <v>3</v>
      </c>
      <c r="C31" s="34">
        <v>1000000</v>
      </c>
      <c r="D31" s="19">
        <v>0.3</v>
      </c>
      <c r="E31" s="116">
        <v>1000000</v>
      </c>
      <c r="F31" s="105">
        <v>0.57698804999999997</v>
      </c>
      <c r="G31" s="128">
        <v>0.42301195000000003</v>
      </c>
      <c r="H31" s="105">
        <v>4.9403700000000001E-4</v>
      </c>
      <c r="I31" s="116">
        <v>108.03</v>
      </c>
      <c r="J31" s="181">
        <v>6.62</v>
      </c>
      <c r="K31" s="53">
        <f t="shared" si="18"/>
        <v>0.42251791300000002</v>
      </c>
      <c r="L31" s="113">
        <f t="shared" si="17"/>
        <v>0.45118836390597361</v>
      </c>
      <c r="M31" s="53">
        <f t="shared" si="19"/>
        <v>0.42350598700000003</v>
      </c>
      <c r="N31" s="121">
        <f t="shared" si="20"/>
        <v>1.0666090258347869</v>
      </c>
      <c r="O31" s="121"/>
      <c r="P31" s="121" t="b">
        <f t="shared" si="21"/>
        <v>0</v>
      </c>
    </row>
    <row r="32" spans="1:16" x14ac:dyDescent="0.25">
      <c r="A32" s="19">
        <v>20</v>
      </c>
      <c r="B32" s="19">
        <v>4</v>
      </c>
      <c r="C32" s="34">
        <v>1000000</v>
      </c>
      <c r="D32" s="19">
        <v>0.2</v>
      </c>
      <c r="E32" s="116">
        <v>1000000</v>
      </c>
      <c r="F32" s="105">
        <v>0.68647864999999997</v>
      </c>
      <c r="G32" s="128">
        <v>0.31352134999999998</v>
      </c>
      <c r="H32" s="105">
        <v>4.6392409999999998E-4</v>
      </c>
      <c r="I32" s="116">
        <v>152.24</v>
      </c>
      <c r="J32" s="181">
        <v>9.65</v>
      </c>
      <c r="K32" s="53">
        <f t="shared" si="18"/>
        <v>0.31305742589999996</v>
      </c>
      <c r="L32" s="113">
        <f t="shared" si="17"/>
        <v>0.32967995396436067</v>
      </c>
      <c r="M32" s="53">
        <f t="shared" si="19"/>
        <v>0.31398527409999999</v>
      </c>
      <c r="N32" s="121">
        <f t="shared" si="20"/>
        <v>1.0515390864588989</v>
      </c>
      <c r="O32" s="121"/>
      <c r="P32" s="121" t="b">
        <f t="shared" si="21"/>
        <v>0</v>
      </c>
    </row>
    <row r="33" spans="1:16" x14ac:dyDescent="0.25">
      <c r="A33" s="19">
        <v>20</v>
      </c>
      <c r="B33" s="19">
        <v>5</v>
      </c>
      <c r="C33" s="34">
        <v>1000000</v>
      </c>
      <c r="D33" s="19">
        <v>0.1</v>
      </c>
      <c r="E33" s="116">
        <v>1000000</v>
      </c>
      <c r="F33" s="105">
        <v>0.82377745000000002</v>
      </c>
      <c r="G33" s="128">
        <v>0.17622255000000001</v>
      </c>
      <c r="H33" s="105">
        <v>3.810091E-4</v>
      </c>
      <c r="I33" s="116">
        <v>279.39</v>
      </c>
      <c r="J33" s="181">
        <v>18.739999999999998</v>
      </c>
      <c r="K33" s="53">
        <f t="shared" si="18"/>
        <v>0.17584154090000001</v>
      </c>
      <c r="L33" s="113">
        <f t="shared" si="17"/>
        <v>0.18126924692201818</v>
      </c>
      <c r="M33" s="53">
        <f t="shared" si="19"/>
        <v>0.1766035591</v>
      </c>
      <c r="N33" s="121">
        <f t="shared" si="20"/>
        <v>1.0286382016490976</v>
      </c>
      <c r="O33" s="121"/>
      <c r="P33" s="121" t="b">
        <f t="shared" si="21"/>
        <v>0</v>
      </c>
    </row>
    <row r="34" spans="1:16" x14ac:dyDescent="0.25">
      <c r="A34" s="19">
        <v>20</v>
      </c>
      <c r="B34" s="19">
        <v>6</v>
      </c>
      <c r="C34" s="34">
        <v>1000000</v>
      </c>
      <c r="D34" s="19">
        <v>0.05</v>
      </c>
      <c r="E34" s="116">
        <v>1000000</v>
      </c>
      <c r="F34" s="105">
        <v>0.90625054999999999</v>
      </c>
      <c r="G34" s="128">
        <v>9.3749449999999998E-2</v>
      </c>
      <c r="H34" s="105">
        <v>2.9147949999999999E-4</v>
      </c>
      <c r="I34" s="116">
        <v>520.41999999999996</v>
      </c>
      <c r="J34" s="181">
        <v>36.89</v>
      </c>
      <c r="K34" s="53">
        <f t="shared" si="18"/>
        <v>9.3457970500000001E-2</v>
      </c>
      <c r="L34" s="113">
        <f t="shared" si="17"/>
        <v>9.5162581964040482E-2</v>
      </c>
      <c r="M34" s="53">
        <f t="shared" si="19"/>
        <v>9.4040929499999995E-2</v>
      </c>
      <c r="N34" s="121">
        <f t="shared" si="20"/>
        <v>1.0150734960476087</v>
      </c>
      <c r="O34" s="121"/>
      <c r="P34" s="121" t="b">
        <f t="shared" si="21"/>
        <v>0</v>
      </c>
    </row>
    <row r="35" spans="1:16" x14ac:dyDescent="0.25">
      <c r="A35" s="19">
        <v>20</v>
      </c>
      <c r="B35" s="19">
        <v>7</v>
      </c>
      <c r="C35" s="34">
        <v>1000000</v>
      </c>
      <c r="D35" s="187">
        <v>0.01</v>
      </c>
      <c r="E35" s="177">
        <v>1000000</v>
      </c>
      <c r="F35" s="129">
        <v>0.98032600000000003</v>
      </c>
      <c r="G35" s="131">
        <v>1.9674000000000001E-2</v>
      </c>
      <c r="H35" s="129">
        <v>1.388762E-4</v>
      </c>
      <c r="I35" s="177">
        <v>2241.4499999999998</v>
      </c>
      <c r="J35" s="182">
        <v>182.03</v>
      </c>
      <c r="K35" s="133">
        <f t="shared" si="18"/>
        <v>1.9535123800000002E-2</v>
      </c>
      <c r="L35" s="180">
        <f t="shared" si="17"/>
        <v>1.9801326693244747E-2</v>
      </c>
      <c r="M35" s="133">
        <f t="shared" si="19"/>
        <v>1.9812876199999999E-2</v>
      </c>
      <c r="N35" s="132">
        <f t="shared" si="20"/>
        <v>1.0064718254165268</v>
      </c>
      <c r="O35" s="132"/>
      <c r="P35" s="132" t="b">
        <f t="shared" si="21"/>
        <v>1</v>
      </c>
    </row>
    <row r="36" spans="1:16" x14ac:dyDescent="0.25">
      <c r="A36" s="19">
        <v>20</v>
      </c>
      <c r="B36" s="19">
        <v>8</v>
      </c>
      <c r="C36" s="34">
        <v>1000000</v>
      </c>
      <c r="D36" s="130">
        <v>8.0000000000000002E-3</v>
      </c>
      <c r="E36" s="177">
        <v>1000000</v>
      </c>
      <c r="F36" s="129">
        <v>0.98418000000000005</v>
      </c>
      <c r="G36" s="131">
        <v>1.5820000000000001E-2</v>
      </c>
      <c r="H36" s="129">
        <v>1.2477739999999999E-4</v>
      </c>
      <c r="I36" s="177">
        <v>2744.23</v>
      </c>
      <c r="J36" s="182">
        <v>227.59</v>
      </c>
      <c r="K36" s="133">
        <f t="shared" si="18"/>
        <v>1.5695222599999999E-2</v>
      </c>
      <c r="L36" s="180">
        <f t="shared" si="17"/>
        <v>1.5872679944714863E-2</v>
      </c>
      <c r="M36" s="133">
        <f t="shared" si="19"/>
        <v>1.5944777400000002E-2</v>
      </c>
      <c r="N36" s="132">
        <f t="shared" si="20"/>
        <v>1.003329958578689</v>
      </c>
      <c r="O36" s="132"/>
      <c r="P36" s="132" t="b">
        <f t="shared" si="21"/>
        <v>1</v>
      </c>
    </row>
    <row r="37" spans="1:16" x14ac:dyDescent="0.25">
      <c r="A37" s="19">
        <v>20</v>
      </c>
      <c r="B37" s="19">
        <v>9</v>
      </c>
      <c r="C37" s="34">
        <v>1000000</v>
      </c>
      <c r="D37" s="130">
        <v>6.0000000000000001E-3</v>
      </c>
      <c r="E37" s="177">
        <v>1000000</v>
      </c>
      <c r="F37" s="129">
        <v>0.98808850000000004</v>
      </c>
      <c r="G37" s="131">
        <v>1.19115E-2</v>
      </c>
      <c r="H37" s="129">
        <v>1.0848640000000001E-4</v>
      </c>
      <c r="I37" s="177">
        <v>3559.02</v>
      </c>
      <c r="J37" s="182">
        <v>302.63</v>
      </c>
      <c r="K37" s="133">
        <f t="shared" si="18"/>
        <v>1.18030136E-2</v>
      </c>
      <c r="L37" s="180">
        <f t="shared" si="17"/>
        <v>1.1928287138069482E-2</v>
      </c>
      <c r="M37" s="133">
        <f t="shared" si="19"/>
        <v>1.20199864E-2</v>
      </c>
      <c r="N37" s="132">
        <f t="shared" si="20"/>
        <v>1.0014093219216289</v>
      </c>
      <c r="O37" s="132"/>
      <c r="P37" s="132" t="b">
        <f t="shared" si="21"/>
        <v>1</v>
      </c>
    </row>
    <row r="38" spans="1:16" x14ac:dyDescent="0.25">
      <c r="A38" s="19">
        <v>20</v>
      </c>
      <c r="B38" s="19">
        <v>10</v>
      </c>
      <c r="C38" s="34">
        <v>1000000</v>
      </c>
      <c r="D38" s="130">
        <v>4.0000000000000001E-3</v>
      </c>
      <c r="E38" s="177">
        <v>1000000</v>
      </c>
      <c r="F38" s="129">
        <v>0.99202204999999999</v>
      </c>
      <c r="G38" s="131">
        <v>7.9779499999999993E-3</v>
      </c>
      <c r="H38" s="129">
        <v>8.8961200000000005E-5</v>
      </c>
      <c r="I38" s="177">
        <v>5134.26</v>
      </c>
      <c r="J38" s="182">
        <v>455.16</v>
      </c>
      <c r="K38" s="133">
        <f t="shared" si="18"/>
        <v>7.8889887999999998E-3</v>
      </c>
      <c r="L38" s="180">
        <f t="shared" si="17"/>
        <v>7.9680851629393423E-3</v>
      </c>
      <c r="M38" s="133">
        <f t="shared" si="19"/>
        <v>8.0669111999999987E-3</v>
      </c>
      <c r="N38" s="132">
        <f t="shared" si="20"/>
        <v>0.99876348722909303</v>
      </c>
      <c r="O38" s="132"/>
      <c r="P38" s="132" t="b">
        <f t="shared" si="21"/>
        <v>1</v>
      </c>
    </row>
    <row r="39" spans="1:16" x14ac:dyDescent="0.25">
      <c r="A39" s="19">
        <v>20</v>
      </c>
      <c r="B39" s="19">
        <v>11</v>
      </c>
      <c r="C39" s="34">
        <v>1000000</v>
      </c>
      <c r="D39" s="130">
        <v>2E-3</v>
      </c>
      <c r="E39" s="177">
        <v>1000000</v>
      </c>
      <c r="F39" s="129">
        <v>0.99599309999999996</v>
      </c>
      <c r="G39" s="131">
        <v>4.0068999999999999E-3</v>
      </c>
      <c r="H39" s="129">
        <v>6.3170999999999995E-5</v>
      </c>
      <c r="I39" s="177">
        <v>9566.91</v>
      </c>
      <c r="J39" s="182">
        <v>907.92</v>
      </c>
      <c r="K39" s="133">
        <f t="shared" si="18"/>
        <v>3.943729E-3</v>
      </c>
      <c r="L39" s="180">
        <f t="shared" si="17"/>
        <v>3.9920106560085156E-3</v>
      </c>
      <c r="M39" s="133">
        <f t="shared" si="19"/>
        <v>4.0700709999999998E-3</v>
      </c>
      <c r="N39" s="132">
        <f t="shared" si="20"/>
        <v>0.9962840739745229</v>
      </c>
      <c r="O39" s="132"/>
      <c r="P39" s="132" t="b">
        <f t="shared" si="21"/>
        <v>1</v>
      </c>
    </row>
    <row r="40" spans="1:16" x14ac:dyDescent="0.25">
      <c r="A40" s="19">
        <v>20</v>
      </c>
      <c r="B40" s="19">
        <v>12</v>
      </c>
      <c r="C40" s="34">
        <v>1000000</v>
      </c>
      <c r="D40" s="187">
        <v>1E-3</v>
      </c>
      <c r="E40" s="177">
        <v>1000000</v>
      </c>
      <c r="F40" s="129">
        <v>0.99799795000000002</v>
      </c>
      <c r="G40" s="131">
        <v>2.00205E-3</v>
      </c>
      <c r="H40" s="129">
        <v>4.4697999999999998E-5</v>
      </c>
      <c r="I40" s="177">
        <v>17746.400000000001</v>
      </c>
      <c r="J40" s="182">
        <v>1813.84</v>
      </c>
      <c r="K40" s="133">
        <f t="shared" si="18"/>
        <v>1.9573519999999999E-3</v>
      </c>
      <c r="L40" s="180">
        <f t="shared" si="17"/>
        <v>1.998001332666921E-3</v>
      </c>
      <c r="M40" s="133">
        <f t="shared" si="19"/>
        <v>2.0467480000000001E-3</v>
      </c>
      <c r="N40" s="132">
        <f t="shared" si="20"/>
        <v>0.99797773915083088</v>
      </c>
      <c r="O40" s="132"/>
      <c r="P40" s="132" t="b">
        <f t="shared" si="21"/>
        <v>1</v>
      </c>
    </row>
    <row r="41" spans="1:16" x14ac:dyDescent="0.25">
      <c r="A41" s="19">
        <v>20</v>
      </c>
      <c r="B41" s="19">
        <v>13</v>
      </c>
      <c r="C41" s="34">
        <v>1000000</v>
      </c>
      <c r="D41" s="187">
        <v>1E-4</v>
      </c>
      <c r="E41" s="177">
        <v>1000000</v>
      </c>
      <c r="F41" s="129">
        <v>0.99980484999999997</v>
      </c>
      <c r="G41" s="131">
        <v>1.9515E-4</v>
      </c>
      <c r="H41" s="129">
        <v>1.3956599999999999E-5</v>
      </c>
      <c r="I41" s="177">
        <v>131385.07999999999</v>
      </c>
      <c r="J41" s="182">
        <v>18503.650000000001</v>
      </c>
      <c r="K41" s="133">
        <f t="shared" si="18"/>
        <v>1.8119340000000001E-4</v>
      </c>
      <c r="L41" s="180">
        <f t="shared" si="17"/>
        <v>1.9998000133325533E-4</v>
      </c>
      <c r="M41" s="133">
        <f t="shared" si="19"/>
        <v>2.0910659999999999E-4</v>
      </c>
      <c r="N41" s="132">
        <f t="shared" si="20"/>
        <v>1.0247501989918284</v>
      </c>
      <c r="O41" s="132"/>
      <c r="P41" s="132" t="b">
        <f t="shared" si="21"/>
        <v>1</v>
      </c>
    </row>
    <row r="42" spans="1:16" x14ac:dyDescent="0.25">
      <c r="A42" s="19">
        <v>20</v>
      </c>
      <c r="B42" s="19">
        <v>14</v>
      </c>
      <c r="C42" s="34">
        <v>1000000</v>
      </c>
      <c r="D42" s="187">
        <v>1.0000000000000001E-5</v>
      </c>
      <c r="E42" s="177">
        <v>1000000</v>
      </c>
      <c r="F42" s="129">
        <v>0.99997965</v>
      </c>
      <c r="G42" s="131">
        <v>2.035E-5</v>
      </c>
      <c r="H42" s="129">
        <v>4.4969000000000001E-6</v>
      </c>
      <c r="I42" s="177">
        <v>835965.31</v>
      </c>
      <c r="J42" s="182">
        <v>181505.51</v>
      </c>
      <c r="K42" s="133">
        <f t="shared" si="18"/>
        <v>1.5853099999999999E-5</v>
      </c>
      <c r="L42" s="180">
        <f t="shared" si="17"/>
        <v>1.9999800001335721E-5</v>
      </c>
      <c r="M42" s="133">
        <f t="shared" si="19"/>
        <v>2.4846900000000001E-5</v>
      </c>
      <c r="N42" s="132">
        <f t="shared" si="20"/>
        <v>0.98279115485679225</v>
      </c>
      <c r="O42" s="132"/>
      <c r="P42" s="132" t="b">
        <f t="shared" si="21"/>
        <v>1</v>
      </c>
    </row>
    <row r="43" spans="1:16" x14ac:dyDescent="0.25">
      <c r="A43" s="2">
        <v>20</v>
      </c>
      <c r="B43" s="2">
        <v>15</v>
      </c>
      <c r="C43" s="9">
        <v>1000000</v>
      </c>
      <c r="D43" s="2">
        <v>0</v>
      </c>
      <c r="E43" s="10">
        <v>1000000</v>
      </c>
      <c r="F43">
        <v>0.99999965000000002</v>
      </c>
      <c r="G43" s="234">
        <v>3.4999999999999998E-7</v>
      </c>
      <c r="H43">
        <v>2.9139999999999998E-7</v>
      </c>
      <c r="I43" s="10" t="s">
        <v>12</v>
      </c>
      <c r="J43" s="61" t="s">
        <v>12</v>
      </c>
    </row>
    <row r="44" spans="1:16" x14ac:dyDescent="0.25">
      <c r="H44" s="62" t="s">
        <v>54</v>
      </c>
      <c r="I44" s="10">
        <v>4000000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1D42-10B9-457C-8447-39C5EA70F52D}">
  <dimension ref="A1:F9"/>
  <sheetViews>
    <sheetView workbookViewId="0">
      <selection activeCell="I11" sqref="I11"/>
    </sheetView>
  </sheetViews>
  <sheetFormatPr defaultColWidth="11.42578125" defaultRowHeight="15" x14ac:dyDescent="0.25"/>
  <cols>
    <col min="1" max="1" width="7.5703125" style="346" bestFit="1" customWidth="1"/>
    <col min="2" max="2" width="9.28515625" style="346" bestFit="1" customWidth="1"/>
    <col min="4" max="5" width="11.42578125" style="46"/>
    <col min="6" max="6" width="11.42578125" style="443"/>
  </cols>
  <sheetData>
    <row r="1" spans="1:6" x14ac:dyDescent="0.25">
      <c r="A1" s="346" t="s">
        <v>214</v>
      </c>
    </row>
    <row r="2" spans="1:6" x14ac:dyDescent="0.25">
      <c r="A2" s="395" t="s">
        <v>11</v>
      </c>
      <c r="B2" s="395" t="s">
        <v>3</v>
      </c>
      <c r="C2" s="19" t="s">
        <v>209</v>
      </c>
      <c r="D2" s="359" t="s">
        <v>210</v>
      </c>
      <c r="E2" s="359" t="s">
        <v>211</v>
      </c>
      <c r="F2" s="444" t="s">
        <v>212</v>
      </c>
    </row>
    <row r="3" spans="1:6" ht="15.75" x14ac:dyDescent="0.25">
      <c r="A3" s="354">
        <v>10</v>
      </c>
      <c r="B3" s="354">
        <v>10000000</v>
      </c>
      <c r="C3" s="397">
        <v>37.28</v>
      </c>
      <c r="D3" s="375">
        <v>20.92</v>
      </c>
      <c r="E3" s="375">
        <f>2.15*A3</f>
        <v>21.5</v>
      </c>
      <c r="F3" s="444">
        <f>(E3-D3)/E3</f>
        <v>2.6976744186046432E-2</v>
      </c>
    </row>
    <row r="4" spans="1:6" ht="15.75" x14ac:dyDescent="0.25">
      <c r="A4" s="354">
        <v>100</v>
      </c>
      <c r="B4" s="354">
        <v>10000</v>
      </c>
      <c r="C4" s="397">
        <v>396.37</v>
      </c>
      <c r="D4" s="375">
        <v>210</v>
      </c>
      <c r="E4" s="375">
        <f t="shared" ref="E4:E8" si="0">2.15*A4</f>
        <v>215</v>
      </c>
      <c r="F4" s="444">
        <f t="shared" ref="F4:F8" si="1">(E4-D4)/E4</f>
        <v>2.3255813953488372E-2</v>
      </c>
    </row>
    <row r="5" spans="1:6" ht="15.75" x14ac:dyDescent="0.25">
      <c r="A5" s="354">
        <v>1000</v>
      </c>
      <c r="B5" s="354">
        <v>100000</v>
      </c>
      <c r="C5" s="397">
        <v>4016.64</v>
      </c>
      <c r="D5" s="375">
        <v>2133.59</v>
      </c>
      <c r="E5" s="375">
        <f t="shared" si="0"/>
        <v>2150</v>
      </c>
      <c r="F5" s="444">
        <f t="shared" si="1"/>
        <v>7.6325581395348162E-3</v>
      </c>
    </row>
    <row r="6" spans="1:6" ht="15.75" x14ac:dyDescent="0.25">
      <c r="A6" s="354">
        <v>10000</v>
      </c>
      <c r="B6" s="354">
        <v>1000000</v>
      </c>
      <c r="C6" s="275">
        <v>39104.379999999997</v>
      </c>
      <c r="D6" s="375">
        <v>20650.11</v>
      </c>
      <c r="E6" s="375">
        <f t="shared" si="0"/>
        <v>21500</v>
      </c>
      <c r="F6" s="444">
        <f t="shared" si="1"/>
        <v>3.9529767441860438E-2</v>
      </c>
    </row>
    <row r="7" spans="1:6" ht="15.75" x14ac:dyDescent="0.25">
      <c r="A7" s="354">
        <v>100000</v>
      </c>
      <c r="B7" s="354">
        <v>10000000</v>
      </c>
      <c r="C7" s="275">
        <v>396826.5</v>
      </c>
      <c r="D7" s="375">
        <v>194533.28</v>
      </c>
      <c r="E7" s="375">
        <f t="shared" si="0"/>
        <v>215000</v>
      </c>
      <c r="F7" s="444">
        <f t="shared" si="1"/>
        <v>9.5194046511627911E-2</v>
      </c>
    </row>
    <row r="8" spans="1:6" x14ac:dyDescent="0.25">
      <c r="A8" s="354">
        <v>1000000</v>
      </c>
      <c r="B8" s="354">
        <v>10000000</v>
      </c>
      <c r="C8" s="252">
        <v>4030861.68</v>
      </c>
      <c r="D8" s="375">
        <v>1879884.4</v>
      </c>
      <c r="E8" s="375">
        <f t="shared" si="0"/>
        <v>2150000</v>
      </c>
      <c r="F8" s="444">
        <f t="shared" si="1"/>
        <v>0.12563516279069772</v>
      </c>
    </row>
    <row r="9" spans="1:6" x14ac:dyDescent="0.25">
      <c r="E9" s="46" t="s">
        <v>213</v>
      </c>
      <c r="F9" s="443">
        <f>AVERAGE(F3:F8)</f>
        <v>5.3037348837209286E-2</v>
      </c>
    </row>
  </sheetData>
  <pageMargins left="0.7" right="0.7" top="0.78740157499999996" bottom="0.78740157499999996"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132-4154-4688-9CEE-9F0C5A46C2D9}">
  <dimension ref="A1:X74"/>
  <sheetViews>
    <sheetView zoomScale="115" zoomScaleNormal="115" workbookViewId="0">
      <pane ySplit="1" topLeftCell="A32" activePane="bottomLeft" state="frozen"/>
      <selection pane="bottomLeft" activeCell="A36" sqref="A36"/>
    </sheetView>
  </sheetViews>
  <sheetFormatPr defaultColWidth="11.42578125" defaultRowHeight="15" x14ac:dyDescent="0.25"/>
  <cols>
    <col min="1" max="1" width="2.28515625" style="411" customWidth="1"/>
    <col min="2" max="2" width="4.7109375" style="45" customWidth="1"/>
    <col min="3" max="3" width="9.5703125" style="45" bestFit="1" customWidth="1"/>
    <col min="4" max="4" width="11.28515625" style="364" bestFit="1" customWidth="1"/>
    <col min="5" max="5" width="7" style="364" bestFit="1" customWidth="1"/>
    <col min="6" max="6" width="2.140625" style="63" customWidth="1"/>
    <col min="7" max="7" width="46.42578125" style="63" customWidth="1"/>
    <col min="8" max="8" width="11.28515625" style="63" customWidth="1"/>
    <col min="9" max="9" width="11.28515625" style="364" customWidth="1"/>
    <col min="10" max="10" width="8.85546875" style="364" bestFit="1" customWidth="1"/>
    <col min="11" max="11" width="9.140625" style="364" bestFit="1" customWidth="1"/>
    <col min="12" max="12" width="4.7109375" style="364" bestFit="1" customWidth="1"/>
    <col min="13" max="13" width="2.85546875" style="63" customWidth="1"/>
    <col min="14" max="14" width="9.140625" customWidth="1"/>
    <col min="15" max="15" width="8.85546875" bestFit="1" customWidth="1"/>
    <col min="17" max="17" width="7.5703125" style="45" bestFit="1" customWidth="1"/>
    <col min="22" max="22" width="2.5703125" customWidth="1"/>
    <col min="23" max="23" width="8.7109375" hidden="1" customWidth="1"/>
    <col min="24" max="24" width="11.42578125" hidden="1" customWidth="1"/>
  </cols>
  <sheetData>
    <row r="1" spans="1:23" ht="15.75" x14ac:dyDescent="0.25">
      <c r="A1" s="100"/>
      <c r="B1" s="410" t="s">
        <v>195</v>
      </c>
      <c r="C1" s="37"/>
      <c r="D1" s="412"/>
      <c r="E1" s="412"/>
      <c r="F1" s="381"/>
      <c r="G1" s="381"/>
      <c r="H1" s="9"/>
      <c r="I1" s="39"/>
      <c r="J1" s="39"/>
      <c r="K1" s="39"/>
      <c r="L1" s="39"/>
      <c r="M1" s="9"/>
      <c r="N1" s="410" t="s">
        <v>196</v>
      </c>
      <c r="O1" s="398"/>
      <c r="P1" s="6"/>
      <c r="Q1" s="30"/>
      <c r="V1" s="45"/>
      <c r="W1" s="45"/>
    </row>
    <row r="2" spans="1:23" x14ac:dyDescent="0.25">
      <c r="A2" s="100"/>
      <c r="B2" s="408" t="s">
        <v>11</v>
      </c>
      <c r="C2" s="409" t="s">
        <v>9</v>
      </c>
      <c r="D2" s="163" t="s">
        <v>27</v>
      </c>
      <c r="E2" s="366" t="s">
        <v>197</v>
      </c>
      <c r="I2" s="419" t="s">
        <v>11</v>
      </c>
      <c r="J2" s="420" t="s">
        <v>9</v>
      </c>
      <c r="K2" s="421" t="s">
        <v>27</v>
      </c>
      <c r="L2" s="419" t="s">
        <v>25</v>
      </c>
      <c r="N2" s="33" t="s">
        <v>11</v>
      </c>
      <c r="O2" s="11" t="s">
        <v>9</v>
      </c>
      <c r="P2" s="22" t="s">
        <v>27</v>
      </c>
      <c r="Q2" s="366" t="s">
        <v>197</v>
      </c>
      <c r="V2" s="45"/>
      <c r="W2" s="45"/>
    </row>
    <row r="3" spans="1:23" x14ac:dyDescent="0.25">
      <c r="A3" s="100"/>
      <c r="B3" s="136">
        <v>10</v>
      </c>
      <c r="C3" s="136">
        <v>1</v>
      </c>
      <c r="D3" s="53">
        <v>0.79028549999999997</v>
      </c>
      <c r="E3" s="250">
        <v>9.42</v>
      </c>
      <c r="F3" s="5"/>
      <c r="G3" s="5"/>
      <c r="I3" s="136">
        <v>100</v>
      </c>
      <c r="J3" s="136">
        <v>1</v>
      </c>
      <c r="K3" s="160">
        <v>0.79688000000000003</v>
      </c>
      <c r="L3" s="250">
        <v>16.2</v>
      </c>
      <c r="N3" s="34">
        <v>10000</v>
      </c>
      <c r="O3" s="399">
        <v>1</v>
      </c>
      <c r="P3" s="22">
        <v>0.79670675000000002</v>
      </c>
      <c r="Q3" s="417">
        <v>29.49</v>
      </c>
      <c r="V3" s="37"/>
      <c r="W3" s="50"/>
    </row>
    <row r="4" spans="1:23" x14ac:dyDescent="0.25">
      <c r="A4" s="100"/>
      <c r="B4" s="136">
        <v>10</v>
      </c>
      <c r="C4" s="136">
        <v>0.9</v>
      </c>
      <c r="D4" s="53">
        <v>0.76086509999999996</v>
      </c>
      <c r="E4" s="250">
        <v>10.029999999999999</v>
      </c>
      <c r="F4" s="5"/>
      <c r="G4" s="5"/>
      <c r="I4" s="136">
        <v>100</v>
      </c>
      <c r="J4" s="136">
        <v>0.9</v>
      </c>
      <c r="K4" s="160">
        <v>0.76605000000000001</v>
      </c>
      <c r="L4" s="250">
        <v>17.350000000000001</v>
      </c>
      <c r="N4" s="34">
        <v>10000</v>
      </c>
      <c r="O4" s="399">
        <v>0.9</v>
      </c>
      <c r="P4" s="22">
        <v>0.76731994999999997</v>
      </c>
      <c r="Q4" s="417">
        <v>31.71</v>
      </c>
      <c r="V4" s="37"/>
      <c r="W4" s="50"/>
    </row>
    <row r="5" spans="1:23" x14ac:dyDescent="0.25">
      <c r="A5" s="100"/>
      <c r="B5" s="136">
        <v>10</v>
      </c>
      <c r="C5" s="136">
        <v>0.8</v>
      </c>
      <c r="D5" s="53">
        <v>0.72626168000000002</v>
      </c>
      <c r="E5" s="250">
        <v>10.77</v>
      </c>
      <c r="F5" s="5"/>
      <c r="G5" s="5"/>
      <c r="I5" s="136">
        <v>100</v>
      </c>
      <c r="J5" s="136">
        <v>0.8</v>
      </c>
      <c r="K5" s="160">
        <v>0.72902500000000003</v>
      </c>
      <c r="L5" s="250">
        <v>18.760000000000002</v>
      </c>
      <c r="N5" s="34">
        <v>10000</v>
      </c>
      <c r="O5" s="399">
        <v>0.8</v>
      </c>
      <c r="P5" s="22">
        <v>0.73249580000000003</v>
      </c>
      <c r="Q5" s="417">
        <v>34.46</v>
      </c>
      <c r="V5" s="37"/>
      <c r="W5" s="50"/>
    </row>
    <row r="6" spans="1:23" x14ac:dyDescent="0.25">
      <c r="A6" s="100"/>
      <c r="B6" s="136">
        <v>10</v>
      </c>
      <c r="C6" s="136">
        <v>0.7</v>
      </c>
      <c r="D6" s="53">
        <v>0.68527994999999997</v>
      </c>
      <c r="E6" s="250">
        <v>11.67</v>
      </c>
      <c r="F6" s="5"/>
      <c r="G6" s="5"/>
      <c r="I6" s="136">
        <v>100</v>
      </c>
      <c r="J6" s="136">
        <v>0.7</v>
      </c>
      <c r="K6" s="160">
        <v>0.69006999999999996</v>
      </c>
      <c r="L6" s="250">
        <v>20.55</v>
      </c>
      <c r="N6" s="34">
        <v>10000</v>
      </c>
      <c r="O6" s="399">
        <v>0.7</v>
      </c>
      <c r="P6" s="22">
        <v>0.69120110000000001</v>
      </c>
      <c r="Q6" s="417">
        <v>37.93</v>
      </c>
      <c r="V6" s="37"/>
      <c r="W6" s="50"/>
    </row>
    <row r="7" spans="1:23" x14ac:dyDescent="0.25">
      <c r="A7" s="100"/>
      <c r="B7" s="136">
        <v>10</v>
      </c>
      <c r="C7" s="136">
        <v>0.6</v>
      </c>
      <c r="D7" s="53">
        <v>0.63649241999999995</v>
      </c>
      <c r="E7" s="250">
        <v>12.82</v>
      </c>
      <c r="F7" s="5"/>
      <c r="G7" s="5"/>
      <c r="I7" s="136">
        <v>100</v>
      </c>
      <c r="J7" s="136">
        <v>0.6</v>
      </c>
      <c r="K7" s="160">
        <v>0.64305000000000001</v>
      </c>
      <c r="L7" s="250">
        <v>22.88</v>
      </c>
      <c r="N7" s="34">
        <v>10000</v>
      </c>
      <c r="O7" s="399">
        <v>0.6</v>
      </c>
      <c r="P7" s="22">
        <v>0.64206945000000004</v>
      </c>
      <c r="Q7" s="417">
        <v>42.49</v>
      </c>
      <c r="V7" s="37"/>
      <c r="W7" s="50"/>
    </row>
    <row r="8" spans="1:23" x14ac:dyDescent="0.25">
      <c r="A8" s="100"/>
      <c r="B8" s="136">
        <v>10</v>
      </c>
      <c r="C8" s="136">
        <v>0.5</v>
      </c>
      <c r="D8" s="53">
        <v>0.57782975999999997</v>
      </c>
      <c r="E8" s="250">
        <v>14.33</v>
      </c>
      <c r="F8" s="5"/>
      <c r="G8" s="5"/>
      <c r="I8" s="136">
        <v>100</v>
      </c>
      <c r="J8" s="136">
        <v>0.5</v>
      </c>
      <c r="K8" s="160">
        <v>0.58319500000000002</v>
      </c>
      <c r="L8" s="250">
        <v>26.02</v>
      </c>
      <c r="N8" s="34">
        <v>10000</v>
      </c>
      <c r="O8" s="399">
        <v>0.5</v>
      </c>
      <c r="P8" s="23">
        <v>0.58279119999999995</v>
      </c>
      <c r="Q8" s="249">
        <v>48.76</v>
      </c>
      <c r="V8" s="37"/>
      <c r="W8" s="29"/>
    </row>
    <row r="9" spans="1:23" x14ac:dyDescent="0.25">
      <c r="A9" s="100"/>
      <c r="B9" s="136">
        <v>10</v>
      </c>
      <c r="C9" s="136">
        <v>0.4</v>
      </c>
      <c r="D9" s="53">
        <v>0.50670199999999999</v>
      </c>
      <c r="E9" s="250">
        <v>16.39</v>
      </c>
      <c r="F9" s="5"/>
      <c r="G9" s="5"/>
      <c r="I9" s="136">
        <v>100</v>
      </c>
      <c r="J9" s="136">
        <v>0.4</v>
      </c>
      <c r="K9" s="160">
        <v>0.51131000000000004</v>
      </c>
      <c r="L9" s="250">
        <v>30.56</v>
      </c>
      <c r="N9" s="34">
        <v>10000</v>
      </c>
      <c r="O9" s="399">
        <v>0.45</v>
      </c>
      <c r="P9" s="23">
        <v>0.54867895</v>
      </c>
      <c r="Q9" s="249">
        <v>52.88</v>
      </c>
      <c r="V9" s="37"/>
      <c r="W9" s="29"/>
    </row>
    <row r="10" spans="1:23" x14ac:dyDescent="0.25">
      <c r="A10" s="100"/>
      <c r="B10" s="136">
        <v>10</v>
      </c>
      <c r="C10" s="136">
        <v>0.3</v>
      </c>
      <c r="D10" s="53">
        <v>0.41929071000000001</v>
      </c>
      <c r="E10" s="250">
        <v>19.399999999999999</v>
      </c>
      <c r="F10" s="5"/>
      <c r="G10" s="5"/>
      <c r="H10" s="49"/>
      <c r="I10" s="136">
        <v>100</v>
      </c>
      <c r="J10" s="136">
        <v>0.3</v>
      </c>
      <c r="K10" s="160">
        <v>0.42327500000000001</v>
      </c>
      <c r="L10" s="250">
        <v>37.74</v>
      </c>
      <c r="M10" s="49"/>
      <c r="N10" s="34">
        <v>10000</v>
      </c>
      <c r="O10" s="399">
        <v>0.4</v>
      </c>
      <c r="P10" s="23">
        <v>0.51115730000000004</v>
      </c>
      <c r="Q10" s="249">
        <v>57.98</v>
      </c>
      <c r="V10" s="37"/>
      <c r="W10" s="29"/>
    </row>
    <row r="11" spans="1:23" x14ac:dyDescent="0.25">
      <c r="A11" s="100"/>
      <c r="B11" s="136">
        <v>10</v>
      </c>
      <c r="C11" s="136">
        <v>0.2</v>
      </c>
      <c r="D11" s="53">
        <v>0.31122314000000001</v>
      </c>
      <c r="E11" s="250">
        <v>24.09</v>
      </c>
      <c r="F11" s="5"/>
      <c r="G11" s="5"/>
      <c r="H11" s="39"/>
      <c r="I11" s="136">
        <v>100</v>
      </c>
      <c r="J11" s="136">
        <v>0.2</v>
      </c>
      <c r="K11" s="160">
        <v>0.31474999999999997</v>
      </c>
      <c r="L11" s="250">
        <v>51.03</v>
      </c>
      <c r="M11" s="39"/>
      <c r="N11" s="34">
        <v>10000</v>
      </c>
      <c r="O11" s="399">
        <v>0.35</v>
      </c>
      <c r="P11" s="23">
        <v>0.46936359999999999</v>
      </c>
      <c r="Q11" s="249">
        <v>64.44</v>
      </c>
      <c r="V11" s="37"/>
      <c r="W11" s="29"/>
    </row>
    <row r="12" spans="1:23" x14ac:dyDescent="0.25">
      <c r="A12" s="100"/>
      <c r="B12" s="136">
        <v>10</v>
      </c>
      <c r="C12" s="136">
        <v>0.1</v>
      </c>
      <c r="D12" s="53">
        <v>0.17873684000000001</v>
      </c>
      <c r="E12" s="418">
        <v>31.44</v>
      </c>
      <c r="F12" s="5"/>
      <c r="G12" s="5"/>
      <c r="H12" s="39"/>
      <c r="I12" s="136">
        <v>100</v>
      </c>
      <c r="J12" s="136">
        <v>0.1</v>
      </c>
      <c r="K12" s="160">
        <v>0.17630999999999999</v>
      </c>
      <c r="L12" s="250">
        <v>85.57</v>
      </c>
      <c r="M12" s="39"/>
      <c r="N12" s="34">
        <v>10000</v>
      </c>
      <c r="O12" s="399">
        <v>0.3</v>
      </c>
      <c r="P12" s="23">
        <v>0.42288920000000002</v>
      </c>
      <c r="Q12" s="249">
        <v>72.92</v>
      </c>
      <c r="V12" s="37"/>
      <c r="W12" s="29"/>
    </row>
    <row r="13" spans="1:23" x14ac:dyDescent="0.25">
      <c r="A13" s="39"/>
      <c r="B13" s="136">
        <v>10</v>
      </c>
      <c r="C13" s="136">
        <v>0.08</v>
      </c>
      <c r="D13" s="53">
        <v>0.1502695</v>
      </c>
      <c r="E13" s="250">
        <v>33.11</v>
      </c>
      <c r="F13" s="5"/>
      <c r="G13" s="5"/>
      <c r="I13" s="136">
        <v>100</v>
      </c>
      <c r="J13" s="136">
        <v>0.05</v>
      </c>
      <c r="K13" s="160">
        <v>9.3625E-2</v>
      </c>
      <c r="L13" s="250">
        <v>140.74</v>
      </c>
      <c r="N13" s="34">
        <v>10000</v>
      </c>
      <c r="O13" s="399">
        <v>0.25</v>
      </c>
      <c r="P13" s="23">
        <v>0.37138775000000002</v>
      </c>
      <c r="Q13" s="249">
        <v>84.59</v>
      </c>
      <c r="V13" s="37"/>
      <c r="W13" s="29"/>
    </row>
    <row r="14" spans="1:23" x14ac:dyDescent="0.25">
      <c r="A14" s="39"/>
      <c r="B14" s="136">
        <v>10</v>
      </c>
      <c r="C14" s="136">
        <v>0.06</v>
      </c>
      <c r="D14" s="53">
        <v>0.12220093999999999</v>
      </c>
      <c r="E14" s="250">
        <v>34.69</v>
      </c>
      <c r="F14" s="5"/>
      <c r="G14" s="5"/>
      <c r="I14" s="136">
        <v>100</v>
      </c>
      <c r="J14" s="251">
        <v>0.01</v>
      </c>
      <c r="K14" s="160">
        <v>2.0424999999999999E-2</v>
      </c>
      <c r="L14" s="250">
        <v>331.32</v>
      </c>
      <c r="N14" s="249">
        <v>10000</v>
      </c>
      <c r="O14" s="400">
        <v>0.2</v>
      </c>
      <c r="P14" s="53">
        <v>0.31389735000000002</v>
      </c>
      <c r="Q14" s="249">
        <v>101.72</v>
      </c>
      <c r="V14" s="37"/>
      <c r="W14" s="29"/>
    </row>
    <row r="15" spans="1:23" x14ac:dyDescent="0.25">
      <c r="A15" s="39"/>
      <c r="B15" s="136">
        <v>10</v>
      </c>
      <c r="C15" s="136">
        <v>0.05</v>
      </c>
      <c r="D15" s="53">
        <v>0.10860179</v>
      </c>
      <c r="E15" s="250">
        <v>35.4</v>
      </c>
      <c r="F15" s="5"/>
      <c r="G15" s="5"/>
      <c r="I15" s="136">
        <v>100</v>
      </c>
      <c r="J15" s="136">
        <v>5.0000000000000001E-3</v>
      </c>
      <c r="K15" s="160">
        <v>1.1325E-2</v>
      </c>
      <c r="L15" s="250">
        <v>375.96</v>
      </c>
      <c r="N15" s="249">
        <v>10000</v>
      </c>
      <c r="O15" s="400">
        <v>0.15</v>
      </c>
      <c r="P15" s="53">
        <v>0.24885784999999999</v>
      </c>
      <c r="Q15" s="249">
        <v>129.46</v>
      </c>
      <c r="V15" s="37"/>
      <c r="W15" s="29"/>
    </row>
    <row r="16" spans="1:23" ht="15.75" x14ac:dyDescent="0.25">
      <c r="A16" s="404"/>
      <c r="B16" s="136">
        <v>10</v>
      </c>
      <c r="C16" s="136">
        <v>0.04</v>
      </c>
      <c r="D16" s="53">
        <v>9.5400979999999996E-2</v>
      </c>
      <c r="E16" s="250">
        <v>36.03</v>
      </c>
      <c r="F16" s="5"/>
      <c r="G16" s="5"/>
      <c r="I16" s="136">
        <v>100</v>
      </c>
      <c r="J16" s="384">
        <v>1E-3</v>
      </c>
      <c r="K16" s="422">
        <v>6.2500000000000003E-3</v>
      </c>
      <c r="L16" s="397">
        <v>402.31</v>
      </c>
      <c r="N16" s="249">
        <v>10000</v>
      </c>
      <c r="O16" s="400">
        <v>0.1</v>
      </c>
      <c r="P16" s="53">
        <v>0.17616285000000001</v>
      </c>
      <c r="Q16" s="249">
        <v>182.72</v>
      </c>
      <c r="V16" s="37"/>
      <c r="W16" s="29"/>
    </row>
    <row r="17" spans="1:23" x14ac:dyDescent="0.25">
      <c r="A17" s="39"/>
      <c r="B17" s="136">
        <v>10</v>
      </c>
      <c r="C17" s="136">
        <v>0.02</v>
      </c>
      <c r="D17" s="53">
        <v>7.0990429999999993E-2</v>
      </c>
      <c r="E17" s="250">
        <v>36.94</v>
      </c>
      <c r="F17" s="5"/>
      <c r="G17" s="5"/>
      <c r="I17" s="136">
        <v>100</v>
      </c>
      <c r="J17" s="136">
        <v>5.0000000000000001E-4</v>
      </c>
      <c r="K17" s="160">
        <v>5.2449999999999997E-3</v>
      </c>
      <c r="L17" s="250">
        <v>400.06</v>
      </c>
      <c r="N17" s="249">
        <v>10000</v>
      </c>
      <c r="O17" s="400">
        <v>0.05</v>
      </c>
      <c r="P17" s="53">
        <v>9.3663499999999997E-2</v>
      </c>
      <c r="Q17" s="249">
        <v>331.58</v>
      </c>
      <c r="V17" s="37"/>
      <c r="W17" s="29"/>
    </row>
    <row r="18" spans="1:23" ht="15.75" x14ac:dyDescent="0.25">
      <c r="A18" s="39"/>
      <c r="B18" s="136">
        <v>10</v>
      </c>
      <c r="C18" s="396">
        <v>0.01</v>
      </c>
      <c r="D18" s="385">
        <v>6.0028039999999998E-2</v>
      </c>
      <c r="E18" s="397">
        <v>37.200000000000003</v>
      </c>
      <c r="F18" s="407"/>
      <c r="G18" s="407"/>
      <c r="I18" s="136">
        <v>100</v>
      </c>
      <c r="J18" s="251">
        <v>1E-4</v>
      </c>
      <c r="K18" s="160">
        <v>5.2649999999999997E-3</v>
      </c>
      <c r="L18" s="250">
        <v>397.95</v>
      </c>
      <c r="N18" s="249">
        <v>10000</v>
      </c>
      <c r="O18" s="401">
        <v>0.01</v>
      </c>
      <c r="P18" s="53">
        <v>1.97156E-2</v>
      </c>
      <c r="Q18" s="249">
        <v>1315.43</v>
      </c>
      <c r="V18" s="413"/>
      <c r="W18" s="29"/>
    </row>
    <row r="19" spans="1:23" ht="15.75" x14ac:dyDescent="0.25">
      <c r="A19" s="404"/>
      <c r="B19" s="136">
        <v>10</v>
      </c>
      <c r="C19" s="375">
        <v>5.0000000000000001E-3</v>
      </c>
      <c r="D19" s="53">
        <v>5.4871679999999999E-2</v>
      </c>
      <c r="E19" s="250">
        <v>37.25</v>
      </c>
      <c r="F19" s="30"/>
      <c r="G19" s="30"/>
      <c r="I19" s="136">
        <v>100</v>
      </c>
      <c r="J19" s="251">
        <v>5.0000000000000002E-5</v>
      </c>
      <c r="K19" s="160">
        <v>5.3049999999999998E-3</v>
      </c>
      <c r="L19" s="250">
        <v>392.81</v>
      </c>
      <c r="N19" s="249">
        <v>10000</v>
      </c>
      <c r="O19" s="400">
        <v>8.9999999999999993E-3</v>
      </c>
      <c r="P19" s="53">
        <v>1.7790400000000001E-2</v>
      </c>
      <c r="Q19" s="249">
        <v>1437.75</v>
      </c>
      <c r="V19" s="37"/>
      <c r="W19" s="29"/>
    </row>
    <row r="20" spans="1:23" x14ac:dyDescent="0.25">
      <c r="B20" s="136">
        <v>10</v>
      </c>
      <c r="C20" s="375">
        <v>1E-3</v>
      </c>
      <c r="D20" s="53">
        <v>5.0940609999999997E-2</v>
      </c>
      <c r="E20" s="250">
        <v>37.270000000000003</v>
      </c>
      <c r="F20" s="30"/>
      <c r="G20" s="30"/>
      <c r="H20" s="39"/>
      <c r="I20" s="136">
        <v>100</v>
      </c>
      <c r="J20" s="251">
        <v>1.0000000000000001E-5</v>
      </c>
      <c r="K20" s="160">
        <v>5.0600000000000003E-3</v>
      </c>
      <c r="L20" s="250">
        <v>395.07</v>
      </c>
      <c r="M20" s="39"/>
      <c r="N20" s="249">
        <v>10000</v>
      </c>
      <c r="O20" s="400">
        <v>8.0000000000000002E-3</v>
      </c>
      <c r="P20" s="53">
        <v>1.580295E-2</v>
      </c>
      <c r="Q20" s="249">
        <v>1587.97</v>
      </c>
      <c r="V20" s="37"/>
      <c r="W20" s="29"/>
    </row>
    <row r="21" spans="1:23" x14ac:dyDescent="0.25">
      <c r="B21" s="136">
        <v>10</v>
      </c>
      <c r="C21" s="136">
        <v>1E-4</v>
      </c>
      <c r="D21" s="53">
        <v>5.0116069999999999E-2</v>
      </c>
      <c r="E21" s="250">
        <v>37.270000000000003</v>
      </c>
      <c r="F21" s="30"/>
      <c r="G21" s="30"/>
      <c r="H21" s="39"/>
      <c r="I21" s="136">
        <v>100</v>
      </c>
      <c r="J21" s="251">
        <v>5.0000000000000004E-6</v>
      </c>
      <c r="K21" s="160">
        <v>5.1399999999999996E-3</v>
      </c>
      <c r="L21" s="250">
        <v>405.29</v>
      </c>
      <c r="M21" s="39"/>
      <c r="N21" s="249">
        <v>10000</v>
      </c>
      <c r="O21" s="400">
        <v>7.0000000000000001E-3</v>
      </c>
      <c r="P21" s="53">
        <v>1.39011E-2</v>
      </c>
      <c r="Q21" s="249">
        <v>1775.35</v>
      </c>
      <c r="V21" s="37"/>
      <c r="W21" s="29"/>
    </row>
    <row r="22" spans="1:23" x14ac:dyDescent="0.25">
      <c r="B22" s="136">
        <v>10</v>
      </c>
      <c r="C22" s="375">
        <v>1.0000000000000001E-5</v>
      </c>
      <c r="D22" s="53">
        <v>4.9994629999999998E-2</v>
      </c>
      <c r="E22" s="250">
        <v>37.26</v>
      </c>
      <c r="F22" s="30"/>
      <c r="G22" s="30"/>
      <c r="H22" s="39"/>
      <c r="I22" s="136">
        <v>100</v>
      </c>
      <c r="J22" s="251">
        <v>9.9999999999999995E-7</v>
      </c>
      <c r="K22" s="160">
        <v>5.0099999999999997E-3</v>
      </c>
      <c r="L22" s="250">
        <v>385.9</v>
      </c>
      <c r="M22" s="39"/>
      <c r="N22" s="249">
        <v>10000</v>
      </c>
      <c r="O22" s="400">
        <v>6.0000000000000001E-3</v>
      </c>
      <c r="P22" s="53">
        <v>1.191395E-2</v>
      </c>
      <c r="Q22" s="249">
        <v>2019.92</v>
      </c>
      <c r="V22" s="37"/>
      <c r="W22" s="29"/>
    </row>
    <row r="23" spans="1:23" x14ac:dyDescent="0.25">
      <c r="B23" s="136">
        <v>10</v>
      </c>
      <c r="C23" s="375">
        <v>9.9999999999999995E-7</v>
      </c>
      <c r="D23" s="53">
        <v>5.0024699999999998E-2</v>
      </c>
      <c r="E23" s="250">
        <v>37.28</v>
      </c>
      <c r="F23" s="30"/>
      <c r="G23" s="30"/>
      <c r="H23" s="39"/>
      <c r="I23" s="136">
        <v>100</v>
      </c>
      <c r="J23" s="251">
        <v>4.9999999999999998E-7</v>
      </c>
      <c r="K23" s="160">
        <v>5.1850000000000004E-3</v>
      </c>
      <c r="L23" s="250">
        <v>387.67</v>
      </c>
      <c r="M23" s="39"/>
      <c r="N23" s="249">
        <v>10000</v>
      </c>
      <c r="O23" s="400">
        <v>5.0000000000000001E-3</v>
      </c>
      <c r="P23" s="53">
        <v>9.92525E-3</v>
      </c>
      <c r="Q23" s="249">
        <v>2351.69</v>
      </c>
      <c r="V23" s="37"/>
      <c r="W23" s="29"/>
    </row>
    <row r="24" spans="1:23" ht="15.75" x14ac:dyDescent="0.25">
      <c r="B24" s="136">
        <v>10</v>
      </c>
      <c r="C24" s="274">
        <v>0</v>
      </c>
      <c r="D24" s="385">
        <v>5.0026429999999997E-2</v>
      </c>
      <c r="E24" s="397">
        <v>37.28</v>
      </c>
      <c r="F24" s="407"/>
      <c r="G24" s="407"/>
      <c r="H24" s="39"/>
      <c r="I24" s="136">
        <v>100</v>
      </c>
      <c r="J24" s="251">
        <v>9.9999999999999995E-8</v>
      </c>
      <c r="K24" s="160">
        <v>5.025E-3</v>
      </c>
      <c r="L24" s="250">
        <v>403.27</v>
      </c>
      <c r="M24" s="39"/>
      <c r="N24" s="249">
        <v>10000</v>
      </c>
      <c r="O24" s="400">
        <v>4.0000000000000001E-3</v>
      </c>
      <c r="P24" s="53">
        <v>7.9745500000000004E-3</v>
      </c>
      <c r="Q24" s="249">
        <v>2825.1</v>
      </c>
      <c r="V24" s="37"/>
      <c r="W24" s="29"/>
    </row>
    <row r="25" spans="1:23" ht="15.75" x14ac:dyDescent="0.25">
      <c r="B25" s="136">
        <v>10</v>
      </c>
      <c r="C25" s="136">
        <v>-1</v>
      </c>
      <c r="D25" s="366">
        <v>0</v>
      </c>
      <c r="E25" s="250" t="s">
        <v>12</v>
      </c>
      <c r="H25" s="39"/>
      <c r="I25" s="136">
        <v>100</v>
      </c>
      <c r="J25" s="136">
        <v>0</v>
      </c>
      <c r="K25" s="422">
        <v>5.0899999999999999E-3</v>
      </c>
      <c r="L25" s="397">
        <v>396.37</v>
      </c>
      <c r="M25" s="39"/>
      <c r="N25" s="249">
        <v>10000</v>
      </c>
      <c r="O25" s="400">
        <v>3.0000000000000001E-3</v>
      </c>
      <c r="P25" s="53">
        <v>5.9617999999999997E-3</v>
      </c>
      <c r="Q25" s="249">
        <v>3571.39</v>
      </c>
      <c r="V25" s="37"/>
      <c r="W25" s="29"/>
    </row>
    <row r="26" spans="1:23" x14ac:dyDescent="0.25">
      <c r="B26" s="136">
        <v>10</v>
      </c>
      <c r="C26" s="136">
        <v>-0.9</v>
      </c>
      <c r="D26" s="366">
        <v>0</v>
      </c>
      <c r="E26" s="250" t="s">
        <v>12</v>
      </c>
      <c r="H26" s="39"/>
      <c r="I26" s="136">
        <v>100</v>
      </c>
      <c r="J26" s="373">
        <v>-1</v>
      </c>
      <c r="K26" s="365">
        <v>0</v>
      </c>
      <c r="L26" s="408" t="s">
        <v>12</v>
      </c>
      <c r="M26" s="39"/>
      <c r="N26" s="249">
        <v>10000</v>
      </c>
      <c r="O26" s="400">
        <v>2E-3</v>
      </c>
      <c r="P26" s="53">
        <v>3.9671000000000003E-3</v>
      </c>
      <c r="Q26" s="249">
        <v>4943.93</v>
      </c>
      <c r="V26" s="37"/>
      <c r="W26" s="29"/>
    </row>
    <row r="27" spans="1:23" x14ac:dyDescent="0.25">
      <c r="B27" s="136">
        <v>10</v>
      </c>
      <c r="C27" s="136">
        <v>-0.8</v>
      </c>
      <c r="D27" s="366">
        <v>0</v>
      </c>
      <c r="E27" s="250" t="s">
        <v>12</v>
      </c>
      <c r="H27" s="255"/>
      <c r="I27" s="136">
        <v>100</v>
      </c>
      <c r="J27" s="354">
        <v>-0.1</v>
      </c>
      <c r="K27" s="375">
        <v>0</v>
      </c>
      <c r="L27" s="250" t="s">
        <v>12</v>
      </c>
      <c r="M27" s="255"/>
      <c r="N27" s="249">
        <v>10000</v>
      </c>
      <c r="O27" s="401">
        <v>1E-3</v>
      </c>
      <c r="P27" s="53">
        <v>2.0051499999999998E-3</v>
      </c>
      <c r="Q27" s="249">
        <v>8490.66</v>
      </c>
      <c r="V27" s="413"/>
      <c r="W27" s="29"/>
    </row>
    <row r="28" spans="1:23" x14ac:dyDescent="0.25">
      <c r="B28" s="136">
        <v>10</v>
      </c>
      <c r="C28" s="136">
        <v>-0.7</v>
      </c>
      <c r="D28" s="366">
        <v>0</v>
      </c>
      <c r="E28" s="250" t="s">
        <v>12</v>
      </c>
      <c r="H28" s="255"/>
      <c r="I28" s="136">
        <v>100</v>
      </c>
      <c r="J28" s="354">
        <v>-0.05</v>
      </c>
      <c r="K28" s="375">
        <v>0</v>
      </c>
      <c r="L28" s="250" t="s">
        <v>12</v>
      </c>
      <c r="M28" s="255"/>
      <c r="N28" s="249">
        <v>10000</v>
      </c>
      <c r="O28" s="401">
        <v>1E-4</v>
      </c>
      <c r="P28" s="53">
        <v>2.106E-4</v>
      </c>
      <c r="Q28" s="249">
        <v>33464.42</v>
      </c>
      <c r="V28" s="413"/>
      <c r="W28" s="29"/>
    </row>
    <row r="29" spans="1:23" ht="15.75" x14ac:dyDescent="0.25">
      <c r="B29" s="136">
        <v>10</v>
      </c>
      <c r="C29" s="136">
        <v>-0.6</v>
      </c>
      <c r="D29" s="366">
        <v>0</v>
      </c>
      <c r="E29" s="250" t="s">
        <v>12</v>
      </c>
      <c r="H29" s="255"/>
      <c r="I29" s="136">
        <v>100</v>
      </c>
      <c r="J29" s="354">
        <v>-0.01</v>
      </c>
      <c r="K29" s="396">
        <v>4.6999999999999999E-4</v>
      </c>
      <c r="L29" s="397" t="s">
        <v>12</v>
      </c>
      <c r="M29" s="255"/>
      <c r="N29" s="249">
        <v>10000</v>
      </c>
      <c r="O29" s="402">
        <v>1.0000000000000001E-5</v>
      </c>
      <c r="P29" s="385">
        <v>6.1849999999999999E-5</v>
      </c>
      <c r="Q29" s="275">
        <v>40360.71</v>
      </c>
      <c r="V29" s="414"/>
      <c r="W29" s="415"/>
    </row>
    <row r="30" spans="1:23" x14ac:dyDescent="0.25">
      <c r="B30" s="136">
        <v>10</v>
      </c>
      <c r="C30" s="136">
        <v>-0.5</v>
      </c>
      <c r="D30" s="366">
        <v>0</v>
      </c>
      <c r="E30" s="250" t="s">
        <v>12</v>
      </c>
      <c r="H30" s="255"/>
      <c r="I30" s="136">
        <v>100</v>
      </c>
      <c r="J30" s="354">
        <v>-5.0000000000000001E-3</v>
      </c>
      <c r="K30" s="375">
        <v>1.6299999999999999E-3</v>
      </c>
      <c r="L30" s="250">
        <v>365.55</v>
      </c>
      <c r="M30" s="255"/>
      <c r="N30" s="249">
        <v>10000</v>
      </c>
      <c r="O30" s="401">
        <v>9.9999999999999995E-7</v>
      </c>
      <c r="P30" s="58">
        <v>5.1249999999999999E-5</v>
      </c>
      <c r="Q30" s="249">
        <v>40056.019999999997</v>
      </c>
      <c r="V30" s="413"/>
      <c r="W30" s="59"/>
    </row>
    <row r="31" spans="1:23" ht="15.75" x14ac:dyDescent="0.25">
      <c r="B31" s="136">
        <v>10</v>
      </c>
      <c r="C31" s="136">
        <v>-0.4</v>
      </c>
      <c r="D31" s="366">
        <v>0</v>
      </c>
      <c r="E31" s="250" t="s">
        <v>12</v>
      </c>
      <c r="H31" s="39"/>
      <c r="I31" s="136">
        <v>100</v>
      </c>
      <c r="J31" s="423">
        <v>-1E-3</v>
      </c>
      <c r="K31" s="375">
        <v>4.0699999999999998E-3</v>
      </c>
      <c r="L31" s="250">
        <v>393.84</v>
      </c>
      <c r="M31" s="39"/>
      <c r="N31" s="249">
        <v>10000</v>
      </c>
      <c r="O31" s="401">
        <v>9.9999999999999995E-8</v>
      </c>
      <c r="P31" s="58">
        <v>4.905E-5</v>
      </c>
      <c r="Q31" s="249">
        <v>41302.959999999999</v>
      </c>
      <c r="V31" s="413"/>
      <c r="W31" s="59"/>
    </row>
    <row r="32" spans="1:23" ht="15.75" x14ac:dyDescent="0.25">
      <c r="B32" s="136">
        <v>10</v>
      </c>
      <c r="C32" s="136">
        <v>-0.3</v>
      </c>
      <c r="D32" s="366">
        <v>6.7999999999999995E-7</v>
      </c>
      <c r="E32" s="250">
        <v>16.07</v>
      </c>
      <c r="H32" s="255"/>
      <c r="I32" s="136">
        <v>100</v>
      </c>
      <c r="J32" s="354">
        <v>-5.0000000000000001E-4</v>
      </c>
      <c r="K32" s="375">
        <v>4.4999999999999997E-3</v>
      </c>
      <c r="L32" s="250">
        <v>395.73</v>
      </c>
      <c r="M32" s="255"/>
      <c r="N32" s="249">
        <v>10000</v>
      </c>
      <c r="O32" s="400">
        <v>0</v>
      </c>
      <c r="P32" s="385">
        <v>4.9200000000000003E-5</v>
      </c>
      <c r="Q32" s="275">
        <v>39104.379999999997</v>
      </c>
      <c r="V32" s="37"/>
      <c r="W32" s="415"/>
    </row>
    <row r="33" spans="2:23" x14ac:dyDescent="0.25">
      <c r="B33" s="136">
        <v>10</v>
      </c>
      <c r="C33" s="136">
        <v>-0.2</v>
      </c>
      <c r="D33" s="366">
        <v>7.6929999999999997E-5</v>
      </c>
      <c r="E33" s="250">
        <v>21.53</v>
      </c>
      <c r="H33" s="364"/>
      <c r="I33" s="136">
        <v>100</v>
      </c>
      <c r="J33" s="354">
        <v>-1E-4</v>
      </c>
      <c r="K33" s="375">
        <v>5.195E-3</v>
      </c>
      <c r="L33" s="250">
        <v>398.09</v>
      </c>
      <c r="M33" s="364"/>
      <c r="N33" s="249">
        <v>10000</v>
      </c>
      <c r="O33" s="403">
        <v>-1</v>
      </c>
      <c r="P33" s="365">
        <v>0</v>
      </c>
      <c r="Q33" s="408" t="s">
        <v>12</v>
      </c>
      <c r="V33" s="406"/>
      <c r="W33" s="45"/>
    </row>
    <row r="34" spans="2:23" x14ac:dyDescent="0.25">
      <c r="B34" s="136">
        <v>10</v>
      </c>
      <c r="C34" s="136">
        <v>-0.1</v>
      </c>
      <c r="D34" s="366">
        <v>3.5496E-3</v>
      </c>
      <c r="E34" s="418" t="s">
        <v>9</v>
      </c>
      <c r="I34" s="136">
        <v>100</v>
      </c>
      <c r="J34" s="354">
        <v>-5.0000000000000002E-5</v>
      </c>
      <c r="K34" s="375">
        <v>4.895E-3</v>
      </c>
      <c r="L34" s="250">
        <v>393.63</v>
      </c>
      <c r="N34" s="249">
        <v>10000</v>
      </c>
      <c r="O34" s="401">
        <v>-0.1</v>
      </c>
      <c r="P34" s="365">
        <v>0</v>
      </c>
      <c r="Q34" s="408" t="s">
        <v>12</v>
      </c>
      <c r="V34" s="406"/>
      <c r="W34" s="45"/>
    </row>
    <row r="35" spans="2:23" x14ac:dyDescent="0.25">
      <c r="B35" s="136">
        <v>10</v>
      </c>
      <c r="C35" s="136">
        <v>-0.08</v>
      </c>
      <c r="D35" s="366">
        <v>6.7397500000000001E-3</v>
      </c>
      <c r="E35" s="250">
        <v>32.57</v>
      </c>
      <c r="I35" s="136">
        <v>100</v>
      </c>
      <c r="J35" s="354">
        <v>-1.0000000000000001E-5</v>
      </c>
      <c r="K35" s="375">
        <v>4.8149999999999998E-3</v>
      </c>
      <c r="L35" s="250">
        <v>393.4</v>
      </c>
      <c r="N35" s="249">
        <v>10000</v>
      </c>
      <c r="O35" s="401">
        <v>-0.05</v>
      </c>
      <c r="P35" s="375">
        <v>0</v>
      </c>
      <c r="Q35" s="250" t="s">
        <v>12</v>
      </c>
      <c r="V35" s="386"/>
      <c r="W35" s="45"/>
    </row>
    <row r="36" spans="2:23" x14ac:dyDescent="0.25">
      <c r="B36" s="136">
        <v>10</v>
      </c>
      <c r="C36" s="136">
        <v>-0.06</v>
      </c>
      <c r="D36" s="366">
        <v>1.214899E-2</v>
      </c>
      <c r="E36" s="250">
        <v>34.4</v>
      </c>
      <c r="I36" s="136">
        <v>100</v>
      </c>
      <c r="J36" s="354">
        <v>-5.0000000000000004E-6</v>
      </c>
      <c r="K36" s="375">
        <v>5.0699999999999999E-3</v>
      </c>
      <c r="L36" s="250">
        <v>379.08</v>
      </c>
      <c r="N36" s="249">
        <v>10000</v>
      </c>
      <c r="O36" s="401">
        <v>-0.01</v>
      </c>
      <c r="P36" s="375">
        <v>0</v>
      </c>
      <c r="Q36" s="250" t="s">
        <v>12</v>
      </c>
      <c r="V36" s="386"/>
      <c r="W36" s="45"/>
    </row>
    <row r="37" spans="2:23" x14ac:dyDescent="0.25">
      <c r="B37" s="136">
        <v>10</v>
      </c>
      <c r="C37" s="136">
        <v>-0.05</v>
      </c>
      <c r="D37" s="366">
        <v>1.5968130000000001E-2</v>
      </c>
      <c r="E37" s="250">
        <v>35.229999999999997</v>
      </c>
      <c r="I37" s="136">
        <v>100</v>
      </c>
      <c r="J37" s="354">
        <v>-9.9999999999999995E-7</v>
      </c>
      <c r="K37" s="375">
        <v>5.195E-3</v>
      </c>
      <c r="L37" s="250">
        <v>408.28</v>
      </c>
      <c r="N37" s="249">
        <v>10000</v>
      </c>
      <c r="O37" s="401">
        <v>-5.0000000000000001E-3</v>
      </c>
      <c r="P37" s="375">
        <v>0</v>
      </c>
      <c r="Q37" s="250" t="s">
        <v>12</v>
      </c>
      <c r="V37" s="386"/>
      <c r="W37" s="45"/>
    </row>
    <row r="38" spans="2:23" ht="15.75" x14ac:dyDescent="0.25">
      <c r="B38" s="136">
        <v>10</v>
      </c>
      <c r="C38" s="136">
        <v>-0.04</v>
      </c>
      <c r="D38" s="366">
        <v>2.0698290000000001E-2</v>
      </c>
      <c r="E38" s="250">
        <v>35.94</v>
      </c>
      <c r="I38" s="136">
        <v>100</v>
      </c>
      <c r="J38" s="423">
        <v>0</v>
      </c>
      <c r="K38" s="396">
        <v>5.1549999999999999E-3</v>
      </c>
      <c r="L38" s="397">
        <v>387.82</v>
      </c>
      <c r="N38" s="249">
        <v>10000</v>
      </c>
      <c r="O38" s="401">
        <v>-1E-3</v>
      </c>
      <c r="P38" s="375">
        <v>0</v>
      </c>
      <c r="Q38" s="250" t="s">
        <v>12</v>
      </c>
      <c r="V38" s="386"/>
      <c r="W38" s="45"/>
    </row>
    <row r="39" spans="2:23" x14ac:dyDescent="0.25">
      <c r="B39" s="136">
        <v>10</v>
      </c>
      <c r="C39" s="136">
        <v>-0.02</v>
      </c>
      <c r="D39" s="366">
        <v>3.3177930000000001E-2</v>
      </c>
      <c r="E39" s="250">
        <v>36.92</v>
      </c>
      <c r="N39" s="249">
        <v>10000</v>
      </c>
      <c r="O39" s="401">
        <v>-5.0000000000000001E-4</v>
      </c>
      <c r="P39" s="375">
        <v>0</v>
      </c>
      <c r="Q39" s="250" t="s">
        <v>12</v>
      </c>
      <c r="V39" s="386"/>
      <c r="W39" s="45"/>
    </row>
    <row r="40" spans="2:23" ht="15.75" x14ac:dyDescent="0.25">
      <c r="B40" s="136">
        <v>10</v>
      </c>
      <c r="C40" s="274">
        <v>-0.01</v>
      </c>
      <c r="D40" s="366">
        <v>4.103122E-2</v>
      </c>
      <c r="E40" s="250">
        <v>37.19</v>
      </c>
      <c r="F40" s="364"/>
      <c r="I40" s="408" t="s">
        <v>11</v>
      </c>
      <c r="J40" s="409" t="s">
        <v>9</v>
      </c>
      <c r="K40" s="163" t="s">
        <v>27</v>
      </c>
      <c r="L40" s="408" t="s">
        <v>25</v>
      </c>
      <c r="N40" s="249">
        <v>10000</v>
      </c>
      <c r="O40" s="401">
        <v>-1E-4</v>
      </c>
      <c r="P40" s="375">
        <v>4.0500000000000002E-6</v>
      </c>
      <c r="Q40" s="250">
        <v>33322.76</v>
      </c>
      <c r="V40" s="386"/>
      <c r="W40" s="45"/>
    </row>
    <row r="41" spans="2:23" x14ac:dyDescent="0.25">
      <c r="B41" s="136">
        <v>10</v>
      </c>
      <c r="C41" s="136">
        <v>-5.0000000000000001E-3</v>
      </c>
      <c r="D41" s="366">
        <v>4.5377489999999999E-2</v>
      </c>
      <c r="E41" s="250">
        <v>37.270000000000003</v>
      </c>
      <c r="F41" s="364"/>
      <c r="I41" s="136">
        <v>100</v>
      </c>
      <c r="J41" s="251">
        <v>0.01</v>
      </c>
      <c r="K41" s="160">
        <v>2.0424999999999999E-2</v>
      </c>
      <c r="L41" s="250">
        <v>331.32</v>
      </c>
      <c r="N41" s="249">
        <v>10000</v>
      </c>
      <c r="O41" s="401">
        <v>-5.0000000000000002E-5</v>
      </c>
      <c r="P41" s="375">
        <v>1.8300000000000001E-5</v>
      </c>
      <c r="Q41" s="250">
        <v>36953.29</v>
      </c>
      <c r="V41" s="386"/>
      <c r="W41" s="45"/>
    </row>
    <row r="42" spans="2:23" ht="15.75" x14ac:dyDescent="0.25">
      <c r="B42" s="136">
        <v>10</v>
      </c>
      <c r="C42" s="136">
        <v>-1E-3</v>
      </c>
      <c r="D42" s="366">
        <v>4.9074899999999998E-2</v>
      </c>
      <c r="E42" s="250">
        <v>37.26</v>
      </c>
      <c r="F42" s="364"/>
      <c r="I42" s="136">
        <v>100</v>
      </c>
      <c r="J42" s="136">
        <v>5.0000000000000001E-3</v>
      </c>
      <c r="K42" s="160">
        <v>1.1325E-2</v>
      </c>
      <c r="L42" s="250">
        <v>375.96</v>
      </c>
      <c r="N42" s="249">
        <v>10000</v>
      </c>
      <c r="O42" s="402">
        <v>-1.0000000000000001E-5</v>
      </c>
      <c r="P42" s="396">
        <v>4.0099999999999999E-5</v>
      </c>
      <c r="Q42" s="397">
        <v>39535.17</v>
      </c>
      <c r="V42" s="416"/>
      <c r="W42" s="45"/>
    </row>
    <row r="43" spans="2:23" ht="15.75" x14ac:dyDescent="0.25">
      <c r="B43" s="136">
        <v>10</v>
      </c>
      <c r="C43" s="136">
        <v>-1E-4</v>
      </c>
      <c r="D43" s="366">
        <v>4.9903360000000001E-2</v>
      </c>
      <c r="E43" s="250">
        <v>37.270000000000003</v>
      </c>
      <c r="F43" s="364"/>
      <c r="I43" s="136">
        <v>100</v>
      </c>
      <c r="J43" s="384">
        <v>1E-3</v>
      </c>
      <c r="K43" s="422">
        <v>6.2500000000000003E-3</v>
      </c>
      <c r="L43" s="397">
        <v>402.31</v>
      </c>
      <c r="N43" s="249">
        <v>10000</v>
      </c>
      <c r="O43" s="401">
        <v>-9.9999999999999995E-7</v>
      </c>
      <c r="P43" s="375">
        <v>4.8050000000000002E-5</v>
      </c>
      <c r="Q43" s="250">
        <v>39644.25</v>
      </c>
      <c r="V43" s="386"/>
      <c r="W43" s="45"/>
    </row>
    <row r="44" spans="2:23" x14ac:dyDescent="0.25">
      <c r="B44" s="136">
        <v>10</v>
      </c>
      <c r="C44" s="375">
        <v>-1.0000000000000001E-5</v>
      </c>
      <c r="D44" s="366">
        <v>4.9981530000000003E-2</v>
      </c>
      <c r="E44" s="250">
        <v>37.28</v>
      </c>
      <c r="F44" s="364"/>
      <c r="I44" s="136">
        <v>100</v>
      </c>
      <c r="J44" s="136">
        <v>5.0000000000000001E-4</v>
      </c>
      <c r="K44" s="160">
        <v>5.2449999999999997E-3</v>
      </c>
      <c r="L44" s="250">
        <v>400.06</v>
      </c>
      <c r="N44" s="249">
        <v>10000</v>
      </c>
      <c r="O44" s="401">
        <v>-9.9999999999999995E-8</v>
      </c>
      <c r="P44" s="375">
        <v>5.1700000000000003E-5</v>
      </c>
      <c r="Q44" s="250">
        <v>40246.28</v>
      </c>
      <c r="V44" s="386"/>
      <c r="W44" s="45"/>
    </row>
    <row r="45" spans="2:23" x14ac:dyDescent="0.25">
      <c r="B45" s="136">
        <v>10</v>
      </c>
      <c r="C45" s="375">
        <v>-9.9999999999999995E-7</v>
      </c>
      <c r="D45" s="366">
        <v>5.0015329999999997E-2</v>
      </c>
      <c r="E45" s="250">
        <v>37.270000000000003</v>
      </c>
      <c r="F45" s="364"/>
      <c r="I45" s="136">
        <v>100</v>
      </c>
      <c r="J45" s="251">
        <v>1E-4</v>
      </c>
      <c r="K45" s="160">
        <v>5.2649999999999997E-3</v>
      </c>
      <c r="L45" s="250">
        <v>397.95</v>
      </c>
      <c r="N45" s="249">
        <v>10000</v>
      </c>
      <c r="O45" s="401">
        <v>-1E-8</v>
      </c>
      <c r="P45" s="375">
        <v>4.9200000000000003E-5</v>
      </c>
      <c r="Q45" s="250">
        <v>39701.32</v>
      </c>
      <c r="V45" s="386"/>
      <c r="W45" s="45"/>
    </row>
    <row r="46" spans="2:23" x14ac:dyDescent="0.25">
      <c r="B46" s="136">
        <v>10</v>
      </c>
      <c r="C46" s="136">
        <v>0</v>
      </c>
      <c r="D46" s="366">
        <v>5.0013929999999998E-2</v>
      </c>
      <c r="E46" s="250">
        <v>37.270000000000003</v>
      </c>
      <c r="F46" s="364"/>
      <c r="I46" s="136">
        <v>100</v>
      </c>
      <c r="J46" s="251">
        <v>5.0000000000000002E-5</v>
      </c>
      <c r="K46" s="160">
        <v>5.3049999999999998E-3</v>
      </c>
      <c r="L46" s="250">
        <v>392.81</v>
      </c>
      <c r="N46" s="249">
        <v>10000</v>
      </c>
      <c r="O46" s="401">
        <v>0</v>
      </c>
      <c r="P46" s="375">
        <v>4.9299999999999999E-5</v>
      </c>
      <c r="Q46" s="250">
        <v>39524.92</v>
      </c>
      <c r="V46" s="386"/>
      <c r="W46" s="45"/>
    </row>
    <row r="47" spans="2:23" x14ac:dyDescent="0.25">
      <c r="I47" s="136">
        <v>100</v>
      </c>
      <c r="J47" s="251">
        <v>1.0000000000000001E-5</v>
      </c>
      <c r="K47" s="160">
        <v>5.0600000000000003E-3</v>
      </c>
      <c r="L47" s="250">
        <v>395.07</v>
      </c>
    </row>
    <row r="48" spans="2:23" x14ac:dyDescent="0.25">
      <c r="B48" s="408" t="s">
        <v>11</v>
      </c>
      <c r="C48" s="409" t="s">
        <v>9</v>
      </c>
      <c r="D48" s="163" t="s">
        <v>27</v>
      </c>
      <c r="E48" s="366" t="s">
        <v>197</v>
      </c>
      <c r="F48" s="50"/>
      <c r="G48" s="50"/>
      <c r="I48" s="136">
        <v>100</v>
      </c>
      <c r="J48" s="251">
        <v>5.0000000000000004E-6</v>
      </c>
      <c r="K48" s="160">
        <v>5.1399999999999996E-3</v>
      </c>
      <c r="L48" s="250">
        <v>405.29</v>
      </c>
      <c r="N48" s="33" t="s">
        <v>11</v>
      </c>
      <c r="O48" s="11" t="s">
        <v>9</v>
      </c>
      <c r="P48" s="22" t="s">
        <v>27</v>
      </c>
      <c r="Q48" s="366" t="s">
        <v>197</v>
      </c>
    </row>
    <row r="49" spans="2:17" ht="15.75" x14ac:dyDescent="0.25">
      <c r="B49" s="136">
        <v>10</v>
      </c>
      <c r="C49" s="396">
        <v>0.01</v>
      </c>
      <c r="D49" s="385">
        <v>6.0028039999999998E-2</v>
      </c>
      <c r="E49" s="397">
        <v>37.200000000000003</v>
      </c>
      <c r="G49" s="405"/>
      <c r="I49" s="136">
        <v>100</v>
      </c>
      <c r="J49" s="251">
        <v>9.9999999999999995E-7</v>
      </c>
      <c r="K49" s="160">
        <v>5.0099999999999997E-3</v>
      </c>
      <c r="L49" s="250">
        <v>385.9</v>
      </c>
      <c r="N49" s="249">
        <v>10000</v>
      </c>
      <c r="O49" s="401">
        <v>0.01</v>
      </c>
      <c r="P49" s="53">
        <v>1.97156E-2</v>
      </c>
      <c r="Q49" s="249">
        <v>1315.43</v>
      </c>
    </row>
    <row r="50" spans="2:17" x14ac:dyDescent="0.25">
      <c r="B50" s="136">
        <v>10</v>
      </c>
      <c r="C50" s="375">
        <v>5.0000000000000001E-3</v>
      </c>
      <c r="D50" s="53">
        <v>5.4871679999999999E-2</v>
      </c>
      <c r="E50" s="250">
        <v>37.25</v>
      </c>
      <c r="G50" s="29"/>
      <c r="I50" s="136">
        <v>100</v>
      </c>
      <c r="J50" s="251">
        <v>4.9999999999999998E-7</v>
      </c>
      <c r="K50" s="160">
        <v>5.1850000000000004E-3</v>
      </c>
      <c r="L50" s="250">
        <v>387.67</v>
      </c>
      <c r="N50" s="249">
        <v>10000</v>
      </c>
      <c r="O50" s="400">
        <v>8.9999999999999993E-3</v>
      </c>
      <c r="P50" s="53">
        <v>1.7790400000000001E-2</v>
      </c>
      <c r="Q50" s="249">
        <v>1437.75</v>
      </c>
    </row>
    <row r="51" spans="2:17" x14ac:dyDescent="0.25">
      <c r="B51" s="136">
        <v>10</v>
      </c>
      <c r="C51" s="375">
        <v>1E-3</v>
      </c>
      <c r="D51" s="53">
        <v>5.0940609999999997E-2</v>
      </c>
      <c r="E51" s="250">
        <v>37.270000000000003</v>
      </c>
      <c r="G51" s="29"/>
      <c r="I51" s="136">
        <v>100</v>
      </c>
      <c r="J51" s="251">
        <v>9.9999999999999995E-8</v>
      </c>
      <c r="K51" s="160">
        <v>5.025E-3</v>
      </c>
      <c r="L51" s="250">
        <v>403.27</v>
      </c>
      <c r="N51" s="249">
        <v>10000</v>
      </c>
      <c r="O51" s="400">
        <v>8.0000000000000002E-3</v>
      </c>
      <c r="P51" s="53">
        <v>1.580295E-2</v>
      </c>
      <c r="Q51" s="249">
        <v>1587.97</v>
      </c>
    </row>
    <row r="52" spans="2:17" ht="15.75" x14ac:dyDescent="0.25">
      <c r="B52" s="136">
        <v>10</v>
      </c>
      <c r="C52" s="136">
        <v>1E-4</v>
      </c>
      <c r="D52" s="53">
        <v>5.0116069999999999E-2</v>
      </c>
      <c r="E52" s="250">
        <v>37.270000000000003</v>
      </c>
      <c r="G52" s="29"/>
      <c r="I52" s="136">
        <v>100</v>
      </c>
      <c r="J52" s="136">
        <v>0</v>
      </c>
      <c r="K52" s="422">
        <v>5.0899999999999999E-3</v>
      </c>
      <c r="L52" s="397">
        <v>396.37</v>
      </c>
      <c r="N52" s="249">
        <v>10000</v>
      </c>
      <c r="O52" s="400">
        <v>7.0000000000000001E-3</v>
      </c>
      <c r="P52" s="53">
        <v>1.39011E-2</v>
      </c>
      <c r="Q52" s="249">
        <v>1775.35</v>
      </c>
    </row>
    <row r="53" spans="2:17" ht="15.75" x14ac:dyDescent="0.25">
      <c r="B53" s="136">
        <v>10</v>
      </c>
      <c r="C53" s="375">
        <v>1.0000000000000001E-5</v>
      </c>
      <c r="D53" s="53">
        <v>4.9994629999999998E-2</v>
      </c>
      <c r="E53" s="250">
        <v>37.26</v>
      </c>
      <c r="G53" s="29"/>
      <c r="I53" s="136">
        <v>100</v>
      </c>
      <c r="J53" s="354">
        <v>-0.01</v>
      </c>
      <c r="K53" s="396">
        <v>4.6999999999999999E-4</v>
      </c>
      <c r="L53" s="397" t="s">
        <v>12</v>
      </c>
      <c r="N53" s="249">
        <v>10000</v>
      </c>
      <c r="O53" s="400">
        <v>6.0000000000000001E-3</v>
      </c>
      <c r="P53" s="53">
        <v>1.191395E-2</v>
      </c>
      <c r="Q53" s="249">
        <v>2019.92</v>
      </c>
    </row>
    <row r="54" spans="2:17" x14ac:dyDescent="0.25">
      <c r="B54" s="136">
        <v>10</v>
      </c>
      <c r="C54" s="375">
        <v>9.9999999999999995E-7</v>
      </c>
      <c r="D54" s="53">
        <v>5.0024699999999998E-2</v>
      </c>
      <c r="E54" s="250">
        <v>37.28</v>
      </c>
      <c r="G54" s="29"/>
      <c r="I54" s="136">
        <v>100</v>
      </c>
      <c r="J54" s="354">
        <v>-5.0000000000000001E-3</v>
      </c>
      <c r="K54" s="375">
        <v>1.6299999999999999E-3</v>
      </c>
      <c r="L54" s="250">
        <v>365.55</v>
      </c>
      <c r="N54" s="249">
        <v>10000</v>
      </c>
      <c r="O54" s="400">
        <v>5.0000000000000001E-3</v>
      </c>
      <c r="P54" s="53">
        <v>9.92525E-3</v>
      </c>
      <c r="Q54" s="249">
        <v>2351.69</v>
      </c>
    </row>
    <row r="55" spans="2:17" ht="15.75" x14ac:dyDescent="0.25">
      <c r="B55" s="136">
        <v>10</v>
      </c>
      <c r="C55" s="274">
        <v>0</v>
      </c>
      <c r="D55" s="385">
        <v>5.0026429999999997E-2</v>
      </c>
      <c r="E55" s="397">
        <v>37.28</v>
      </c>
      <c r="G55" s="405"/>
      <c r="I55" s="136">
        <v>100</v>
      </c>
      <c r="J55" s="423">
        <v>-1E-3</v>
      </c>
      <c r="K55" s="375">
        <v>4.0699999999999998E-3</v>
      </c>
      <c r="L55" s="250">
        <v>393.84</v>
      </c>
      <c r="N55" s="249">
        <v>10000</v>
      </c>
      <c r="O55" s="400">
        <v>4.0000000000000001E-3</v>
      </c>
      <c r="P55" s="53">
        <v>7.9745500000000004E-3</v>
      </c>
      <c r="Q55" s="249">
        <v>2825.1</v>
      </c>
    </row>
    <row r="56" spans="2:17" ht="15.75" x14ac:dyDescent="0.25">
      <c r="B56" s="136">
        <v>10</v>
      </c>
      <c r="C56" s="274">
        <v>-0.01</v>
      </c>
      <c r="D56" s="366">
        <v>4.103122E-2</v>
      </c>
      <c r="E56" s="250">
        <v>37.19</v>
      </c>
      <c r="G56" s="364"/>
      <c r="I56" s="136">
        <v>100</v>
      </c>
      <c r="J56" s="354">
        <v>-5.0000000000000001E-4</v>
      </c>
      <c r="K56" s="375">
        <v>4.4999999999999997E-3</v>
      </c>
      <c r="L56" s="250">
        <v>395.73</v>
      </c>
      <c r="N56" s="249">
        <v>10000</v>
      </c>
      <c r="O56" s="400">
        <v>3.0000000000000001E-3</v>
      </c>
      <c r="P56" s="53">
        <v>5.9617999999999997E-3</v>
      </c>
      <c r="Q56" s="249">
        <v>3571.39</v>
      </c>
    </row>
    <row r="57" spans="2:17" x14ac:dyDescent="0.25">
      <c r="B57" s="136">
        <v>10</v>
      </c>
      <c r="C57" s="136">
        <v>-5.0000000000000001E-3</v>
      </c>
      <c r="D57" s="366">
        <v>4.5377489999999999E-2</v>
      </c>
      <c r="E57" s="250">
        <v>37.270000000000003</v>
      </c>
      <c r="G57" s="364"/>
      <c r="I57" s="136">
        <v>100</v>
      </c>
      <c r="J57" s="354">
        <v>-1E-4</v>
      </c>
      <c r="K57" s="375">
        <v>5.195E-3</v>
      </c>
      <c r="L57" s="250">
        <v>398.09</v>
      </c>
      <c r="N57" s="249">
        <v>10000</v>
      </c>
      <c r="O57" s="400">
        <v>2E-3</v>
      </c>
      <c r="P57" s="53">
        <v>3.9671000000000003E-3</v>
      </c>
      <c r="Q57" s="249">
        <v>4943.93</v>
      </c>
    </row>
    <row r="58" spans="2:17" x14ac:dyDescent="0.25">
      <c r="B58" s="136">
        <v>10</v>
      </c>
      <c r="C58" s="136">
        <v>-1E-3</v>
      </c>
      <c r="D58" s="366">
        <v>4.9074899999999998E-2</v>
      </c>
      <c r="E58" s="250">
        <v>37.26</v>
      </c>
      <c r="G58" s="364"/>
      <c r="I58" s="136">
        <v>100</v>
      </c>
      <c r="J58" s="354">
        <v>-5.0000000000000002E-5</v>
      </c>
      <c r="K58" s="375">
        <v>4.895E-3</v>
      </c>
      <c r="L58" s="250">
        <v>393.63</v>
      </c>
      <c r="N58" s="249">
        <v>10000</v>
      </c>
      <c r="O58" s="401">
        <v>1E-3</v>
      </c>
      <c r="P58" s="53">
        <v>2.0051499999999998E-3</v>
      </c>
      <c r="Q58" s="249">
        <v>8490.66</v>
      </c>
    </row>
    <row r="59" spans="2:17" x14ac:dyDescent="0.25">
      <c r="B59" s="136">
        <v>10</v>
      </c>
      <c r="C59" s="136">
        <v>-1E-4</v>
      </c>
      <c r="D59" s="366">
        <v>4.9903360000000001E-2</v>
      </c>
      <c r="E59" s="250">
        <v>37.270000000000003</v>
      </c>
      <c r="G59" s="364"/>
      <c r="I59" s="136">
        <v>100</v>
      </c>
      <c r="J59" s="354">
        <v>-1.0000000000000001E-5</v>
      </c>
      <c r="K59" s="375">
        <v>4.8149999999999998E-3</v>
      </c>
      <c r="L59" s="250">
        <v>393.4</v>
      </c>
      <c r="N59" s="249">
        <v>10000</v>
      </c>
      <c r="O59" s="401">
        <v>1E-4</v>
      </c>
      <c r="P59" s="53">
        <v>2.106E-4</v>
      </c>
      <c r="Q59" s="249">
        <v>33464.42</v>
      </c>
    </row>
    <row r="60" spans="2:17" ht="15.75" x14ac:dyDescent="0.25">
      <c r="B60" s="136">
        <v>10</v>
      </c>
      <c r="C60" s="375">
        <v>-1.0000000000000001E-5</v>
      </c>
      <c r="D60" s="366">
        <v>4.9981530000000003E-2</v>
      </c>
      <c r="E60" s="250">
        <v>37.28</v>
      </c>
      <c r="G60" s="364"/>
      <c r="I60" s="136">
        <v>100</v>
      </c>
      <c r="J60" s="354">
        <v>-5.0000000000000004E-6</v>
      </c>
      <c r="K60" s="375">
        <v>5.0699999999999999E-3</v>
      </c>
      <c r="L60" s="250">
        <v>379.08</v>
      </c>
      <c r="N60" s="249">
        <v>10000</v>
      </c>
      <c r="O60" s="402">
        <v>1.0000000000000001E-5</v>
      </c>
      <c r="P60" s="385">
        <v>6.1849999999999999E-5</v>
      </c>
      <c r="Q60" s="275">
        <v>40360.71</v>
      </c>
    </row>
    <row r="61" spans="2:17" x14ac:dyDescent="0.25">
      <c r="B61" s="136">
        <v>10</v>
      </c>
      <c r="C61" s="375">
        <v>-9.9999999999999995E-7</v>
      </c>
      <c r="D61" s="366">
        <v>5.0015329999999997E-2</v>
      </c>
      <c r="E61" s="250">
        <v>37.270000000000003</v>
      </c>
      <c r="G61" s="364"/>
      <c r="I61" s="136">
        <v>100</v>
      </c>
      <c r="J61" s="354">
        <v>-9.9999999999999995E-7</v>
      </c>
      <c r="K61" s="375">
        <v>5.195E-3</v>
      </c>
      <c r="L61" s="250">
        <v>408.28</v>
      </c>
      <c r="N61" s="249">
        <v>10000</v>
      </c>
      <c r="O61" s="401">
        <v>9.9999999999999995E-7</v>
      </c>
      <c r="P61" s="58">
        <v>5.1249999999999999E-5</v>
      </c>
      <c r="Q61" s="249">
        <v>40056.019999999997</v>
      </c>
    </row>
    <row r="62" spans="2:17" ht="15.75" x14ac:dyDescent="0.25">
      <c r="B62" s="136">
        <v>10</v>
      </c>
      <c r="C62" s="136">
        <v>0</v>
      </c>
      <c r="D62" s="366">
        <v>5.0013929999999998E-2</v>
      </c>
      <c r="E62" s="250">
        <v>37.270000000000003</v>
      </c>
      <c r="G62" s="364"/>
      <c r="I62" s="136">
        <v>100</v>
      </c>
      <c r="J62" s="423">
        <v>0</v>
      </c>
      <c r="K62" s="396">
        <v>5.1549999999999999E-3</v>
      </c>
      <c r="L62" s="397">
        <v>387.82</v>
      </c>
      <c r="N62" s="249">
        <v>10000</v>
      </c>
      <c r="O62" s="401">
        <v>9.9999999999999995E-8</v>
      </c>
      <c r="P62" s="58">
        <v>4.905E-5</v>
      </c>
      <c r="Q62" s="249">
        <v>41302.959999999999</v>
      </c>
    </row>
    <row r="63" spans="2:17" ht="15.75" x14ac:dyDescent="0.25">
      <c r="N63" s="249">
        <v>10000</v>
      </c>
      <c r="O63" s="400">
        <v>0</v>
      </c>
      <c r="P63" s="385">
        <v>4.9200000000000003E-5</v>
      </c>
      <c r="Q63" s="275">
        <v>39104.379999999997</v>
      </c>
    </row>
    <row r="64" spans="2:17" x14ac:dyDescent="0.25">
      <c r="N64" s="249">
        <v>10000</v>
      </c>
      <c r="O64" s="401">
        <v>-0.01</v>
      </c>
      <c r="P64" s="375">
        <v>0</v>
      </c>
      <c r="Q64" s="250" t="s">
        <v>12</v>
      </c>
    </row>
    <row r="65" spans="14:17" x14ac:dyDescent="0.25">
      <c r="N65" s="249">
        <v>10000</v>
      </c>
      <c r="O65" s="401">
        <v>-5.0000000000000001E-3</v>
      </c>
      <c r="P65" s="375">
        <v>0</v>
      </c>
      <c r="Q65" s="250" t="s">
        <v>12</v>
      </c>
    </row>
    <row r="66" spans="14:17" x14ac:dyDescent="0.25">
      <c r="N66" s="249">
        <v>10000</v>
      </c>
      <c r="O66" s="401">
        <v>-1E-3</v>
      </c>
      <c r="P66" s="375">
        <v>0</v>
      </c>
      <c r="Q66" s="250" t="s">
        <v>12</v>
      </c>
    </row>
    <row r="67" spans="14:17" x14ac:dyDescent="0.25">
      <c r="N67" s="249">
        <v>10000</v>
      </c>
      <c r="O67" s="401">
        <v>-5.0000000000000001E-4</v>
      </c>
      <c r="P67" s="375">
        <v>0</v>
      </c>
      <c r="Q67" s="250" t="s">
        <v>12</v>
      </c>
    </row>
    <row r="68" spans="14:17" x14ac:dyDescent="0.25">
      <c r="N68" s="249">
        <v>10000</v>
      </c>
      <c r="O68" s="401">
        <v>-1E-4</v>
      </c>
      <c r="P68" s="375">
        <v>4.0500000000000002E-6</v>
      </c>
      <c r="Q68" s="250">
        <v>33322.76</v>
      </c>
    </row>
    <row r="69" spans="14:17" x14ac:dyDescent="0.25">
      <c r="N69" s="249">
        <v>10000</v>
      </c>
      <c r="O69" s="401">
        <v>-5.0000000000000002E-5</v>
      </c>
      <c r="P69" s="375">
        <v>1.8300000000000001E-5</v>
      </c>
      <c r="Q69" s="250">
        <v>36953.29</v>
      </c>
    </row>
    <row r="70" spans="14:17" ht="15.75" x14ac:dyDescent="0.25">
      <c r="N70" s="249">
        <v>10000</v>
      </c>
      <c r="O70" s="402">
        <v>-1.0000000000000001E-5</v>
      </c>
      <c r="P70" s="396">
        <v>4.0099999999999999E-5</v>
      </c>
      <c r="Q70" s="397">
        <v>39535.17</v>
      </c>
    </row>
    <row r="71" spans="14:17" x14ac:dyDescent="0.25">
      <c r="N71" s="249">
        <v>10000</v>
      </c>
      <c r="O71" s="401">
        <v>-9.9999999999999995E-7</v>
      </c>
      <c r="P71" s="375">
        <v>4.8050000000000002E-5</v>
      </c>
      <c r="Q71" s="250">
        <v>39644.25</v>
      </c>
    </row>
    <row r="72" spans="14:17" x14ac:dyDescent="0.25">
      <c r="N72" s="249">
        <v>10000</v>
      </c>
      <c r="O72" s="401">
        <v>-9.9999999999999995E-8</v>
      </c>
      <c r="P72" s="375">
        <v>5.1700000000000003E-5</v>
      </c>
      <c r="Q72" s="250">
        <v>40246.28</v>
      </c>
    </row>
    <row r="73" spans="14:17" x14ac:dyDescent="0.25">
      <c r="N73" s="249">
        <v>10000</v>
      </c>
      <c r="O73" s="401">
        <v>-1E-8</v>
      </c>
      <c r="P73" s="375">
        <v>4.9200000000000003E-5</v>
      </c>
      <c r="Q73" s="250">
        <v>39701.32</v>
      </c>
    </row>
    <row r="74" spans="14:17" x14ac:dyDescent="0.25">
      <c r="N74" s="249">
        <v>10000</v>
      </c>
      <c r="O74" s="401">
        <v>0</v>
      </c>
      <c r="P74" s="375">
        <v>4.9299999999999999E-5</v>
      </c>
      <c r="Q74" s="250">
        <v>39524.92</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E7B8-11F9-4015-9997-6E271D0232B6}">
  <dimension ref="A1:T73"/>
  <sheetViews>
    <sheetView showGridLines="0" topLeftCell="A22" workbookViewId="0">
      <selection activeCell="S53" sqref="S53"/>
    </sheetView>
  </sheetViews>
  <sheetFormatPr defaultColWidth="9.140625" defaultRowHeight="15" x14ac:dyDescent="0.25"/>
  <cols>
    <col min="1" max="1" width="5.28515625" style="2" bestFit="1" customWidth="1"/>
    <col min="2" max="2" width="6.28515625" style="2" customWidth="1"/>
    <col min="3" max="3" width="4" style="2" bestFit="1" customWidth="1"/>
    <col min="5" max="5" width="12.28515625" style="9" customWidth="1"/>
    <col min="7" max="7" width="10.7109375" style="46" customWidth="1"/>
    <col min="8" max="8" width="9.140625" style="63"/>
    <col min="9" max="9" width="4.5703125" style="5" bestFit="1" customWidth="1"/>
    <col min="10" max="10" width="6.42578125" style="5" bestFit="1" customWidth="1"/>
    <col min="11" max="11" width="9.140625" style="63"/>
    <col min="12" max="12" width="8.5703125" style="63" bestFit="1" customWidth="1"/>
    <col min="13" max="13" width="9.140625" style="63"/>
    <col min="14" max="14" width="18.7109375" customWidth="1"/>
    <col min="15" max="15" width="14.42578125" customWidth="1"/>
    <col min="16" max="16" width="3.42578125" customWidth="1"/>
    <col min="17" max="17" width="9.140625" style="63"/>
  </cols>
  <sheetData>
    <row r="1" spans="1:15" ht="28.5" customHeight="1" x14ac:dyDescent="0.25">
      <c r="B1" s="44" t="s">
        <v>59</v>
      </c>
    </row>
    <row r="2" spans="1:15" ht="45" x14ac:dyDescent="0.25">
      <c r="A2" s="11" t="s">
        <v>0</v>
      </c>
      <c r="B2" s="11" t="s">
        <v>10</v>
      </c>
      <c r="C2" s="16" t="s">
        <v>11</v>
      </c>
      <c r="D2" s="11" t="s">
        <v>9</v>
      </c>
      <c r="E2" s="33" t="s">
        <v>3</v>
      </c>
      <c r="F2" s="22" t="s">
        <v>29</v>
      </c>
      <c r="G2" s="377" t="s">
        <v>27</v>
      </c>
      <c r="H2" s="394" t="s">
        <v>28</v>
      </c>
      <c r="I2" s="16" t="s">
        <v>25</v>
      </c>
      <c r="J2" s="16" t="s">
        <v>26</v>
      </c>
      <c r="K2" s="365" t="s">
        <v>151</v>
      </c>
      <c r="L2" s="377" t="s">
        <v>153</v>
      </c>
      <c r="M2" s="365" t="s">
        <v>152</v>
      </c>
      <c r="N2" s="150" t="s">
        <v>187</v>
      </c>
      <c r="O2" s="162" t="s">
        <v>156</v>
      </c>
    </row>
    <row r="3" spans="1:15" x14ac:dyDescent="0.25">
      <c r="A3" s="11">
        <v>20</v>
      </c>
      <c r="B3" s="11">
        <v>1</v>
      </c>
      <c r="C3" s="16">
        <v>10</v>
      </c>
      <c r="D3" s="372">
        <v>-1</v>
      </c>
      <c r="E3" s="33">
        <v>1000</v>
      </c>
      <c r="F3" s="22">
        <v>1</v>
      </c>
      <c r="G3" s="376">
        <v>0</v>
      </c>
      <c r="H3" s="394">
        <v>0</v>
      </c>
      <c r="I3" s="16" t="s">
        <v>12</v>
      </c>
      <c r="J3" s="16" t="s">
        <v>12</v>
      </c>
      <c r="K3" s="366">
        <f>G3-H3</f>
        <v>0</v>
      </c>
      <c r="L3" s="374">
        <f t="shared" ref="L3" si="0">(1-EXP(-2*D3))/(1-EXP(-4*C3*D3))</f>
        <v>2.7142973665188707E-17</v>
      </c>
      <c r="M3" s="375">
        <f>G3+H3</f>
        <v>0</v>
      </c>
      <c r="N3" s="58" t="e">
        <f>L3/G3</f>
        <v>#DIV/0!</v>
      </c>
      <c r="O3" s="121" t="b">
        <f>AND(L3&gt;=K3,L3&lt;=M3)</f>
        <v>0</v>
      </c>
    </row>
    <row r="4" spans="1:15" x14ac:dyDescent="0.25">
      <c r="A4" s="11">
        <v>20</v>
      </c>
      <c r="B4" s="11">
        <v>1</v>
      </c>
      <c r="C4" s="16">
        <v>10</v>
      </c>
      <c r="D4" s="368">
        <v>-0.9</v>
      </c>
      <c r="E4" s="33">
        <v>1000</v>
      </c>
      <c r="F4" s="22">
        <v>1</v>
      </c>
      <c r="G4" s="376">
        <v>0</v>
      </c>
      <c r="H4" s="394">
        <v>0</v>
      </c>
      <c r="I4" s="16" t="s">
        <v>12</v>
      </c>
      <c r="J4" s="16" t="s">
        <v>12</v>
      </c>
      <c r="K4" s="366">
        <f>G4-H4</f>
        <v>0</v>
      </c>
      <c r="L4" s="374">
        <f t="shared" ref="L4" si="1">(1-EXP(-2*D4))/(1-EXP(-4*C4*D4))</f>
        <v>1.1712772578387385E-15</v>
      </c>
      <c r="M4" s="375">
        <f>G4+H4</f>
        <v>0</v>
      </c>
      <c r="N4" s="58" t="e">
        <f>L4/G4</f>
        <v>#DIV/0!</v>
      </c>
      <c r="O4" s="121" t="b">
        <f>AND(L4&gt;=K4,L4&lt;=M4)</f>
        <v>0</v>
      </c>
    </row>
    <row r="5" spans="1:15" x14ac:dyDescent="0.25">
      <c r="A5" s="11">
        <v>20</v>
      </c>
      <c r="B5" s="11">
        <v>2</v>
      </c>
      <c r="C5" s="16">
        <v>10</v>
      </c>
      <c r="D5" s="368">
        <v>-0.8</v>
      </c>
      <c r="E5" s="33">
        <v>1000</v>
      </c>
      <c r="F5" s="22">
        <v>1</v>
      </c>
      <c r="G5" s="376">
        <v>0</v>
      </c>
      <c r="H5" s="394">
        <v>0</v>
      </c>
      <c r="I5" s="16" t="s">
        <v>12</v>
      </c>
      <c r="J5" s="16" t="s">
        <v>12</v>
      </c>
      <c r="K5" s="366">
        <f t="shared" ref="K5:K23" si="2">G5-H5</f>
        <v>0</v>
      </c>
      <c r="L5" s="374">
        <f t="shared" ref="L5:L23" si="3">(1-EXP(-2*D5))/(1-EXP(-4*C5*D5))</f>
        <v>5.0061857043477479E-14</v>
      </c>
      <c r="M5" s="375">
        <f t="shared" ref="M5:M23" si="4">G5+H5</f>
        <v>0</v>
      </c>
      <c r="N5" s="58" t="e">
        <f t="shared" ref="N5:N23" si="5">L5/G5</f>
        <v>#DIV/0!</v>
      </c>
      <c r="O5" s="121" t="b">
        <f t="shared" ref="O5:O23" si="6">AND(L5&gt;=K5,L5&lt;=M5)</f>
        <v>0</v>
      </c>
    </row>
    <row r="6" spans="1:15" x14ac:dyDescent="0.25">
      <c r="A6" s="11">
        <v>20</v>
      </c>
      <c r="B6" s="11">
        <v>3</v>
      </c>
      <c r="C6" s="16">
        <v>10</v>
      </c>
      <c r="D6" s="368">
        <v>-0.7</v>
      </c>
      <c r="E6" s="33">
        <v>1000</v>
      </c>
      <c r="F6" s="22">
        <v>1</v>
      </c>
      <c r="G6" s="376">
        <v>0</v>
      </c>
      <c r="H6" s="394">
        <v>0</v>
      </c>
      <c r="I6" s="16" t="s">
        <v>12</v>
      </c>
      <c r="J6" s="16" t="s">
        <v>12</v>
      </c>
      <c r="K6" s="366">
        <f t="shared" si="2"/>
        <v>0</v>
      </c>
      <c r="L6" s="374">
        <f t="shared" si="3"/>
        <v>2.112487497748913E-12</v>
      </c>
      <c r="M6" s="375">
        <f t="shared" si="4"/>
        <v>0</v>
      </c>
      <c r="N6" s="58" t="e">
        <f t="shared" si="5"/>
        <v>#DIV/0!</v>
      </c>
      <c r="O6" s="121" t="b">
        <f t="shared" si="6"/>
        <v>0</v>
      </c>
    </row>
    <row r="7" spans="1:15" x14ac:dyDescent="0.25">
      <c r="A7" s="11">
        <v>20</v>
      </c>
      <c r="B7" s="11">
        <v>4</v>
      </c>
      <c r="C7" s="16">
        <v>10</v>
      </c>
      <c r="D7" s="368">
        <v>-0.6</v>
      </c>
      <c r="E7" s="33">
        <v>1000</v>
      </c>
      <c r="F7" s="22">
        <v>1</v>
      </c>
      <c r="G7" s="376">
        <v>0</v>
      </c>
      <c r="H7" s="394">
        <v>0</v>
      </c>
      <c r="I7" s="16" t="s">
        <v>12</v>
      </c>
      <c r="J7" s="16" t="s">
        <v>12</v>
      </c>
      <c r="K7" s="366">
        <f t="shared" si="2"/>
        <v>0</v>
      </c>
      <c r="L7" s="374">
        <f t="shared" si="3"/>
        <v>8.7587535421199124E-11</v>
      </c>
      <c r="M7" s="375">
        <f t="shared" si="4"/>
        <v>0</v>
      </c>
      <c r="N7" s="58" t="e">
        <f t="shared" si="5"/>
        <v>#DIV/0!</v>
      </c>
      <c r="O7" s="121" t="b">
        <f t="shared" si="6"/>
        <v>0</v>
      </c>
    </row>
    <row r="8" spans="1:15" x14ac:dyDescent="0.25">
      <c r="A8" s="11">
        <v>20</v>
      </c>
      <c r="B8" s="11">
        <v>5</v>
      </c>
      <c r="C8" s="16">
        <v>10</v>
      </c>
      <c r="D8" s="389">
        <v>-0.5</v>
      </c>
      <c r="E8" s="33">
        <v>1000</v>
      </c>
      <c r="F8" s="22">
        <v>1</v>
      </c>
      <c r="G8" s="376">
        <v>0</v>
      </c>
      <c r="H8" s="394">
        <v>0</v>
      </c>
      <c r="I8" s="16" t="s">
        <v>12</v>
      </c>
      <c r="J8" s="16" t="s">
        <v>12</v>
      </c>
      <c r="K8" s="366">
        <f t="shared" si="2"/>
        <v>0</v>
      </c>
      <c r="L8" s="374">
        <f t="shared" si="3"/>
        <v>3.5416428223985793E-9</v>
      </c>
      <c r="M8" s="375">
        <f t="shared" si="4"/>
        <v>0</v>
      </c>
      <c r="N8" s="58" t="e">
        <f t="shared" si="5"/>
        <v>#DIV/0!</v>
      </c>
      <c r="O8" s="121" t="b">
        <f t="shared" si="6"/>
        <v>0</v>
      </c>
    </row>
    <row r="9" spans="1:15" x14ac:dyDescent="0.25">
      <c r="A9" s="11">
        <v>20</v>
      </c>
      <c r="B9" s="11">
        <v>6</v>
      </c>
      <c r="C9" s="16">
        <v>10</v>
      </c>
      <c r="D9" s="389">
        <v>-0.4</v>
      </c>
      <c r="E9" s="33">
        <v>1000</v>
      </c>
      <c r="F9" s="22">
        <v>1</v>
      </c>
      <c r="G9" s="376">
        <v>0</v>
      </c>
      <c r="H9" s="394">
        <v>0</v>
      </c>
      <c r="I9" s="16" t="s">
        <v>12</v>
      </c>
      <c r="J9" s="16" t="s">
        <v>12</v>
      </c>
      <c r="K9" s="366">
        <f t="shared" si="2"/>
        <v>0</v>
      </c>
      <c r="L9" s="374">
        <f t="shared" si="3"/>
        <v>1.3791647803395788E-7</v>
      </c>
      <c r="M9" s="375">
        <f t="shared" si="4"/>
        <v>0</v>
      </c>
      <c r="N9" s="58" t="e">
        <f t="shared" si="5"/>
        <v>#DIV/0!</v>
      </c>
      <c r="O9" s="121" t="b">
        <f t="shared" si="6"/>
        <v>0</v>
      </c>
    </row>
    <row r="10" spans="1:15" x14ac:dyDescent="0.25">
      <c r="A10" s="11">
        <v>20</v>
      </c>
      <c r="B10" s="11">
        <v>7</v>
      </c>
      <c r="C10" s="16">
        <v>10</v>
      </c>
      <c r="D10" s="389">
        <v>-0.3</v>
      </c>
      <c r="E10" s="33">
        <v>1000</v>
      </c>
      <c r="F10" s="22">
        <v>1</v>
      </c>
      <c r="G10" s="376">
        <v>0</v>
      </c>
      <c r="H10" s="394">
        <v>0</v>
      </c>
      <c r="I10" s="16" t="s">
        <v>12</v>
      </c>
      <c r="J10" s="16" t="s">
        <v>12</v>
      </c>
      <c r="K10" s="366">
        <f t="shared" si="2"/>
        <v>0</v>
      </c>
      <c r="L10" s="374">
        <f t="shared" si="3"/>
        <v>5.0513035255442553E-6</v>
      </c>
      <c r="M10" s="375">
        <f t="shared" si="4"/>
        <v>0</v>
      </c>
      <c r="N10" s="58" t="e">
        <f t="shared" si="5"/>
        <v>#DIV/0!</v>
      </c>
      <c r="O10" s="121" t="b">
        <f t="shared" si="6"/>
        <v>0</v>
      </c>
    </row>
    <row r="11" spans="1:15" x14ac:dyDescent="0.25">
      <c r="A11" s="11">
        <v>20</v>
      </c>
      <c r="B11" s="11">
        <v>8</v>
      </c>
      <c r="C11" s="16">
        <v>10</v>
      </c>
      <c r="D11" s="389">
        <v>-0.2</v>
      </c>
      <c r="E11" s="33">
        <v>1000</v>
      </c>
      <c r="F11" s="22">
        <v>0.99990000000000001</v>
      </c>
      <c r="G11" s="376">
        <v>1E-4</v>
      </c>
      <c r="H11" s="394">
        <v>9.9950000000000004E-5</v>
      </c>
      <c r="I11" s="16" t="s">
        <v>12</v>
      </c>
      <c r="J11" s="16" t="s">
        <v>12</v>
      </c>
      <c r="K11" s="366">
        <f t="shared" si="2"/>
        <v>5.0000000000001215E-8</v>
      </c>
      <c r="L11" s="374">
        <f t="shared" si="3"/>
        <v>1.6504417168965388E-4</v>
      </c>
      <c r="M11" s="375">
        <f t="shared" si="4"/>
        <v>1.9995000000000001E-4</v>
      </c>
      <c r="N11" s="58">
        <f t="shared" si="5"/>
        <v>1.6504417168965388</v>
      </c>
      <c r="O11" s="121" t="b">
        <f t="shared" si="6"/>
        <v>1</v>
      </c>
    </row>
    <row r="12" spans="1:15" x14ac:dyDescent="0.25">
      <c r="A12" s="19">
        <v>20</v>
      </c>
      <c r="B12" s="19">
        <v>1</v>
      </c>
      <c r="C12" s="19">
        <v>10</v>
      </c>
      <c r="D12" s="373">
        <v>-0.1</v>
      </c>
      <c r="E12" s="34">
        <v>1000</v>
      </c>
      <c r="F12" s="105">
        <v>0.99704999999999999</v>
      </c>
      <c r="G12" s="363">
        <v>2.9499999999999999E-3</v>
      </c>
      <c r="H12" s="369">
        <v>1.6603975E-3</v>
      </c>
      <c r="I12" s="24">
        <v>32.590000000000003</v>
      </c>
      <c r="J12" s="24">
        <v>10.8</v>
      </c>
      <c r="K12" s="366">
        <f t="shared" si="2"/>
        <v>1.2896024999999999E-3</v>
      </c>
      <c r="L12" s="374">
        <f t="shared" si="3"/>
        <v>4.1307910445278042E-3</v>
      </c>
      <c r="M12" s="375">
        <f t="shared" si="4"/>
        <v>4.6103975000000002E-3</v>
      </c>
      <c r="N12" s="58">
        <f t="shared" si="5"/>
        <v>1.4002681506873913</v>
      </c>
      <c r="O12" s="121" t="b">
        <f t="shared" si="6"/>
        <v>1</v>
      </c>
    </row>
    <row r="13" spans="1:15" x14ac:dyDescent="0.25">
      <c r="A13" s="19">
        <v>20</v>
      </c>
      <c r="B13" s="19">
        <v>2</v>
      </c>
      <c r="C13" s="19">
        <v>10</v>
      </c>
      <c r="D13" s="354">
        <v>-0.05</v>
      </c>
      <c r="E13" s="34">
        <v>1000</v>
      </c>
      <c r="F13" s="105">
        <v>0.98285</v>
      </c>
      <c r="G13" s="359">
        <v>1.7149999999999999E-2</v>
      </c>
      <c r="H13" s="369">
        <v>4.0755365999999996E-3</v>
      </c>
      <c r="I13" s="24">
        <v>34.380000000000003</v>
      </c>
      <c r="J13" s="24">
        <v>17.190000000000001</v>
      </c>
      <c r="K13" s="366">
        <f t="shared" si="2"/>
        <v>1.30744634E-2</v>
      </c>
      <c r="L13" s="374">
        <f t="shared" si="3"/>
        <v>1.6461104183018584E-2</v>
      </c>
      <c r="M13" s="375">
        <f t="shared" si="4"/>
        <v>2.1225536599999997E-2</v>
      </c>
      <c r="N13" s="58">
        <f t="shared" si="5"/>
        <v>0.9598311476978767</v>
      </c>
      <c r="O13" s="121" t="b">
        <f t="shared" si="6"/>
        <v>1</v>
      </c>
    </row>
    <row r="14" spans="1:15" ht="15.75" x14ac:dyDescent="0.25">
      <c r="A14" s="19">
        <v>20</v>
      </c>
      <c r="B14" s="19">
        <v>3</v>
      </c>
      <c r="C14" s="19">
        <v>10</v>
      </c>
      <c r="D14" s="390">
        <v>-0.01</v>
      </c>
      <c r="E14" s="164">
        <v>1000</v>
      </c>
      <c r="F14" s="129">
        <v>0.95850000000000002</v>
      </c>
      <c r="G14" s="391">
        <v>4.1500000000000002E-2</v>
      </c>
      <c r="H14" s="393">
        <v>6.2910555E-3</v>
      </c>
      <c r="I14" s="236">
        <v>37.409999999999997</v>
      </c>
      <c r="J14" s="165">
        <v>21.27</v>
      </c>
      <c r="K14" s="393">
        <f t="shared" si="2"/>
        <v>3.5208944500000006E-2</v>
      </c>
      <c r="L14" s="166">
        <f t="shared" si="3"/>
        <v>4.1074269193147217E-2</v>
      </c>
      <c r="M14" s="166">
        <f t="shared" si="4"/>
        <v>4.7791055499999999E-2</v>
      </c>
      <c r="N14" s="134">
        <f t="shared" si="5"/>
        <v>0.98974142634089679</v>
      </c>
      <c r="O14" s="132" t="b">
        <f t="shared" si="6"/>
        <v>1</v>
      </c>
    </row>
    <row r="15" spans="1:15" x14ac:dyDescent="0.25">
      <c r="A15" s="19">
        <v>20</v>
      </c>
      <c r="B15" s="19">
        <v>4</v>
      </c>
      <c r="C15" s="19">
        <v>10</v>
      </c>
      <c r="D15" s="179">
        <v>-5.0000000000000001E-3</v>
      </c>
      <c r="E15" s="164">
        <v>1000</v>
      </c>
      <c r="F15" s="129">
        <v>0.95430000000000004</v>
      </c>
      <c r="G15" s="166">
        <v>4.5699999999999998E-2</v>
      </c>
      <c r="H15" s="393">
        <v>6.5877165999999997E-3</v>
      </c>
      <c r="I15" s="165">
        <v>37.799999999999997</v>
      </c>
      <c r="J15" s="165">
        <v>21.33</v>
      </c>
      <c r="K15" s="393">
        <f t="shared" si="2"/>
        <v>3.9112283399999996E-2</v>
      </c>
      <c r="L15" s="166">
        <f t="shared" si="3"/>
        <v>4.5393143101213472E-2</v>
      </c>
      <c r="M15" s="166">
        <f t="shared" si="4"/>
        <v>5.2287716599999999E-2</v>
      </c>
      <c r="N15" s="134">
        <f t="shared" si="5"/>
        <v>0.99328540702874124</v>
      </c>
      <c r="O15" s="132" t="b">
        <f t="shared" si="6"/>
        <v>1</v>
      </c>
    </row>
    <row r="16" spans="1:15" x14ac:dyDescent="0.25">
      <c r="A16" s="19">
        <v>20</v>
      </c>
      <c r="B16" s="19">
        <v>5</v>
      </c>
      <c r="C16" s="19">
        <v>10</v>
      </c>
      <c r="D16" s="179">
        <v>-1E-3</v>
      </c>
      <c r="E16" s="164">
        <v>1000</v>
      </c>
      <c r="F16" s="129">
        <v>0.95040000000000002</v>
      </c>
      <c r="G16" s="166">
        <v>4.9599999999999998E-2</v>
      </c>
      <c r="H16" s="393">
        <v>6.8484857999999999E-3</v>
      </c>
      <c r="I16" s="165">
        <v>36.49</v>
      </c>
      <c r="J16" s="165">
        <v>19.8</v>
      </c>
      <c r="K16" s="393">
        <f t="shared" si="2"/>
        <v>4.27515142E-2</v>
      </c>
      <c r="L16" s="166">
        <f t="shared" si="3"/>
        <v>4.9055705842838547E-2</v>
      </c>
      <c r="M16" s="166">
        <f t="shared" si="4"/>
        <v>5.6448485799999996E-2</v>
      </c>
      <c r="N16" s="134">
        <f t="shared" si="5"/>
        <v>0.98902632747658359</v>
      </c>
      <c r="O16" s="132" t="b">
        <f t="shared" si="6"/>
        <v>1</v>
      </c>
    </row>
    <row r="17" spans="1:20" x14ac:dyDescent="0.25">
      <c r="A17" s="19">
        <v>20</v>
      </c>
      <c r="B17" s="19">
        <v>6</v>
      </c>
      <c r="C17" s="19">
        <v>10</v>
      </c>
      <c r="D17" s="179">
        <v>-5.0000000000000001E-4</v>
      </c>
      <c r="E17" s="164">
        <v>1000</v>
      </c>
      <c r="F17" s="129">
        <v>0.95194999999999996</v>
      </c>
      <c r="G17" s="166">
        <v>4.8050000000000002E-2</v>
      </c>
      <c r="H17" s="393">
        <v>6.7496761000000001E-3</v>
      </c>
      <c r="I17" s="165">
        <v>36.770000000000003</v>
      </c>
      <c r="J17" s="165">
        <v>19.55</v>
      </c>
      <c r="K17" s="393">
        <f t="shared" si="2"/>
        <v>4.1300323900000005E-2</v>
      </c>
      <c r="L17" s="166">
        <f t="shared" si="3"/>
        <v>4.9526425741226406E-2</v>
      </c>
      <c r="M17" s="166">
        <f t="shared" si="4"/>
        <v>5.47996761E-2</v>
      </c>
      <c r="N17" s="134">
        <f t="shared" si="5"/>
        <v>1.0307268624604871</v>
      </c>
      <c r="O17" s="132" t="b">
        <f t="shared" si="6"/>
        <v>1</v>
      </c>
    </row>
    <row r="18" spans="1:20" x14ac:dyDescent="0.25">
      <c r="A18" s="19">
        <v>20</v>
      </c>
      <c r="B18" s="19">
        <v>7</v>
      </c>
      <c r="C18" s="19">
        <v>10</v>
      </c>
      <c r="D18" s="179">
        <v>-1E-4</v>
      </c>
      <c r="E18" s="164">
        <v>1000</v>
      </c>
      <c r="F18" s="129">
        <v>0.94964999999999999</v>
      </c>
      <c r="G18" s="166">
        <v>5.0349999999999999E-2</v>
      </c>
      <c r="H18" s="393">
        <v>6.8908499999999996E-3</v>
      </c>
      <c r="I18" s="165">
        <v>36.92</v>
      </c>
      <c r="J18" s="165">
        <v>19.66</v>
      </c>
      <c r="K18" s="393">
        <f t="shared" si="2"/>
        <v>4.3459150000000002E-2</v>
      </c>
      <c r="L18" s="166">
        <f t="shared" si="3"/>
        <v>4.9905057006012866E-2</v>
      </c>
      <c r="M18" s="166">
        <f t="shared" si="4"/>
        <v>5.7240849999999996E-2</v>
      </c>
      <c r="N18" s="134">
        <f t="shared" si="5"/>
        <v>0.99116299912637273</v>
      </c>
      <c r="O18" s="132" t="b">
        <f t="shared" si="6"/>
        <v>1</v>
      </c>
    </row>
    <row r="19" spans="1:20" x14ac:dyDescent="0.25">
      <c r="A19" s="19">
        <v>20</v>
      </c>
      <c r="B19" s="19">
        <v>8</v>
      </c>
      <c r="C19" s="19">
        <v>10</v>
      </c>
      <c r="D19" s="179">
        <v>-5.0000000000000002E-5</v>
      </c>
      <c r="E19" s="164">
        <v>1000</v>
      </c>
      <c r="F19" s="129">
        <v>0.94989999999999997</v>
      </c>
      <c r="G19" s="166">
        <v>5.0099999999999999E-2</v>
      </c>
      <c r="H19" s="393">
        <v>6.8819231999999999E-3</v>
      </c>
      <c r="I19" s="165">
        <v>37.799999999999997</v>
      </c>
      <c r="J19" s="165">
        <v>20.51</v>
      </c>
      <c r="K19" s="393">
        <f t="shared" si="2"/>
        <v>4.3218076799999998E-2</v>
      </c>
      <c r="L19" s="166">
        <f t="shared" si="3"/>
        <v>4.9952514250771705E-2</v>
      </c>
      <c r="M19" s="166">
        <f t="shared" si="4"/>
        <v>5.6981923199999999E-2</v>
      </c>
      <c r="N19" s="134">
        <f t="shared" si="5"/>
        <v>0.99705617267009394</v>
      </c>
      <c r="O19" s="132" t="b">
        <f t="shared" si="6"/>
        <v>1</v>
      </c>
    </row>
    <row r="20" spans="1:20" x14ac:dyDescent="0.25">
      <c r="A20" s="19">
        <v>20</v>
      </c>
      <c r="B20" s="19">
        <v>9</v>
      </c>
      <c r="C20" s="19">
        <v>10</v>
      </c>
      <c r="D20" s="179">
        <v>-1.0000000000000001E-5</v>
      </c>
      <c r="E20" s="164">
        <v>1000</v>
      </c>
      <c r="F20" s="129">
        <v>0.95109999999999995</v>
      </c>
      <c r="G20" s="166">
        <v>4.8899999999999999E-2</v>
      </c>
      <c r="H20" s="393">
        <v>6.7963231000000004E-3</v>
      </c>
      <c r="I20" s="165">
        <v>36.49</v>
      </c>
      <c r="J20" s="165">
        <v>19.579999999999998</v>
      </c>
      <c r="K20" s="393">
        <f t="shared" si="2"/>
        <v>4.2103676899999998E-2</v>
      </c>
      <c r="L20" s="166">
        <f t="shared" si="3"/>
        <v>4.9990500569805765E-2</v>
      </c>
      <c r="M20" s="166">
        <f t="shared" si="4"/>
        <v>5.56963231E-2</v>
      </c>
      <c r="N20" s="134">
        <f t="shared" si="5"/>
        <v>1.0223006251494022</v>
      </c>
      <c r="O20" s="132" t="b">
        <f t="shared" si="6"/>
        <v>1</v>
      </c>
    </row>
    <row r="21" spans="1:20" x14ac:dyDescent="0.25">
      <c r="A21" s="19">
        <v>20</v>
      </c>
      <c r="B21" s="19">
        <v>10</v>
      </c>
      <c r="C21" s="19">
        <v>10</v>
      </c>
      <c r="D21" s="179">
        <v>-5.0000000000000004E-6</v>
      </c>
      <c r="E21" s="164">
        <v>1000</v>
      </c>
      <c r="F21" s="129">
        <v>0.95225000000000004</v>
      </c>
      <c r="G21" s="166">
        <v>4.7750000000000001E-2</v>
      </c>
      <c r="H21" s="393">
        <v>6.7218112000000003E-3</v>
      </c>
      <c r="I21" s="165">
        <v>37.18</v>
      </c>
      <c r="J21" s="165">
        <v>20.309999999999999</v>
      </c>
      <c r="K21" s="393">
        <f t="shared" si="2"/>
        <v>4.1028188800000004E-2</v>
      </c>
      <c r="L21" s="166">
        <f t="shared" si="3"/>
        <v>4.9995250142001631E-2</v>
      </c>
      <c r="M21" s="166">
        <f t="shared" si="4"/>
        <v>5.4471811199999998E-2</v>
      </c>
      <c r="N21" s="134">
        <f t="shared" si="5"/>
        <v>1.047020945382233</v>
      </c>
      <c r="O21" s="132" t="b">
        <f t="shared" si="6"/>
        <v>1</v>
      </c>
    </row>
    <row r="22" spans="1:20" x14ac:dyDescent="0.25">
      <c r="A22" s="19">
        <v>20</v>
      </c>
      <c r="B22" s="19">
        <v>11</v>
      </c>
      <c r="C22" s="19">
        <v>10</v>
      </c>
      <c r="D22" s="179">
        <v>-9.9999999999999995E-7</v>
      </c>
      <c r="E22" s="164">
        <v>1000</v>
      </c>
      <c r="F22" s="129">
        <v>0.95</v>
      </c>
      <c r="G22" s="166">
        <v>0.05</v>
      </c>
      <c r="H22" s="393">
        <v>6.8717570999999996E-3</v>
      </c>
      <c r="I22" s="165">
        <v>37.880000000000003</v>
      </c>
      <c r="J22" s="165">
        <v>20.420000000000002</v>
      </c>
      <c r="K22" s="393">
        <f t="shared" si="2"/>
        <v>4.3128242900000002E-2</v>
      </c>
      <c r="L22" s="166">
        <f t="shared" si="3"/>
        <v>4.9999050005876414E-2</v>
      </c>
      <c r="M22" s="166">
        <f t="shared" si="4"/>
        <v>5.6871757100000003E-2</v>
      </c>
      <c r="N22" s="134">
        <f t="shared" si="5"/>
        <v>0.99998100011752822</v>
      </c>
      <c r="O22" s="132" t="b">
        <f t="shared" si="6"/>
        <v>1</v>
      </c>
    </row>
    <row r="23" spans="1:20" ht="15.75" x14ac:dyDescent="0.25">
      <c r="A23" s="19">
        <v>20</v>
      </c>
      <c r="B23" s="19">
        <v>12</v>
      </c>
      <c r="C23" s="19">
        <v>10</v>
      </c>
      <c r="D23" s="392">
        <v>0</v>
      </c>
      <c r="E23" s="164">
        <v>1000</v>
      </c>
      <c r="F23" s="129">
        <v>0.95215000000000005</v>
      </c>
      <c r="G23" s="391">
        <v>4.7849999999999997E-2</v>
      </c>
      <c r="H23" s="393">
        <v>6.736339E-3</v>
      </c>
      <c r="I23" s="236">
        <v>38.36</v>
      </c>
      <c r="J23" s="165">
        <v>19.64</v>
      </c>
      <c r="K23" s="393">
        <f t="shared" si="2"/>
        <v>4.1113660999999996E-2</v>
      </c>
      <c r="L23" s="166" t="e">
        <f t="shared" si="3"/>
        <v>#DIV/0!</v>
      </c>
      <c r="M23" s="166">
        <f t="shared" si="4"/>
        <v>5.4586338999999998E-2</v>
      </c>
      <c r="N23" s="134" t="e">
        <f t="shared" si="5"/>
        <v>#DIV/0!</v>
      </c>
      <c r="O23" s="132" t="e">
        <f t="shared" si="6"/>
        <v>#DIV/0!</v>
      </c>
    </row>
    <row r="24" spans="1:20" ht="15.75" x14ac:dyDescent="0.25">
      <c r="D24" s="381"/>
      <c r="G24" s="382"/>
      <c r="I24" s="383"/>
      <c r="K24" s="364"/>
      <c r="L24" s="386"/>
      <c r="M24" s="386"/>
      <c r="N24" s="59"/>
      <c r="O24" s="95"/>
    </row>
    <row r="25" spans="1:20" ht="18.75" x14ac:dyDescent="0.3">
      <c r="B25" s="387" t="s">
        <v>193</v>
      </c>
      <c r="D25" s="381"/>
      <c r="G25" s="382"/>
      <c r="I25" s="383"/>
      <c r="K25" s="364"/>
      <c r="L25" s="386"/>
      <c r="M25" s="386"/>
      <c r="N25" s="59"/>
      <c r="O25" s="95"/>
      <c r="Q25" s="388" t="s">
        <v>194</v>
      </c>
    </row>
    <row r="26" spans="1:20" ht="31.5" customHeight="1" x14ac:dyDescent="0.25">
      <c r="A26" s="11" t="s">
        <v>0</v>
      </c>
      <c r="B26" s="11" t="s">
        <v>10</v>
      </c>
      <c r="C26" s="16" t="s">
        <v>11</v>
      </c>
      <c r="D26" s="11" t="s">
        <v>9</v>
      </c>
      <c r="E26" s="33" t="s">
        <v>3</v>
      </c>
      <c r="F26" s="22" t="s">
        <v>29</v>
      </c>
      <c r="G26" s="377" t="s">
        <v>27</v>
      </c>
      <c r="H26" s="394" t="s">
        <v>28</v>
      </c>
      <c r="I26" s="16" t="s">
        <v>25</v>
      </c>
      <c r="J26" s="16" t="s">
        <v>26</v>
      </c>
      <c r="K26" s="365" t="s">
        <v>151</v>
      </c>
      <c r="L26" s="377" t="s">
        <v>153</v>
      </c>
      <c r="M26" s="365" t="s">
        <v>152</v>
      </c>
      <c r="N26" s="150" t="s">
        <v>187</v>
      </c>
      <c r="O26" s="162" t="s">
        <v>156</v>
      </c>
      <c r="Q26" s="377" t="s">
        <v>27</v>
      </c>
      <c r="R26" s="64" t="s">
        <v>28</v>
      </c>
      <c r="S26" s="16" t="s">
        <v>25</v>
      </c>
      <c r="T26" s="16" t="s">
        <v>26</v>
      </c>
    </row>
    <row r="27" spans="1:20" x14ac:dyDescent="0.25">
      <c r="A27" s="19">
        <v>20</v>
      </c>
      <c r="B27" s="19">
        <v>1</v>
      </c>
      <c r="C27" s="19">
        <v>10</v>
      </c>
      <c r="D27" s="105">
        <v>-1</v>
      </c>
      <c r="E27" s="34">
        <v>10000000</v>
      </c>
      <c r="F27" s="105">
        <v>1</v>
      </c>
      <c r="G27" s="359">
        <v>0</v>
      </c>
      <c r="H27" s="369">
        <v>0</v>
      </c>
      <c r="I27" s="24" t="s">
        <v>12</v>
      </c>
      <c r="J27" s="24" t="s">
        <v>12</v>
      </c>
      <c r="K27" s="366">
        <f>G27-H27</f>
        <v>0</v>
      </c>
      <c r="L27" s="374">
        <f t="shared" ref="L27" si="7">(1-EXP(-2*D27))/(1-EXP(-4*C27*D27))</f>
        <v>2.7142973665188707E-17</v>
      </c>
      <c r="M27" s="375">
        <f>G27+H27</f>
        <v>0</v>
      </c>
      <c r="N27" s="58" t="e">
        <f>L27/G27</f>
        <v>#DIV/0!</v>
      </c>
      <c r="O27" s="121" t="b">
        <f>AND(L27&gt;=K27,L27&lt;=M27)</f>
        <v>0</v>
      </c>
      <c r="Q27" s="369">
        <v>0</v>
      </c>
      <c r="R27" s="117">
        <v>0</v>
      </c>
      <c r="S27" s="24" t="s">
        <v>12</v>
      </c>
      <c r="T27" s="24" t="s">
        <v>12</v>
      </c>
    </row>
    <row r="28" spans="1:20" x14ac:dyDescent="0.25">
      <c r="A28" s="19">
        <v>20</v>
      </c>
      <c r="B28" s="19">
        <v>2</v>
      </c>
      <c r="C28" s="19">
        <v>10</v>
      </c>
      <c r="D28" s="105">
        <v>-0.9</v>
      </c>
      <c r="E28" s="34">
        <v>10000000</v>
      </c>
      <c r="F28" s="105">
        <v>1</v>
      </c>
      <c r="G28" s="359">
        <v>0</v>
      </c>
      <c r="H28" s="369">
        <v>0</v>
      </c>
      <c r="I28" s="24" t="s">
        <v>12</v>
      </c>
      <c r="J28" s="24" t="s">
        <v>12</v>
      </c>
      <c r="K28" s="366">
        <f t="shared" ref="K28:K31" si="8">G28-H28</f>
        <v>0</v>
      </c>
      <c r="L28" s="374">
        <f t="shared" ref="L28:L31" si="9">(1-EXP(-2*D28))/(1-EXP(-4*C28*D28))</f>
        <v>1.1712772578387385E-15</v>
      </c>
      <c r="M28" s="375">
        <f t="shared" ref="M28:M31" si="10">G28+H28</f>
        <v>0</v>
      </c>
      <c r="N28" s="58" t="e">
        <f t="shared" ref="N28:N31" si="11">L28/G28</f>
        <v>#DIV/0!</v>
      </c>
      <c r="O28" s="121" t="b">
        <f t="shared" ref="O28:O31" si="12">AND(L28&gt;=K28,L28&lt;=M28)</f>
        <v>0</v>
      </c>
      <c r="Q28" s="369">
        <v>0</v>
      </c>
      <c r="R28" s="117">
        <v>0</v>
      </c>
      <c r="S28" s="24" t="s">
        <v>12</v>
      </c>
      <c r="T28" s="24" t="s">
        <v>12</v>
      </c>
    </row>
    <row r="29" spans="1:20" x14ac:dyDescent="0.25">
      <c r="A29" s="19">
        <v>20</v>
      </c>
      <c r="B29" s="19">
        <v>3</v>
      </c>
      <c r="C29" s="19">
        <v>10</v>
      </c>
      <c r="D29" s="105">
        <v>-0.8</v>
      </c>
      <c r="E29" s="34">
        <v>10000000</v>
      </c>
      <c r="F29" s="105">
        <v>1</v>
      </c>
      <c r="G29" s="359">
        <v>0</v>
      </c>
      <c r="H29" s="369">
        <v>0</v>
      </c>
      <c r="I29" s="24" t="s">
        <v>12</v>
      </c>
      <c r="J29" s="24" t="s">
        <v>12</v>
      </c>
      <c r="K29" s="366">
        <f t="shared" si="8"/>
        <v>0</v>
      </c>
      <c r="L29" s="374">
        <f t="shared" si="9"/>
        <v>5.0061857043477479E-14</v>
      </c>
      <c r="M29" s="375">
        <f t="shared" si="10"/>
        <v>0</v>
      </c>
      <c r="N29" s="58" t="e">
        <f t="shared" si="11"/>
        <v>#DIV/0!</v>
      </c>
      <c r="O29" s="121" t="b">
        <f t="shared" si="12"/>
        <v>0</v>
      </c>
      <c r="Q29" s="369">
        <v>0</v>
      </c>
      <c r="R29" s="117">
        <v>0</v>
      </c>
      <c r="S29" s="24" t="s">
        <v>12</v>
      </c>
      <c r="T29" s="24" t="s">
        <v>12</v>
      </c>
    </row>
    <row r="30" spans="1:20" x14ac:dyDescent="0.25">
      <c r="A30" s="19">
        <v>20</v>
      </c>
      <c r="B30" s="19">
        <v>4</v>
      </c>
      <c r="C30" s="19">
        <v>10</v>
      </c>
      <c r="D30" s="105">
        <v>-0.7</v>
      </c>
      <c r="E30" s="34">
        <v>10000000</v>
      </c>
      <c r="F30" s="105">
        <v>1</v>
      </c>
      <c r="G30" s="359">
        <v>0</v>
      </c>
      <c r="H30" s="369">
        <v>0</v>
      </c>
      <c r="I30" s="24" t="s">
        <v>12</v>
      </c>
      <c r="J30" s="24" t="s">
        <v>12</v>
      </c>
      <c r="K30" s="366">
        <f t="shared" si="8"/>
        <v>0</v>
      </c>
      <c r="L30" s="374">
        <f t="shared" si="9"/>
        <v>2.112487497748913E-12</v>
      </c>
      <c r="M30" s="375">
        <f t="shared" si="10"/>
        <v>0</v>
      </c>
      <c r="N30" s="58" t="e">
        <f t="shared" si="11"/>
        <v>#DIV/0!</v>
      </c>
      <c r="O30" s="121" t="b">
        <f t="shared" si="12"/>
        <v>0</v>
      </c>
      <c r="Q30" s="369">
        <v>0</v>
      </c>
      <c r="R30" s="117">
        <v>0</v>
      </c>
      <c r="S30" s="24" t="s">
        <v>12</v>
      </c>
      <c r="T30" s="24" t="s">
        <v>12</v>
      </c>
    </row>
    <row r="31" spans="1:20" x14ac:dyDescent="0.25">
      <c r="A31" s="19">
        <v>20</v>
      </c>
      <c r="B31" s="19">
        <v>5</v>
      </c>
      <c r="C31" s="19">
        <v>10</v>
      </c>
      <c r="D31" s="105">
        <v>-0.6</v>
      </c>
      <c r="E31" s="34">
        <v>10000000</v>
      </c>
      <c r="F31" s="105">
        <v>1</v>
      </c>
      <c r="G31" s="359">
        <v>0</v>
      </c>
      <c r="H31" s="369">
        <v>0</v>
      </c>
      <c r="I31" s="24" t="s">
        <v>12</v>
      </c>
      <c r="J31" s="24" t="s">
        <v>12</v>
      </c>
      <c r="K31" s="366">
        <f t="shared" si="8"/>
        <v>0</v>
      </c>
      <c r="L31" s="374">
        <f t="shared" si="9"/>
        <v>8.7587535421199124E-11</v>
      </c>
      <c r="M31" s="375">
        <f t="shared" si="10"/>
        <v>0</v>
      </c>
      <c r="N31" s="58" t="e">
        <f t="shared" si="11"/>
        <v>#DIV/0!</v>
      </c>
      <c r="O31" s="121" t="b">
        <f t="shared" si="12"/>
        <v>0</v>
      </c>
      <c r="Q31" s="369">
        <v>0</v>
      </c>
      <c r="R31" s="117">
        <v>0</v>
      </c>
      <c r="S31" s="24" t="s">
        <v>12</v>
      </c>
      <c r="T31" s="24" t="s">
        <v>12</v>
      </c>
    </row>
    <row r="32" spans="1:20" x14ac:dyDescent="0.25">
      <c r="A32" s="19">
        <v>20</v>
      </c>
      <c r="B32" s="19">
        <v>1</v>
      </c>
      <c r="C32" s="19">
        <v>10</v>
      </c>
      <c r="D32" s="105">
        <v>-0.5</v>
      </c>
      <c r="E32" s="34">
        <v>10000000</v>
      </c>
      <c r="F32" s="105">
        <v>1</v>
      </c>
      <c r="G32" s="359">
        <v>0</v>
      </c>
      <c r="H32" s="369">
        <v>0</v>
      </c>
      <c r="I32" s="24" t="s">
        <v>12</v>
      </c>
      <c r="J32" s="24" t="s">
        <v>12</v>
      </c>
      <c r="K32" s="366">
        <f>G32-H32</f>
        <v>0</v>
      </c>
      <c r="L32" s="374">
        <f t="shared" ref="L32" si="13">(1-EXP(-2*D32))/(1-EXP(-4*C32*D32))</f>
        <v>3.5416428223985793E-9</v>
      </c>
      <c r="M32" s="375">
        <f>G32+H32</f>
        <v>0</v>
      </c>
      <c r="N32" s="58" t="e">
        <f>L32/G32</f>
        <v>#DIV/0!</v>
      </c>
      <c r="O32" s="121" t="b">
        <f>AND(L32&gt;=K32,L32&lt;=M32)</f>
        <v>0</v>
      </c>
      <c r="Q32" s="369">
        <v>0</v>
      </c>
      <c r="R32" s="117">
        <v>0</v>
      </c>
      <c r="S32" s="24" t="s">
        <v>12</v>
      </c>
      <c r="T32" s="24" t="s">
        <v>12</v>
      </c>
    </row>
    <row r="33" spans="1:20" x14ac:dyDescent="0.25">
      <c r="A33" s="19">
        <v>20</v>
      </c>
      <c r="B33" s="19">
        <v>2</v>
      </c>
      <c r="C33" s="19">
        <v>10</v>
      </c>
      <c r="D33" s="105">
        <v>-0.4</v>
      </c>
      <c r="E33" s="34">
        <v>10000000</v>
      </c>
      <c r="F33" s="105">
        <v>0.99999998999999995</v>
      </c>
      <c r="G33" s="359">
        <v>1E-8</v>
      </c>
      <c r="H33" s="369">
        <v>5.0000000000000001E-9</v>
      </c>
      <c r="I33" s="24" t="s">
        <v>12</v>
      </c>
      <c r="J33" s="24" t="s">
        <v>12</v>
      </c>
      <c r="K33" s="366">
        <f t="shared" ref="K33:K42" si="14">G33-H33</f>
        <v>5.0000000000000001E-9</v>
      </c>
      <c r="L33" s="374">
        <f t="shared" ref="L33:L42" si="15">(1-EXP(-2*D33))/(1-EXP(-4*C33*D33))</f>
        <v>1.3791647803395788E-7</v>
      </c>
      <c r="M33" s="375">
        <f t="shared" ref="M33:M42" si="16">G33+H33</f>
        <v>1.5000000000000002E-8</v>
      </c>
      <c r="N33" s="58">
        <f t="shared" ref="N33:N42" si="17">L33/G33</f>
        <v>13.791647803395788</v>
      </c>
      <c r="O33" s="121" t="b">
        <f t="shared" ref="O33:O42" si="18">AND(L33&gt;=K33,L33&lt;=M33)</f>
        <v>0</v>
      </c>
      <c r="Q33" s="369">
        <v>0</v>
      </c>
      <c r="R33" s="117">
        <v>0</v>
      </c>
      <c r="S33" s="24" t="s">
        <v>12</v>
      </c>
      <c r="T33" s="24" t="s">
        <v>12</v>
      </c>
    </row>
    <row r="34" spans="1:20" x14ac:dyDescent="0.25">
      <c r="A34" s="19">
        <v>20</v>
      </c>
      <c r="B34" s="19">
        <v>3</v>
      </c>
      <c r="C34" s="19">
        <v>10</v>
      </c>
      <c r="D34" s="105">
        <v>-0.3</v>
      </c>
      <c r="E34" s="34">
        <v>10000000</v>
      </c>
      <c r="F34" s="105">
        <v>0.99999937999999999</v>
      </c>
      <c r="G34" s="445">
        <v>6.1999999999999999E-7</v>
      </c>
      <c r="H34" s="369">
        <v>2.4620000000000002E-7</v>
      </c>
      <c r="I34" s="24">
        <v>15.35</v>
      </c>
      <c r="J34" s="24">
        <v>4.07</v>
      </c>
      <c r="K34" s="366">
        <f t="shared" si="14"/>
        <v>3.7379999999999997E-7</v>
      </c>
      <c r="L34" s="374">
        <f t="shared" si="15"/>
        <v>5.0513035255442553E-6</v>
      </c>
      <c r="M34" s="375">
        <f t="shared" si="16"/>
        <v>8.6620000000000007E-7</v>
      </c>
      <c r="N34" s="58">
        <f t="shared" si="17"/>
        <v>8.1472637508778316</v>
      </c>
      <c r="O34" s="121" t="b">
        <f t="shared" si="18"/>
        <v>0</v>
      </c>
      <c r="Q34" s="369">
        <v>6.7999999999999995E-7</v>
      </c>
      <c r="R34" s="117">
        <v>2.5409999999999998E-7</v>
      </c>
      <c r="S34" s="24">
        <v>16.07</v>
      </c>
      <c r="T34" s="24">
        <v>4.4400000000000004</v>
      </c>
    </row>
    <row r="35" spans="1:20" x14ac:dyDescent="0.25">
      <c r="A35" s="19">
        <v>20</v>
      </c>
      <c r="B35" s="19">
        <v>4</v>
      </c>
      <c r="C35" s="19">
        <v>10</v>
      </c>
      <c r="D35" s="105">
        <v>-0.2</v>
      </c>
      <c r="E35" s="34">
        <v>10000000</v>
      </c>
      <c r="F35" s="105">
        <v>0.99992418999999999</v>
      </c>
      <c r="G35" s="359">
        <v>7.5809999999999994E-5</v>
      </c>
      <c r="H35" s="369">
        <v>2.7530000000000002E-6</v>
      </c>
      <c r="I35" s="24">
        <v>21.44</v>
      </c>
      <c r="J35" s="24">
        <v>8.59</v>
      </c>
      <c r="K35" s="366">
        <f t="shared" si="14"/>
        <v>7.3056999999999988E-5</v>
      </c>
      <c r="L35" s="374">
        <f t="shared" si="15"/>
        <v>1.6504417168965388E-4</v>
      </c>
      <c r="M35" s="375">
        <f t="shared" si="16"/>
        <v>7.8563E-5</v>
      </c>
      <c r="N35" s="58">
        <f t="shared" si="17"/>
        <v>2.1770765293451246</v>
      </c>
      <c r="O35" s="121" t="b">
        <f t="shared" si="18"/>
        <v>0</v>
      </c>
      <c r="Q35" s="369">
        <v>7.6929999999999997E-5</v>
      </c>
      <c r="R35" s="117">
        <v>2.773E-6</v>
      </c>
      <c r="S35" s="24">
        <v>21.53</v>
      </c>
      <c r="T35" s="24">
        <v>8.69</v>
      </c>
    </row>
    <row r="36" spans="1:20" x14ac:dyDescent="0.25">
      <c r="A36" s="19">
        <v>20</v>
      </c>
      <c r="B36" s="19">
        <v>5</v>
      </c>
      <c r="C36" s="19">
        <v>10</v>
      </c>
      <c r="D36" s="105">
        <v>-0.1</v>
      </c>
      <c r="E36" s="34">
        <v>10000000</v>
      </c>
      <c r="F36" s="105">
        <v>0.99645046000000004</v>
      </c>
      <c r="G36" s="359">
        <v>3.5495399999999999E-3</v>
      </c>
      <c r="H36" s="369">
        <v>1.8806700000000001E-5</v>
      </c>
      <c r="I36" s="24">
        <v>30.53</v>
      </c>
      <c r="J36" s="24">
        <v>15.29</v>
      </c>
      <c r="K36" s="366">
        <f t="shared" si="14"/>
        <v>3.5307333E-3</v>
      </c>
      <c r="L36" s="374">
        <f t="shared" si="15"/>
        <v>4.1307910445278042E-3</v>
      </c>
      <c r="M36" s="375">
        <f t="shared" si="16"/>
        <v>3.5683466999999998E-3</v>
      </c>
      <c r="N36" s="58">
        <f t="shared" si="17"/>
        <v>1.1637539074155536</v>
      </c>
      <c r="O36" s="121" t="b">
        <f t="shared" si="18"/>
        <v>0</v>
      </c>
      <c r="Q36" s="369">
        <v>3.5496E-3</v>
      </c>
      <c r="R36" s="117">
        <v>1.8806900000000001E-5</v>
      </c>
      <c r="S36" s="24">
        <v>30.52</v>
      </c>
      <c r="T36" s="24">
        <v>15.27</v>
      </c>
    </row>
    <row r="37" spans="1:20" x14ac:dyDescent="0.25">
      <c r="A37" s="19">
        <v>20</v>
      </c>
      <c r="B37" s="19">
        <v>6</v>
      </c>
      <c r="C37" s="19">
        <v>10</v>
      </c>
      <c r="D37" s="105">
        <v>-0.08</v>
      </c>
      <c r="E37" s="34">
        <v>10000000</v>
      </c>
      <c r="F37" s="105">
        <v>0.99326272000000004</v>
      </c>
      <c r="G37" s="359">
        <v>6.7372700000000001E-3</v>
      </c>
      <c r="H37" s="369">
        <v>2.5868600000000002E-5</v>
      </c>
      <c r="I37" s="24">
        <v>32.54</v>
      </c>
      <c r="J37" s="24">
        <v>16.920000000000002</v>
      </c>
      <c r="K37" s="366">
        <f t="shared" si="14"/>
        <v>6.7114013999999998E-3</v>
      </c>
      <c r="L37" s="374">
        <f t="shared" si="15"/>
        <v>7.3732348174410803E-3</v>
      </c>
      <c r="M37" s="375">
        <f t="shared" si="16"/>
        <v>6.7631386000000003E-3</v>
      </c>
      <c r="N37" s="58">
        <f t="shared" si="17"/>
        <v>1.0943950320294542</v>
      </c>
      <c r="O37" s="121" t="b">
        <f t="shared" si="18"/>
        <v>0</v>
      </c>
      <c r="Q37" s="369">
        <v>6.7397500000000001E-3</v>
      </c>
      <c r="R37" s="117">
        <v>2.5873399999999999E-5</v>
      </c>
      <c r="S37" s="24">
        <v>32.57</v>
      </c>
      <c r="T37" s="24">
        <v>16.97</v>
      </c>
    </row>
    <row r="38" spans="1:20" x14ac:dyDescent="0.25">
      <c r="A38" s="19">
        <v>20</v>
      </c>
      <c r="B38" s="19">
        <v>7</v>
      </c>
      <c r="C38" s="19">
        <v>10</v>
      </c>
      <c r="D38" s="105">
        <v>-0.06</v>
      </c>
      <c r="E38" s="34">
        <v>10000000</v>
      </c>
      <c r="F38" s="105">
        <v>0.98784274000000005</v>
      </c>
      <c r="G38" s="359">
        <v>1.215726E-2</v>
      </c>
      <c r="H38" s="369">
        <v>3.4654699999999999E-5</v>
      </c>
      <c r="I38" s="24">
        <v>34.409999999999997</v>
      </c>
      <c r="J38" s="24">
        <v>18.45</v>
      </c>
      <c r="K38" s="366">
        <f t="shared" si="14"/>
        <v>1.21226053E-2</v>
      </c>
      <c r="L38" s="374">
        <f t="shared" si="15"/>
        <v>1.2720204328202638E-2</v>
      </c>
      <c r="M38" s="375">
        <f t="shared" si="16"/>
        <v>1.2191914699999999E-2</v>
      </c>
      <c r="N38" s="58">
        <f t="shared" si="17"/>
        <v>1.0463051977339168</v>
      </c>
      <c r="O38" s="121" t="b">
        <f t="shared" si="18"/>
        <v>0</v>
      </c>
      <c r="Q38" s="369">
        <v>1.214899E-2</v>
      </c>
      <c r="R38" s="117">
        <v>3.4643E-5</v>
      </c>
      <c r="S38" s="24">
        <v>34.4</v>
      </c>
      <c r="T38" s="24">
        <v>18.47</v>
      </c>
    </row>
    <row r="39" spans="1:20" x14ac:dyDescent="0.25">
      <c r="A39" s="19">
        <v>20</v>
      </c>
      <c r="B39" s="19">
        <v>8</v>
      </c>
      <c r="C39" s="19">
        <v>10</v>
      </c>
      <c r="D39" s="105">
        <v>-0.05</v>
      </c>
      <c r="E39" s="34">
        <v>10000000</v>
      </c>
      <c r="F39" s="105">
        <v>0.98403185999999998</v>
      </c>
      <c r="G39" s="359">
        <v>1.5968139999999999E-2</v>
      </c>
      <c r="H39" s="369">
        <v>3.96398E-5</v>
      </c>
      <c r="I39" s="24">
        <v>35.229999999999997</v>
      </c>
      <c r="J39" s="24">
        <v>19.170000000000002</v>
      </c>
      <c r="K39" s="366">
        <f t="shared" si="14"/>
        <v>1.5928500199999997E-2</v>
      </c>
      <c r="L39" s="374">
        <f t="shared" si="15"/>
        <v>1.6461104183018584E-2</v>
      </c>
      <c r="M39" s="375">
        <f t="shared" si="16"/>
        <v>1.60077798E-2</v>
      </c>
      <c r="N39" s="58">
        <f t="shared" si="17"/>
        <v>1.0308717347805434</v>
      </c>
      <c r="O39" s="121" t="b">
        <f t="shared" si="18"/>
        <v>0</v>
      </c>
      <c r="Q39" s="369">
        <v>1.5968130000000001E-2</v>
      </c>
      <c r="R39" s="117">
        <v>3.96398E-5</v>
      </c>
      <c r="S39" s="24">
        <v>35.229999999999997</v>
      </c>
      <c r="T39" s="24">
        <v>19.149999999999999</v>
      </c>
    </row>
    <row r="40" spans="1:20" x14ac:dyDescent="0.25">
      <c r="A40" s="19">
        <v>20</v>
      </c>
      <c r="B40" s="19">
        <v>9</v>
      </c>
      <c r="C40" s="19">
        <v>10</v>
      </c>
      <c r="D40" s="105">
        <v>-0.04</v>
      </c>
      <c r="E40" s="34">
        <v>10000000</v>
      </c>
      <c r="F40" s="105">
        <v>0.9793113</v>
      </c>
      <c r="G40" s="359">
        <v>2.0688700000000001E-2</v>
      </c>
      <c r="H40" s="369">
        <v>4.5011800000000002E-5</v>
      </c>
      <c r="I40" s="24">
        <v>35.93</v>
      </c>
      <c r="J40" s="24">
        <v>19.77</v>
      </c>
      <c r="K40" s="366">
        <f t="shared" si="14"/>
        <v>2.06436882E-2</v>
      </c>
      <c r="L40" s="374">
        <f t="shared" si="15"/>
        <v>2.1069158745315137E-2</v>
      </c>
      <c r="M40" s="375">
        <f t="shared" si="16"/>
        <v>2.0733711800000002E-2</v>
      </c>
      <c r="N40" s="58">
        <f t="shared" si="17"/>
        <v>1.0183896883475103</v>
      </c>
      <c r="O40" s="121" t="b">
        <f t="shared" si="18"/>
        <v>0</v>
      </c>
      <c r="Q40" s="369">
        <v>2.0698290000000001E-2</v>
      </c>
      <c r="R40" s="117">
        <v>4.5021999999999997E-5</v>
      </c>
      <c r="S40" s="24">
        <v>35.94</v>
      </c>
      <c r="T40" s="24">
        <v>19.760000000000002</v>
      </c>
    </row>
    <row r="41" spans="1:20" x14ac:dyDescent="0.25">
      <c r="A41" s="19">
        <v>20</v>
      </c>
      <c r="B41" s="19">
        <v>10</v>
      </c>
      <c r="C41" s="19">
        <v>10</v>
      </c>
      <c r="D41" s="105">
        <v>-0.02</v>
      </c>
      <c r="E41" s="34">
        <v>10000000</v>
      </c>
      <c r="F41" s="105">
        <v>0.96682374999999998</v>
      </c>
      <c r="G41" s="359">
        <v>3.3176240000000003E-2</v>
      </c>
      <c r="H41" s="369">
        <v>5.6635300000000003E-5</v>
      </c>
      <c r="I41" s="24">
        <v>36.92</v>
      </c>
      <c r="J41" s="24">
        <v>20.61</v>
      </c>
      <c r="K41" s="366">
        <f t="shared" si="14"/>
        <v>3.3119604699999999E-2</v>
      </c>
      <c r="L41" s="374">
        <f t="shared" si="15"/>
        <v>3.3300213190423068E-2</v>
      </c>
      <c r="M41" s="375">
        <f t="shared" si="16"/>
        <v>3.3232875300000006E-2</v>
      </c>
      <c r="N41" s="58">
        <f t="shared" si="17"/>
        <v>1.0037368065345278</v>
      </c>
      <c r="O41" s="121" t="b">
        <f t="shared" si="18"/>
        <v>0</v>
      </c>
      <c r="Q41" s="369">
        <v>3.3177930000000001E-2</v>
      </c>
      <c r="R41" s="117">
        <v>5.6636699999999999E-5</v>
      </c>
      <c r="S41" s="24">
        <v>36.92</v>
      </c>
      <c r="T41" s="24">
        <v>20.61</v>
      </c>
    </row>
    <row r="42" spans="1:20" ht="15.75" x14ac:dyDescent="0.25">
      <c r="A42" s="19">
        <v>20</v>
      </c>
      <c r="B42" s="19">
        <v>11</v>
      </c>
      <c r="C42" s="19">
        <v>10</v>
      </c>
      <c r="D42" s="244">
        <v>-0.01</v>
      </c>
      <c r="E42" s="164">
        <v>10000000</v>
      </c>
      <c r="F42" s="129">
        <v>0.95898063</v>
      </c>
      <c r="G42" s="391">
        <v>4.1019369999999999E-2</v>
      </c>
      <c r="H42" s="393">
        <v>6.2718999999999994E-5</v>
      </c>
      <c r="I42" s="165">
        <v>37.18</v>
      </c>
      <c r="J42" s="236">
        <v>20.83</v>
      </c>
      <c r="K42" s="393">
        <f t="shared" si="14"/>
        <v>4.0956650999999997E-2</v>
      </c>
      <c r="L42" s="166">
        <f t="shared" si="15"/>
        <v>4.1074269193147217E-2</v>
      </c>
      <c r="M42" s="166">
        <f t="shared" si="16"/>
        <v>4.1082089000000002E-2</v>
      </c>
      <c r="N42" s="134">
        <f t="shared" si="17"/>
        <v>1.0013383724115514</v>
      </c>
      <c r="O42" s="132" t="b">
        <f t="shared" si="18"/>
        <v>1</v>
      </c>
      <c r="Q42" s="369">
        <v>4.103122E-2</v>
      </c>
      <c r="R42" s="117">
        <v>6.2727700000000006E-5</v>
      </c>
      <c r="S42" s="24">
        <v>37.19</v>
      </c>
      <c r="T42" s="24">
        <v>20.83</v>
      </c>
    </row>
    <row r="43" spans="1:20" x14ac:dyDescent="0.25">
      <c r="A43" s="19">
        <v>20</v>
      </c>
      <c r="B43" s="19">
        <v>6</v>
      </c>
      <c r="C43" s="19">
        <v>10</v>
      </c>
      <c r="D43" s="129">
        <v>-5.0000000000000001E-3</v>
      </c>
      <c r="E43" s="164">
        <v>10000000</v>
      </c>
      <c r="F43" s="129">
        <v>0.95459826999999997</v>
      </c>
      <c r="G43" s="166">
        <v>4.5401730000000001E-2</v>
      </c>
      <c r="H43" s="393">
        <v>6.5833400000000006E-5</v>
      </c>
      <c r="I43" s="165">
        <v>37.25</v>
      </c>
      <c r="J43" s="165">
        <v>20.91</v>
      </c>
      <c r="K43" s="393">
        <f t="shared" ref="K43:K48" si="19">G43-H43</f>
        <v>4.5335896600000002E-2</v>
      </c>
      <c r="L43" s="166">
        <f t="shared" ref="L43:L48" si="20">(1-EXP(-2*D43))/(1-EXP(-4*C43*D43))</f>
        <v>4.5393143101213472E-2</v>
      </c>
      <c r="M43" s="166">
        <f t="shared" ref="M43:M48" si="21">G43+H43</f>
        <v>4.5467563400000001E-2</v>
      </c>
      <c r="N43" s="134">
        <f t="shared" ref="N43:N48" si="22">L43/G43</f>
        <v>0.99981086846720313</v>
      </c>
      <c r="O43" s="132" t="b">
        <f t="shared" ref="O43:O48" si="23">AND(L43&gt;=K43,L43&lt;=M43)</f>
        <v>1</v>
      </c>
      <c r="Q43" s="369">
        <v>4.5377489999999999E-2</v>
      </c>
      <c r="R43" s="117">
        <v>6.5816700000000003E-5</v>
      </c>
      <c r="S43" s="24">
        <v>37.270000000000003</v>
      </c>
      <c r="T43" s="24">
        <v>20.91</v>
      </c>
    </row>
    <row r="44" spans="1:20" x14ac:dyDescent="0.25">
      <c r="A44" s="19">
        <v>20</v>
      </c>
      <c r="B44" s="19">
        <v>7</v>
      </c>
      <c r="C44" s="19">
        <v>10</v>
      </c>
      <c r="D44" s="129">
        <v>-1E-3</v>
      </c>
      <c r="E44" s="164">
        <v>10000000</v>
      </c>
      <c r="F44" s="129">
        <v>0.95095847</v>
      </c>
      <c r="G44" s="166">
        <v>4.9041519999999998E-2</v>
      </c>
      <c r="H44" s="393">
        <v>6.8290899999999994E-5</v>
      </c>
      <c r="I44" s="165">
        <v>37.270000000000003</v>
      </c>
      <c r="J44" s="165">
        <v>20.91</v>
      </c>
      <c r="K44" s="393">
        <f t="shared" si="19"/>
        <v>4.8973229100000001E-2</v>
      </c>
      <c r="L44" s="166">
        <f t="shared" si="20"/>
        <v>4.9055705842838547E-2</v>
      </c>
      <c r="M44" s="166">
        <f t="shared" si="21"/>
        <v>4.9109810899999995E-2</v>
      </c>
      <c r="N44" s="134">
        <f t="shared" si="22"/>
        <v>1.0002892618915269</v>
      </c>
      <c r="O44" s="132" t="b">
        <f t="shared" si="23"/>
        <v>1</v>
      </c>
      <c r="Q44" s="369">
        <v>4.9074899999999998E-2</v>
      </c>
      <c r="R44" s="117">
        <v>6.8312900000000001E-5</v>
      </c>
      <c r="S44" s="24">
        <v>37.26</v>
      </c>
      <c r="T44" s="24">
        <v>20.91</v>
      </c>
    </row>
    <row r="45" spans="1:20" x14ac:dyDescent="0.25">
      <c r="A45" s="19">
        <v>20</v>
      </c>
      <c r="B45" s="19">
        <v>8</v>
      </c>
      <c r="C45" s="19">
        <v>10</v>
      </c>
      <c r="D45" s="129">
        <v>-1E-4</v>
      </c>
      <c r="E45" s="164">
        <v>10000000</v>
      </c>
      <c r="F45" s="129">
        <v>0.95010567000000001</v>
      </c>
      <c r="G45" s="166">
        <v>4.9894330000000001E-2</v>
      </c>
      <c r="H45" s="393">
        <v>6.8851199999999996E-5</v>
      </c>
      <c r="I45" s="165">
        <v>37.270000000000003</v>
      </c>
      <c r="J45" s="165">
        <v>20.92</v>
      </c>
      <c r="K45" s="393">
        <f t="shared" si="19"/>
        <v>4.9825478800000003E-2</v>
      </c>
      <c r="L45" s="166">
        <f t="shared" si="20"/>
        <v>4.9905057006012866E-2</v>
      </c>
      <c r="M45" s="166">
        <f t="shared" si="21"/>
        <v>4.9963181199999998E-2</v>
      </c>
      <c r="N45" s="134">
        <f t="shared" si="22"/>
        <v>1.0002149944896117</v>
      </c>
      <c r="O45" s="132" t="b">
        <f t="shared" si="23"/>
        <v>1</v>
      </c>
      <c r="Q45" s="369">
        <v>4.9903360000000001E-2</v>
      </c>
      <c r="R45" s="117">
        <v>6.8857100000000002E-5</v>
      </c>
      <c r="S45" s="24">
        <v>37.270000000000003</v>
      </c>
      <c r="T45" s="24">
        <v>20.91</v>
      </c>
    </row>
    <row r="46" spans="1:20" x14ac:dyDescent="0.25">
      <c r="A46" s="19">
        <v>20</v>
      </c>
      <c r="B46" s="19">
        <v>9</v>
      </c>
      <c r="C46" s="19">
        <v>10</v>
      </c>
      <c r="D46" s="393">
        <v>-1.0000000000000001E-5</v>
      </c>
      <c r="E46" s="164">
        <v>10000000</v>
      </c>
      <c r="F46" s="129">
        <v>0.95002308000000002</v>
      </c>
      <c r="G46" s="166">
        <v>4.9976909999999999E-2</v>
      </c>
      <c r="H46" s="393">
        <v>6.8905200000000006E-5</v>
      </c>
      <c r="I46" s="165">
        <v>37.28</v>
      </c>
      <c r="J46" s="165">
        <v>20.91</v>
      </c>
      <c r="K46" s="393">
        <f t="shared" si="19"/>
        <v>4.9908004800000003E-2</v>
      </c>
      <c r="L46" s="166">
        <f t="shared" si="20"/>
        <v>4.9990500569805765E-2</v>
      </c>
      <c r="M46" s="166">
        <f t="shared" si="21"/>
        <v>5.0045815199999996E-2</v>
      </c>
      <c r="N46" s="134">
        <f t="shared" si="22"/>
        <v>1.0002719369766111</v>
      </c>
      <c r="O46" s="132" t="b">
        <f t="shared" si="23"/>
        <v>1</v>
      </c>
      <c r="Q46" s="369">
        <v>4.9981530000000003E-2</v>
      </c>
      <c r="R46" s="117">
        <v>6.8908199999999999E-5</v>
      </c>
      <c r="S46" s="24">
        <v>37.28</v>
      </c>
      <c r="T46" s="24">
        <v>20.91</v>
      </c>
    </row>
    <row r="47" spans="1:20" x14ac:dyDescent="0.25">
      <c r="A47" s="19">
        <v>20</v>
      </c>
      <c r="B47" s="19">
        <v>10</v>
      </c>
      <c r="C47" s="19">
        <v>10</v>
      </c>
      <c r="D47" s="393">
        <v>-9.9999999999999995E-7</v>
      </c>
      <c r="E47" s="164">
        <v>10000000</v>
      </c>
      <c r="F47" s="129">
        <v>0.95000494999999996</v>
      </c>
      <c r="G47" s="166">
        <v>4.9995049999999999E-2</v>
      </c>
      <c r="H47" s="393">
        <v>6.8917000000000004E-5</v>
      </c>
      <c r="I47" s="165">
        <v>37.26</v>
      </c>
      <c r="J47" s="165">
        <v>20.89</v>
      </c>
      <c r="K47" s="393">
        <f t="shared" si="19"/>
        <v>4.9926132999999998E-2</v>
      </c>
      <c r="L47" s="166">
        <f t="shared" si="20"/>
        <v>4.9999050005876414E-2</v>
      </c>
      <c r="M47" s="166">
        <f t="shared" si="21"/>
        <v>5.0063967000000001E-2</v>
      </c>
      <c r="N47" s="134">
        <f t="shared" si="22"/>
        <v>1.0000800080383241</v>
      </c>
      <c r="O47" s="132" t="b">
        <f t="shared" si="23"/>
        <v>1</v>
      </c>
      <c r="Q47" s="369">
        <v>5.0015329999999997E-2</v>
      </c>
      <c r="R47" s="117">
        <v>6.8930200000000006E-5</v>
      </c>
      <c r="S47" s="24">
        <v>37.270000000000003</v>
      </c>
      <c r="T47" s="24">
        <v>20.91</v>
      </c>
    </row>
    <row r="48" spans="1:20" ht="15.75" x14ac:dyDescent="0.25">
      <c r="A48" s="19">
        <v>20</v>
      </c>
      <c r="B48" s="19">
        <v>11</v>
      </c>
      <c r="C48" s="19">
        <v>10</v>
      </c>
      <c r="D48" s="244">
        <v>0</v>
      </c>
      <c r="E48" s="164">
        <v>10000000</v>
      </c>
      <c r="F48" s="129">
        <v>0.94999484000000001</v>
      </c>
      <c r="G48" s="391">
        <v>5.000516E-2</v>
      </c>
      <c r="H48" s="393">
        <v>6.8923600000000005E-5</v>
      </c>
      <c r="I48" s="165">
        <v>37.28</v>
      </c>
      <c r="J48" s="236">
        <v>20.91</v>
      </c>
      <c r="K48" s="393">
        <f t="shared" si="19"/>
        <v>4.99362364E-2</v>
      </c>
      <c r="L48" s="166" t="e">
        <f t="shared" si="20"/>
        <v>#DIV/0!</v>
      </c>
      <c r="M48" s="166">
        <f t="shared" si="21"/>
        <v>5.0074083599999999E-2</v>
      </c>
      <c r="N48" s="134" t="e">
        <f t="shared" si="22"/>
        <v>#DIV/0!</v>
      </c>
      <c r="O48" s="132" t="e">
        <f t="shared" si="23"/>
        <v>#DIV/0!</v>
      </c>
      <c r="Q48" s="369">
        <v>5.0013929999999998E-2</v>
      </c>
      <c r="R48" s="117">
        <v>6.8929299999999997E-5</v>
      </c>
      <c r="S48" s="24">
        <v>37.270000000000003</v>
      </c>
      <c r="T48" s="24">
        <v>20.91</v>
      </c>
    </row>
    <row r="51" spans="1:15" ht="36.75" x14ac:dyDescent="0.25">
      <c r="A51" s="11" t="s">
        <v>0</v>
      </c>
      <c r="B51" s="11" t="s">
        <v>10</v>
      </c>
      <c r="C51" s="16" t="s">
        <v>11</v>
      </c>
      <c r="D51" s="11" t="s">
        <v>9</v>
      </c>
      <c r="E51" s="33" t="s">
        <v>3</v>
      </c>
      <c r="F51" s="22" t="s">
        <v>29</v>
      </c>
      <c r="G51" s="377" t="s">
        <v>27</v>
      </c>
      <c r="H51" s="394" t="s">
        <v>28</v>
      </c>
      <c r="I51" s="16" t="s">
        <v>25</v>
      </c>
      <c r="J51" s="16" t="s">
        <v>26</v>
      </c>
      <c r="K51" s="365" t="s">
        <v>151</v>
      </c>
      <c r="L51" s="377" t="s">
        <v>153</v>
      </c>
      <c r="M51" s="365" t="s">
        <v>152</v>
      </c>
      <c r="N51" s="150" t="s">
        <v>187</v>
      </c>
      <c r="O51" s="162" t="s">
        <v>156</v>
      </c>
    </row>
    <row r="52" spans="1:15" x14ac:dyDescent="0.25">
      <c r="A52" s="19">
        <v>20</v>
      </c>
      <c r="B52" s="19">
        <v>1</v>
      </c>
      <c r="C52" s="19">
        <v>10</v>
      </c>
      <c r="D52" s="19">
        <v>-1</v>
      </c>
      <c r="E52" s="34">
        <v>10000000</v>
      </c>
      <c r="F52" s="117">
        <v>1</v>
      </c>
      <c r="G52" s="369">
        <v>0</v>
      </c>
      <c r="H52" s="369">
        <v>0</v>
      </c>
      <c r="I52" s="24" t="s">
        <v>12</v>
      </c>
      <c r="J52" s="24" t="s">
        <v>12</v>
      </c>
      <c r="K52" s="366">
        <f t="shared" ref="K52:K73" si="24">G52-H52</f>
        <v>0</v>
      </c>
      <c r="L52" s="374">
        <f t="shared" ref="L52:L73" si="25">(1-EXP(-2*D52))/(1-EXP(-4*C52*D52))</f>
        <v>2.7142973665188707E-17</v>
      </c>
      <c r="M52" s="375">
        <f t="shared" ref="M52:M73" si="26">G52+H52</f>
        <v>0</v>
      </c>
      <c r="N52" s="121" t="e">
        <f t="shared" ref="N52:N73" si="27">L52/G52</f>
        <v>#DIV/0!</v>
      </c>
      <c r="O52" s="121" t="b">
        <f>AND(L52&gt;=K52,L52&lt;=M52)</f>
        <v>0</v>
      </c>
    </row>
    <row r="53" spans="1:15" x14ac:dyDescent="0.25">
      <c r="A53" s="19">
        <v>20</v>
      </c>
      <c r="B53" s="19">
        <v>2</v>
      </c>
      <c r="C53" s="19">
        <v>10</v>
      </c>
      <c r="D53" s="19">
        <v>-0.9</v>
      </c>
      <c r="E53" s="34">
        <v>10000000</v>
      </c>
      <c r="F53" s="117">
        <v>1</v>
      </c>
      <c r="G53" s="369">
        <v>0</v>
      </c>
      <c r="H53" s="369">
        <v>0</v>
      </c>
      <c r="I53" s="24" t="s">
        <v>12</v>
      </c>
      <c r="J53" s="24" t="s">
        <v>12</v>
      </c>
      <c r="K53" s="366">
        <f t="shared" si="24"/>
        <v>0</v>
      </c>
      <c r="L53" s="374">
        <f t="shared" si="25"/>
        <v>1.1712772578387385E-15</v>
      </c>
      <c r="M53" s="375">
        <f t="shared" si="26"/>
        <v>0</v>
      </c>
      <c r="N53" s="121" t="e">
        <f t="shared" si="27"/>
        <v>#DIV/0!</v>
      </c>
      <c r="O53" s="121" t="b">
        <f t="shared" ref="O53:O73" si="28">AND(L53&gt;=K53,L53&lt;=M53)</f>
        <v>0</v>
      </c>
    </row>
    <row r="54" spans="1:15" x14ac:dyDescent="0.25">
      <c r="A54" s="19">
        <v>20</v>
      </c>
      <c r="B54" s="19">
        <v>3</v>
      </c>
      <c r="C54" s="19">
        <v>10</v>
      </c>
      <c r="D54" s="19">
        <v>-0.8</v>
      </c>
      <c r="E54" s="34">
        <v>10000000</v>
      </c>
      <c r="F54" s="117">
        <v>1</v>
      </c>
      <c r="G54" s="369">
        <v>0</v>
      </c>
      <c r="H54" s="369">
        <v>0</v>
      </c>
      <c r="I54" s="24" t="s">
        <v>12</v>
      </c>
      <c r="J54" s="24" t="s">
        <v>12</v>
      </c>
      <c r="K54" s="366">
        <f t="shared" si="24"/>
        <v>0</v>
      </c>
      <c r="L54" s="374">
        <f t="shared" si="25"/>
        <v>5.0061857043477479E-14</v>
      </c>
      <c r="M54" s="375">
        <f t="shared" si="26"/>
        <v>0</v>
      </c>
      <c r="N54" s="121" t="e">
        <f t="shared" si="27"/>
        <v>#DIV/0!</v>
      </c>
      <c r="O54" s="121" t="b">
        <f t="shared" si="28"/>
        <v>0</v>
      </c>
    </row>
    <row r="55" spans="1:15" x14ac:dyDescent="0.25">
      <c r="A55" s="19">
        <v>20</v>
      </c>
      <c r="B55" s="19">
        <v>4</v>
      </c>
      <c r="C55" s="19">
        <v>10</v>
      </c>
      <c r="D55" s="19">
        <v>-0.7</v>
      </c>
      <c r="E55" s="34">
        <v>10000000</v>
      </c>
      <c r="F55" s="117">
        <v>1</v>
      </c>
      <c r="G55" s="369">
        <v>0</v>
      </c>
      <c r="H55" s="369">
        <v>0</v>
      </c>
      <c r="I55" s="24" t="s">
        <v>12</v>
      </c>
      <c r="J55" s="24" t="s">
        <v>12</v>
      </c>
      <c r="K55" s="366">
        <f t="shared" si="24"/>
        <v>0</v>
      </c>
      <c r="L55" s="374">
        <f t="shared" si="25"/>
        <v>2.112487497748913E-12</v>
      </c>
      <c r="M55" s="375">
        <f t="shared" si="26"/>
        <v>0</v>
      </c>
      <c r="N55" s="121" t="e">
        <f t="shared" si="27"/>
        <v>#DIV/0!</v>
      </c>
      <c r="O55" s="121" t="b">
        <f t="shared" si="28"/>
        <v>0</v>
      </c>
    </row>
    <row r="56" spans="1:15" x14ac:dyDescent="0.25">
      <c r="A56" s="19">
        <v>20</v>
      </c>
      <c r="B56" s="19">
        <v>5</v>
      </c>
      <c r="C56" s="19">
        <v>10</v>
      </c>
      <c r="D56" s="19">
        <v>-0.6</v>
      </c>
      <c r="E56" s="34">
        <v>10000000</v>
      </c>
      <c r="F56" s="117">
        <v>1</v>
      </c>
      <c r="G56" s="369">
        <v>0</v>
      </c>
      <c r="H56" s="369">
        <v>0</v>
      </c>
      <c r="I56" s="24" t="s">
        <v>12</v>
      </c>
      <c r="J56" s="24" t="s">
        <v>12</v>
      </c>
      <c r="K56" s="366">
        <f t="shared" si="24"/>
        <v>0</v>
      </c>
      <c r="L56" s="374">
        <f t="shared" si="25"/>
        <v>8.7587535421199124E-11</v>
      </c>
      <c r="M56" s="375">
        <f t="shared" si="26"/>
        <v>0</v>
      </c>
      <c r="N56" s="121" t="e">
        <f t="shared" si="27"/>
        <v>#DIV/0!</v>
      </c>
      <c r="O56" s="121" t="b">
        <f t="shared" si="28"/>
        <v>0</v>
      </c>
    </row>
    <row r="57" spans="1:15" x14ac:dyDescent="0.25">
      <c r="A57" s="19">
        <v>20</v>
      </c>
      <c r="B57" s="19">
        <v>6</v>
      </c>
      <c r="C57" s="19">
        <v>10</v>
      </c>
      <c r="D57" s="19">
        <v>-0.5</v>
      </c>
      <c r="E57" s="34">
        <v>10000000</v>
      </c>
      <c r="F57" s="117">
        <v>1</v>
      </c>
      <c r="G57" s="369">
        <v>0</v>
      </c>
      <c r="H57" s="369">
        <v>0</v>
      </c>
      <c r="I57" s="24" t="s">
        <v>12</v>
      </c>
      <c r="J57" s="24" t="s">
        <v>12</v>
      </c>
      <c r="K57" s="366">
        <f t="shared" si="24"/>
        <v>0</v>
      </c>
      <c r="L57" s="374">
        <f t="shared" si="25"/>
        <v>3.5416428223985793E-9</v>
      </c>
      <c r="M57" s="375">
        <f t="shared" si="26"/>
        <v>0</v>
      </c>
      <c r="N57" s="121" t="e">
        <f t="shared" si="27"/>
        <v>#DIV/0!</v>
      </c>
      <c r="O57" s="121" t="b">
        <f t="shared" si="28"/>
        <v>0</v>
      </c>
    </row>
    <row r="58" spans="1:15" x14ac:dyDescent="0.25">
      <c r="A58" s="19">
        <v>20</v>
      </c>
      <c r="B58" s="19">
        <v>7</v>
      </c>
      <c r="C58" s="19">
        <v>10</v>
      </c>
      <c r="D58" s="19">
        <v>-0.4</v>
      </c>
      <c r="E58" s="34">
        <v>10000000</v>
      </c>
      <c r="F58" s="117">
        <v>1</v>
      </c>
      <c r="G58" s="369">
        <v>0</v>
      </c>
      <c r="H58" s="369">
        <v>0</v>
      </c>
      <c r="I58" s="24" t="s">
        <v>12</v>
      </c>
      <c r="J58" s="24" t="s">
        <v>12</v>
      </c>
      <c r="K58" s="366">
        <f t="shared" si="24"/>
        <v>0</v>
      </c>
      <c r="L58" s="374">
        <f t="shared" si="25"/>
        <v>1.3791647803395788E-7</v>
      </c>
      <c r="M58" s="375">
        <f t="shared" si="26"/>
        <v>0</v>
      </c>
      <c r="N58" s="121" t="e">
        <f t="shared" si="27"/>
        <v>#DIV/0!</v>
      </c>
      <c r="O58" s="121" t="b">
        <f t="shared" si="28"/>
        <v>0</v>
      </c>
    </row>
    <row r="59" spans="1:15" x14ac:dyDescent="0.25">
      <c r="A59" s="19">
        <v>20</v>
      </c>
      <c r="B59" s="19">
        <v>8</v>
      </c>
      <c r="C59" s="19">
        <v>10</v>
      </c>
      <c r="D59" s="19">
        <v>-0.3</v>
      </c>
      <c r="E59" s="34">
        <v>10000000</v>
      </c>
      <c r="F59" s="117">
        <v>0.99999932999999996</v>
      </c>
      <c r="G59" s="369">
        <v>6.7999999999999995E-7</v>
      </c>
      <c r="H59" s="369">
        <v>2.5409999999999998E-7</v>
      </c>
      <c r="I59" s="24">
        <v>16.07</v>
      </c>
      <c r="J59" s="24">
        <v>4.4400000000000004</v>
      </c>
      <c r="K59" s="366">
        <f t="shared" si="24"/>
        <v>4.2589999999999997E-7</v>
      </c>
      <c r="L59" s="374">
        <f t="shared" si="25"/>
        <v>5.0513035255442553E-6</v>
      </c>
      <c r="M59" s="375">
        <f t="shared" si="26"/>
        <v>9.3409999999999987E-7</v>
      </c>
      <c r="N59" s="121">
        <f t="shared" si="27"/>
        <v>7.4283875375650821</v>
      </c>
      <c r="O59" s="121" t="b">
        <f t="shared" si="28"/>
        <v>0</v>
      </c>
    </row>
    <row r="60" spans="1:15" x14ac:dyDescent="0.25">
      <c r="A60" s="19">
        <v>20</v>
      </c>
      <c r="B60" s="19">
        <v>9</v>
      </c>
      <c r="C60" s="19">
        <v>10</v>
      </c>
      <c r="D60" s="19">
        <v>-0.2</v>
      </c>
      <c r="E60" s="34">
        <v>10000000</v>
      </c>
      <c r="F60" s="117">
        <v>0.99992307000000002</v>
      </c>
      <c r="G60" s="369">
        <v>7.6929999999999997E-5</v>
      </c>
      <c r="H60" s="369">
        <v>2.773E-6</v>
      </c>
      <c r="I60" s="24">
        <v>21.53</v>
      </c>
      <c r="J60" s="24">
        <v>8.69</v>
      </c>
      <c r="K60" s="366">
        <f t="shared" si="24"/>
        <v>7.4157000000000002E-5</v>
      </c>
      <c r="L60" s="374">
        <f t="shared" si="25"/>
        <v>1.6504417168965388E-4</v>
      </c>
      <c r="M60" s="375">
        <f t="shared" si="26"/>
        <v>7.9702999999999992E-5</v>
      </c>
      <c r="N60" s="121">
        <f t="shared" si="27"/>
        <v>2.1453811476622109</v>
      </c>
      <c r="O60" s="121" t="b">
        <f t="shared" si="28"/>
        <v>0</v>
      </c>
    </row>
    <row r="61" spans="1:15" x14ac:dyDescent="0.25">
      <c r="A61" s="19">
        <v>20</v>
      </c>
      <c r="B61" s="19">
        <v>10</v>
      </c>
      <c r="C61" s="19">
        <v>10</v>
      </c>
      <c r="D61" s="19">
        <v>-0.1</v>
      </c>
      <c r="E61" s="34">
        <v>10000000</v>
      </c>
      <c r="F61" s="117">
        <v>0.99645039000000002</v>
      </c>
      <c r="G61" s="369">
        <v>3.5496E-3</v>
      </c>
      <c r="H61" s="369">
        <v>1.8806900000000001E-5</v>
      </c>
      <c r="I61" s="24">
        <v>30.52</v>
      </c>
      <c r="J61" s="24">
        <v>15.27</v>
      </c>
      <c r="K61" s="366">
        <f t="shared" si="24"/>
        <v>3.5307931E-3</v>
      </c>
      <c r="L61" s="374">
        <f t="shared" si="25"/>
        <v>4.1307910445278042E-3</v>
      </c>
      <c r="M61" s="375">
        <f t="shared" si="26"/>
        <v>3.5684069E-3</v>
      </c>
      <c r="N61" s="121">
        <f t="shared" si="27"/>
        <v>1.1637342361189442</v>
      </c>
      <c r="O61" s="121" t="b">
        <f t="shared" si="28"/>
        <v>0</v>
      </c>
    </row>
    <row r="62" spans="1:15" x14ac:dyDescent="0.25">
      <c r="A62" s="19">
        <v>20</v>
      </c>
      <c r="B62" s="19">
        <v>11</v>
      </c>
      <c r="C62" s="19">
        <v>10</v>
      </c>
      <c r="D62" s="19">
        <v>-0.08</v>
      </c>
      <c r="E62" s="34">
        <v>10000000</v>
      </c>
      <c r="F62" s="117">
        <v>0.99326024999999996</v>
      </c>
      <c r="G62" s="369">
        <v>6.7397500000000001E-3</v>
      </c>
      <c r="H62" s="369">
        <v>2.5873399999999999E-5</v>
      </c>
      <c r="I62" s="24">
        <v>32.57</v>
      </c>
      <c r="J62" s="24">
        <v>16.97</v>
      </c>
      <c r="K62" s="366">
        <f t="shared" si="24"/>
        <v>6.7138765999999999E-3</v>
      </c>
      <c r="L62" s="374">
        <f t="shared" si="25"/>
        <v>7.3732348174410803E-3</v>
      </c>
      <c r="M62" s="375">
        <f t="shared" si="26"/>
        <v>6.7656234000000003E-3</v>
      </c>
      <c r="N62" s="121">
        <f t="shared" si="27"/>
        <v>1.0939923316801188</v>
      </c>
      <c r="O62" s="121" t="b">
        <f t="shared" si="28"/>
        <v>0</v>
      </c>
    </row>
    <row r="63" spans="1:15" x14ac:dyDescent="0.25">
      <c r="A63" s="19">
        <v>20</v>
      </c>
      <c r="B63" s="19">
        <v>12</v>
      </c>
      <c r="C63" s="19">
        <v>10</v>
      </c>
      <c r="D63" s="19">
        <v>-0.06</v>
      </c>
      <c r="E63" s="34">
        <v>10000000</v>
      </c>
      <c r="F63" s="117">
        <v>0.98785100999999997</v>
      </c>
      <c r="G63" s="369">
        <v>1.214899E-2</v>
      </c>
      <c r="H63" s="369">
        <v>3.4643E-5</v>
      </c>
      <c r="I63" s="24">
        <v>34.4</v>
      </c>
      <c r="J63" s="24">
        <v>18.47</v>
      </c>
      <c r="K63" s="366">
        <f t="shared" si="24"/>
        <v>1.2114347000000001E-2</v>
      </c>
      <c r="L63" s="374">
        <f t="shared" si="25"/>
        <v>1.2720204328202638E-2</v>
      </c>
      <c r="M63" s="375">
        <f t="shared" si="26"/>
        <v>1.2183632999999999E-2</v>
      </c>
      <c r="N63" s="121">
        <f t="shared" si="27"/>
        <v>1.0470174334000306</v>
      </c>
      <c r="O63" s="121" t="b">
        <f t="shared" si="28"/>
        <v>0</v>
      </c>
    </row>
    <row r="64" spans="1:15" x14ac:dyDescent="0.25">
      <c r="A64" s="19">
        <v>20</v>
      </c>
      <c r="B64" s="19">
        <v>13</v>
      </c>
      <c r="C64" s="19">
        <v>10</v>
      </c>
      <c r="D64" s="19">
        <v>-0.05</v>
      </c>
      <c r="E64" s="34">
        <v>10000000</v>
      </c>
      <c r="F64" s="117">
        <v>0.98403185999999998</v>
      </c>
      <c r="G64" s="369">
        <v>1.5968130000000001E-2</v>
      </c>
      <c r="H64" s="369">
        <v>3.96398E-5</v>
      </c>
      <c r="I64" s="24">
        <v>35.229999999999997</v>
      </c>
      <c r="J64" s="24">
        <v>19.149999999999999</v>
      </c>
      <c r="K64" s="366">
        <f t="shared" si="24"/>
        <v>1.5928490199999999E-2</v>
      </c>
      <c r="L64" s="374">
        <f t="shared" si="25"/>
        <v>1.6461104183018584E-2</v>
      </c>
      <c r="M64" s="375">
        <f t="shared" si="26"/>
        <v>1.6007769800000002E-2</v>
      </c>
      <c r="N64" s="121">
        <f t="shared" si="27"/>
        <v>1.0308723803612936</v>
      </c>
      <c r="O64" s="121" t="b">
        <f t="shared" si="28"/>
        <v>0</v>
      </c>
    </row>
    <row r="65" spans="1:15" x14ac:dyDescent="0.25">
      <c r="A65" s="19">
        <v>20</v>
      </c>
      <c r="B65" s="19">
        <v>14</v>
      </c>
      <c r="C65" s="19">
        <v>10</v>
      </c>
      <c r="D65" s="19">
        <v>-0.04</v>
      </c>
      <c r="E65" s="34">
        <v>10000000</v>
      </c>
      <c r="F65" s="117">
        <v>0.97930170999999999</v>
      </c>
      <c r="G65" s="369">
        <v>2.0698290000000001E-2</v>
      </c>
      <c r="H65" s="369">
        <v>4.5021999999999997E-5</v>
      </c>
      <c r="I65" s="24">
        <v>35.94</v>
      </c>
      <c r="J65" s="24">
        <v>19.760000000000002</v>
      </c>
      <c r="K65" s="366">
        <f t="shared" si="24"/>
        <v>2.0653268000000002E-2</v>
      </c>
      <c r="L65" s="374">
        <f t="shared" si="25"/>
        <v>2.1069158745315137E-2</v>
      </c>
      <c r="M65" s="375">
        <f t="shared" si="26"/>
        <v>2.0743312E-2</v>
      </c>
      <c r="N65" s="121">
        <f t="shared" si="27"/>
        <v>1.0179178446777553</v>
      </c>
      <c r="O65" s="121" t="b">
        <f t="shared" si="28"/>
        <v>0</v>
      </c>
    </row>
    <row r="66" spans="1:15" x14ac:dyDescent="0.25">
      <c r="A66" s="19">
        <v>20</v>
      </c>
      <c r="B66" s="19">
        <v>15</v>
      </c>
      <c r="C66" s="19">
        <v>10</v>
      </c>
      <c r="D66" s="19">
        <v>-0.02</v>
      </c>
      <c r="E66" s="34">
        <v>10000000</v>
      </c>
      <c r="F66" s="117">
        <v>0.96682206999999998</v>
      </c>
      <c r="G66" s="369">
        <v>3.3177930000000001E-2</v>
      </c>
      <c r="H66" s="369">
        <v>5.6636699999999999E-5</v>
      </c>
      <c r="I66" s="24">
        <v>36.92</v>
      </c>
      <c r="J66" s="24">
        <v>20.61</v>
      </c>
      <c r="K66" s="366">
        <f t="shared" si="24"/>
        <v>3.31212933E-2</v>
      </c>
      <c r="L66" s="374">
        <f t="shared" si="25"/>
        <v>3.3300213190423068E-2</v>
      </c>
      <c r="M66" s="375">
        <f t="shared" si="26"/>
        <v>3.3234566700000003E-2</v>
      </c>
      <c r="N66" s="121">
        <f t="shared" si="27"/>
        <v>1.0036856787154311</v>
      </c>
      <c r="O66" s="121" t="b">
        <f t="shared" si="28"/>
        <v>0</v>
      </c>
    </row>
    <row r="67" spans="1:15" ht="15.75" x14ac:dyDescent="0.25">
      <c r="A67" s="19">
        <v>20</v>
      </c>
      <c r="B67" s="19">
        <v>16</v>
      </c>
      <c r="C67" s="19">
        <v>10</v>
      </c>
      <c r="D67" s="241">
        <v>-0.01</v>
      </c>
      <c r="E67" s="164">
        <v>10000000</v>
      </c>
      <c r="F67" s="143">
        <v>0.95896877999999997</v>
      </c>
      <c r="G67" s="393">
        <v>4.103122E-2</v>
      </c>
      <c r="H67" s="393">
        <v>6.2727700000000006E-5</v>
      </c>
      <c r="I67" s="165">
        <v>37.19</v>
      </c>
      <c r="J67" s="165">
        <v>20.83</v>
      </c>
      <c r="K67" s="393">
        <f t="shared" si="24"/>
        <v>4.0968492299999999E-2</v>
      </c>
      <c r="L67" s="166">
        <f t="shared" si="25"/>
        <v>4.1074269193147217E-2</v>
      </c>
      <c r="M67" s="166">
        <f t="shared" si="26"/>
        <v>4.1093947700000001E-2</v>
      </c>
      <c r="N67" s="132">
        <f t="shared" si="27"/>
        <v>1.0010491814074067</v>
      </c>
      <c r="O67" s="132" t="b">
        <f t="shared" si="28"/>
        <v>1</v>
      </c>
    </row>
    <row r="68" spans="1:15" x14ac:dyDescent="0.25">
      <c r="A68" s="19">
        <v>20</v>
      </c>
      <c r="B68" s="19">
        <v>17</v>
      </c>
      <c r="C68" s="19">
        <v>10</v>
      </c>
      <c r="D68" s="130">
        <v>-5.0000000000000001E-3</v>
      </c>
      <c r="E68" s="164">
        <v>10000000</v>
      </c>
      <c r="F68" s="143">
        <v>0.95462250999999998</v>
      </c>
      <c r="G68" s="393">
        <v>4.5377489999999999E-2</v>
      </c>
      <c r="H68" s="393">
        <v>6.5816700000000003E-5</v>
      </c>
      <c r="I68" s="165">
        <v>37.270000000000003</v>
      </c>
      <c r="J68" s="165">
        <v>20.91</v>
      </c>
      <c r="K68" s="393">
        <f t="shared" si="24"/>
        <v>4.5311673300000001E-2</v>
      </c>
      <c r="L68" s="166">
        <f t="shared" si="25"/>
        <v>4.5393143101213472E-2</v>
      </c>
      <c r="M68" s="166">
        <f t="shared" si="26"/>
        <v>4.5443306699999998E-2</v>
      </c>
      <c r="N68" s="132">
        <f t="shared" si="27"/>
        <v>1.0003449529979176</v>
      </c>
      <c r="O68" s="132" t="b">
        <f t="shared" si="28"/>
        <v>1</v>
      </c>
    </row>
    <row r="69" spans="1:15" x14ac:dyDescent="0.25">
      <c r="A69" s="19">
        <v>20</v>
      </c>
      <c r="B69" s="19">
        <v>18</v>
      </c>
      <c r="C69" s="19">
        <v>10</v>
      </c>
      <c r="D69" s="130">
        <v>-1E-3</v>
      </c>
      <c r="E69" s="164">
        <v>10000000</v>
      </c>
      <c r="F69" s="143">
        <v>0.95092509999999997</v>
      </c>
      <c r="G69" s="393">
        <v>4.9074899999999998E-2</v>
      </c>
      <c r="H69" s="393">
        <v>6.8312900000000001E-5</v>
      </c>
      <c r="I69" s="165">
        <v>37.26</v>
      </c>
      <c r="J69" s="165">
        <v>20.91</v>
      </c>
      <c r="K69" s="393">
        <f t="shared" si="24"/>
        <v>4.9006587099999999E-2</v>
      </c>
      <c r="L69" s="166">
        <f t="shared" si="25"/>
        <v>4.9055705842838547E-2</v>
      </c>
      <c r="M69" s="166">
        <f t="shared" si="26"/>
        <v>4.9143212899999997E-2</v>
      </c>
      <c r="N69" s="132">
        <f t="shared" si="27"/>
        <v>0.9996088803612142</v>
      </c>
      <c r="O69" s="132" t="b">
        <f t="shared" si="28"/>
        <v>1</v>
      </c>
    </row>
    <row r="70" spans="1:15" x14ac:dyDescent="0.25">
      <c r="A70" s="19">
        <v>20</v>
      </c>
      <c r="B70" s="19">
        <v>19</v>
      </c>
      <c r="C70" s="19">
        <v>10</v>
      </c>
      <c r="D70" s="130">
        <v>-1E-4</v>
      </c>
      <c r="E70" s="164">
        <v>10000000</v>
      </c>
      <c r="F70" s="143">
        <v>0.95009664000000005</v>
      </c>
      <c r="G70" s="393">
        <v>4.9903360000000001E-2</v>
      </c>
      <c r="H70" s="393">
        <v>6.8857100000000002E-5</v>
      </c>
      <c r="I70" s="165">
        <v>37.270000000000003</v>
      </c>
      <c r="J70" s="165">
        <v>20.91</v>
      </c>
      <c r="K70" s="393">
        <f t="shared" si="24"/>
        <v>4.9834502900000001E-2</v>
      </c>
      <c r="L70" s="166">
        <f t="shared" si="25"/>
        <v>4.9905057006012866E-2</v>
      </c>
      <c r="M70" s="166">
        <f t="shared" si="26"/>
        <v>4.9972217100000001E-2</v>
      </c>
      <c r="N70" s="132">
        <f t="shared" si="27"/>
        <v>1.0000340058467578</v>
      </c>
      <c r="O70" s="132" t="b">
        <f t="shared" si="28"/>
        <v>1</v>
      </c>
    </row>
    <row r="71" spans="1:15" x14ac:dyDescent="0.25">
      <c r="A71" s="19">
        <v>20</v>
      </c>
      <c r="B71" s="19">
        <v>20</v>
      </c>
      <c r="C71" s="19">
        <v>10</v>
      </c>
      <c r="D71" s="166">
        <v>-1.0000000000000001E-5</v>
      </c>
      <c r="E71" s="164">
        <v>10000000</v>
      </c>
      <c r="F71" s="143">
        <v>0.95001846999999995</v>
      </c>
      <c r="G71" s="393">
        <v>4.9981530000000003E-2</v>
      </c>
      <c r="H71" s="393">
        <v>6.8908199999999999E-5</v>
      </c>
      <c r="I71" s="165">
        <v>37.28</v>
      </c>
      <c r="J71" s="165">
        <v>20.91</v>
      </c>
      <c r="K71" s="393">
        <f t="shared" si="24"/>
        <v>4.9912621800000001E-2</v>
      </c>
      <c r="L71" s="166">
        <f t="shared" si="25"/>
        <v>4.9990500569805765E-2</v>
      </c>
      <c r="M71" s="166">
        <f t="shared" si="26"/>
        <v>5.0050438200000005E-2</v>
      </c>
      <c r="N71" s="132">
        <f t="shared" si="27"/>
        <v>1.0001794776951758</v>
      </c>
      <c r="O71" s="132" t="b">
        <f t="shared" si="28"/>
        <v>1</v>
      </c>
    </row>
    <row r="72" spans="1:15" x14ac:dyDescent="0.25">
      <c r="A72" s="19">
        <v>20</v>
      </c>
      <c r="B72" s="19">
        <v>21</v>
      </c>
      <c r="C72" s="19">
        <v>10</v>
      </c>
      <c r="D72" s="166">
        <v>-9.9999999999999995E-7</v>
      </c>
      <c r="E72" s="164">
        <v>10000000</v>
      </c>
      <c r="F72" s="143">
        <v>0.94998466999999998</v>
      </c>
      <c r="G72" s="393">
        <v>5.0015329999999997E-2</v>
      </c>
      <c r="H72" s="393">
        <v>6.8930200000000006E-5</v>
      </c>
      <c r="I72" s="165">
        <v>37.270000000000003</v>
      </c>
      <c r="J72" s="165">
        <v>20.91</v>
      </c>
      <c r="K72" s="393">
        <f t="shared" si="24"/>
        <v>4.9946399799999999E-2</v>
      </c>
      <c r="L72" s="166">
        <f t="shared" si="25"/>
        <v>4.9999050005876414E-2</v>
      </c>
      <c r="M72" s="166">
        <f t="shared" si="26"/>
        <v>5.0084260199999994E-2</v>
      </c>
      <c r="N72" s="132">
        <f t="shared" si="27"/>
        <v>0.99967449991585411</v>
      </c>
      <c r="O72" s="132" t="b">
        <f t="shared" si="28"/>
        <v>1</v>
      </c>
    </row>
    <row r="73" spans="1:15" x14ac:dyDescent="0.25">
      <c r="A73" s="19">
        <v>20</v>
      </c>
      <c r="B73" s="19">
        <v>22</v>
      </c>
      <c r="C73" s="19">
        <v>10</v>
      </c>
      <c r="D73" s="130">
        <v>0</v>
      </c>
      <c r="E73" s="164">
        <v>10000000</v>
      </c>
      <c r="F73" s="143">
        <v>0.94998607999999995</v>
      </c>
      <c r="G73" s="393">
        <v>5.0013929999999998E-2</v>
      </c>
      <c r="H73" s="393">
        <v>6.8929299999999997E-5</v>
      </c>
      <c r="I73" s="165">
        <v>37.270000000000003</v>
      </c>
      <c r="J73" s="165">
        <v>20.91</v>
      </c>
      <c r="K73" s="393">
        <f t="shared" si="24"/>
        <v>4.9945000699999999E-2</v>
      </c>
      <c r="L73" s="166" t="e">
        <f t="shared" si="25"/>
        <v>#DIV/0!</v>
      </c>
      <c r="M73" s="166">
        <f t="shared" si="26"/>
        <v>5.0082859299999997E-2</v>
      </c>
      <c r="N73" s="132" t="e">
        <f t="shared" si="27"/>
        <v>#DIV/0!</v>
      </c>
      <c r="O73" s="132" t="e">
        <f t="shared" si="28"/>
        <v>#DIV/0!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E531E-DE3C-4F87-ACBF-E8C7C6D6D385}">
  <dimension ref="A1:O20"/>
  <sheetViews>
    <sheetView showGridLines="0" workbookViewId="0">
      <selection activeCell="N27" sqref="N27"/>
    </sheetView>
  </sheetViews>
  <sheetFormatPr defaultColWidth="9.140625" defaultRowHeight="15" x14ac:dyDescent="0.25"/>
  <cols>
    <col min="1" max="1" width="5.28515625" style="2" bestFit="1" customWidth="1"/>
    <col min="2" max="2" width="6.28515625" style="2" customWidth="1"/>
    <col min="3" max="3" width="4" style="2" bestFit="1" customWidth="1"/>
    <col min="4" max="4" width="10.85546875" style="346" customWidth="1"/>
    <col min="5" max="5" width="9.140625" style="9"/>
    <col min="7" max="7" width="9.85546875" style="46" customWidth="1"/>
    <col min="9" max="9" width="4.5703125" style="5" bestFit="1" customWidth="1"/>
    <col min="10" max="10" width="6.42578125" style="5" bestFit="1" customWidth="1"/>
    <col min="12" max="12" width="10.7109375" style="63" customWidth="1"/>
    <col min="14" max="14" width="19.28515625" customWidth="1"/>
    <col min="15" max="15" width="14.5703125" customWidth="1"/>
  </cols>
  <sheetData>
    <row r="1" spans="1:15" ht="26.25" customHeight="1" x14ac:dyDescent="0.25">
      <c r="B1" s="44" t="s">
        <v>59</v>
      </c>
    </row>
    <row r="2" spans="1:15" ht="30" x14ac:dyDescent="0.25">
      <c r="A2" s="11" t="s">
        <v>0</v>
      </c>
      <c r="B2" s="11" t="s">
        <v>10</v>
      </c>
      <c r="C2" s="16" t="s">
        <v>11</v>
      </c>
      <c r="D2" s="370" t="s">
        <v>9</v>
      </c>
      <c r="E2" s="33" t="s">
        <v>3</v>
      </c>
      <c r="F2" s="22" t="s">
        <v>29</v>
      </c>
      <c r="G2" s="377" t="s">
        <v>27</v>
      </c>
      <c r="H2" s="64" t="s">
        <v>28</v>
      </c>
      <c r="I2" s="16" t="s">
        <v>25</v>
      </c>
      <c r="J2" s="16" t="s">
        <v>26</v>
      </c>
      <c r="K2" s="163" t="s">
        <v>151</v>
      </c>
      <c r="L2" s="377" t="s">
        <v>153</v>
      </c>
      <c r="M2" s="163" t="s">
        <v>152</v>
      </c>
      <c r="N2" s="150" t="s">
        <v>187</v>
      </c>
      <c r="O2" s="162" t="s">
        <v>156</v>
      </c>
    </row>
    <row r="3" spans="1:15" x14ac:dyDescent="0.25">
      <c r="A3" s="11">
        <v>20</v>
      </c>
      <c r="B3" s="11">
        <v>2</v>
      </c>
      <c r="C3" s="19">
        <v>100</v>
      </c>
      <c r="D3" s="7">
        <v>-1</v>
      </c>
      <c r="E3" s="34">
        <v>10000</v>
      </c>
      <c r="F3" s="22">
        <v>1</v>
      </c>
      <c r="G3" s="377">
        <v>0</v>
      </c>
      <c r="H3" s="394">
        <v>0</v>
      </c>
      <c r="I3" s="16" t="s">
        <v>12</v>
      </c>
      <c r="J3" s="16" t="s">
        <v>12</v>
      </c>
      <c r="K3" s="160">
        <f>G3-H3</f>
        <v>0</v>
      </c>
      <c r="L3" s="374">
        <f t="shared" ref="L3" si="0">(1-EXP(-2*D3))/(1-EXP(-4*C3*D3))</f>
        <v>1.2236125992372171E-173</v>
      </c>
      <c r="M3" s="53">
        <f>G3+H3</f>
        <v>0</v>
      </c>
      <c r="N3" s="58" t="e">
        <f>L3/G3</f>
        <v>#DIV/0!</v>
      </c>
      <c r="O3" s="121" t="b">
        <f>AND(L3&gt;=K3,L3&lt;=M3)</f>
        <v>0</v>
      </c>
    </row>
    <row r="4" spans="1:15" x14ac:dyDescent="0.25">
      <c r="A4" s="19">
        <v>20</v>
      </c>
      <c r="B4" s="19">
        <v>13</v>
      </c>
      <c r="C4" s="19">
        <v>100</v>
      </c>
      <c r="D4" s="348">
        <v>-0.1</v>
      </c>
      <c r="E4" s="34">
        <v>10000</v>
      </c>
      <c r="F4" s="105">
        <v>1</v>
      </c>
      <c r="G4" s="359">
        <v>0</v>
      </c>
      <c r="H4" s="369">
        <v>0</v>
      </c>
      <c r="I4" s="24" t="s">
        <v>12</v>
      </c>
      <c r="J4" s="24" t="s">
        <v>12</v>
      </c>
      <c r="K4" s="160">
        <f>G4-H4</f>
        <v>0</v>
      </c>
      <c r="L4" s="374">
        <f t="shared" ref="L4" si="1">(1-EXP(-2*D4))/(1-EXP(-4*C4*D4))</f>
        <v>9.4059734976305212E-19</v>
      </c>
      <c r="M4" s="53">
        <f>G4+H4</f>
        <v>0</v>
      </c>
      <c r="N4" s="58" t="e">
        <f>L4/G4</f>
        <v>#DIV/0!</v>
      </c>
      <c r="O4" s="121" t="b">
        <f>AND(L4&gt;=K4,L4&lt;=M4)</f>
        <v>0</v>
      </c>
    </row>
    <row r="5" spans="1:15" x14ac:dyDescent="0.25">
      <c r="A5" s="19">
        <v>20</v>
      </c>
      <c r="B5" s="19">
        <v>14</v>
      </c>
      <c r="C5" s="19">
        <v>100</v>
      </c>
      <c r="D5" s="348">
        <v>-0.05</v>
      </c>
      <c r="E5" s="34">
        <v>10000</v>
      </c>
      <c r="F5" s="105">
        <v>1</v>
      </c>
      <c r="G5" s="359">
        <v>0</v>
      </c>
      <c r="H5" s="369">
        <v>0</v>
      </c>
      <c r="I5" s="24" t="s">
        <v>12</v>
      </c>
      <c r="J5" s="24" t="s">
        <v>12</v>
      </c>
      <c r="K5" s="160">
        <f t="shared" ref="K5:K14" si="2">G5-H5</f>
        <v>0</v>
      </c>
      <c r="L5" s="374">
        <f t="shared" ref="L5:L14" si="3">(1-EXP(-2*D5))/(1-EXP(-4*C5*D5))</f>
        <v>2.167734192136134E-10</v>
      </c>
      <c r="M5" s="53">
        <f t="shared" ref="M5:M14" si="4">G5+H5</f>
        <v>0</v>
      </c>
      <c r="N5" s="58" t="e">
        <f t="shared" ref="N5:N14" si="5">L5/G5</f>
        <v>#DIV/0!</v>
      </c>
      <c r="O5" s="121" t="b">
        <f t="shared" ref="O5:O14" si="6">AND(L5&gt;=K5,L5&lt;=M5)</f>
        <v>0</v>
      </c>
    </row>
    <row r="6" spans="1:15" ht="15.75" x14ac:dyDescent="0.25">
      <c r="A6" s="19">
        <v>20</v>
      </c>
      <c r="B6" s="19">
        <v>15</v>
      </c>
      <c r="C6" s="19">
        <v>100</v>
      </c>
      <c r="D6" s="361">
        <v>-0.01</v>
      </c>
      <c r="E6" s="34">
        <v>10000</v>
      </c>
      <c r="F6" s="105">
        <v>0.99953000000000003</v>
      </c>
      <c r="G6" s="358">
        <v>4.6999999999999999E-4</v>
      </c>
      <c r="H6" s="369">
        <v>2.042829E-4</v>
      </c>
      <c r="I6" s="352" t="s">
        <v>12</v>
      </c>
      <c r="J6" s="24" t="s">
        <v>12</v>
      </c>
      <c r="K6" s="160">
        <f t="shared" si="2"/>
        <v>2.6571709999999998E-4</v>
      </c>
      <c r="L6" s="374">
        <f t="shared" si="3"/>
        <v>3.7690368071031542E-4</v>
      </c>
      <c r="M6" s="53">
        <f t="shared" si="4"/>
        <v>6.7428289999999999E-4</v>
      </c>
      <c r="N6" s="58">
        <f t="shared" si="5"/>
        <v>0.80192272491556471</v>
      </c>
      <c r="O6" s="362" t="b">
        <f t="shared" si="6"/>
        <v>1</v>
      </c>
    </row>
    <row r="7" spans="1:15" x14ac:dyDescent="0.25">
      <c r="A7" s="19">
        <v>20</v>
      </c>
      <c r="B7" s="19">
        <v>16</v>
      </c>
      <c r="C7" s="19">
        <v>100</v>
      </c>
      <c r="D7" s="348">
        <v>-5.0000000000000001E-3</v>
      </c>
      <c r="E7" s="34">
        <v>10000</v>
      </c>
      <c r="F7" s="105">
        <v>0.99836999999999998</v>
      </c>
      <c r="G7" s="359">
        <v>1.6299999999999999E-3</v>
      </c>
      <c r="H7" s="369">
        <v>4.0159810000000001E-4</v>
      </c>
      <c r="I7" s="24">
        <v>365.55</v>
      </c>
      <c r="J7" s="24">
        <v>167.85</v>
      </c>
      <c r="K7" s="160">
        <f t="shared" si="2"/>
        <v>1.2284018999999999E-3</v>
      </c>
      <c r="L7" s="374">
        <f t="shared" si="3"/>
        <v>1.5730284612542479E-3</v>
      </c>
      <c r="M7" s="53">
        <f t="shared" si="4"/>
        <v>2.0315980999999999E-3</v>
      </c>
      <c r="N7" s="58">
        <f t="shared" si="5"/>
        <v>0.96504813573880244</v>
      </c>
      <c r="O7" s="121" t="b">
        <f t="shared" si="6"/>
        <v>1</v>
      </c>
    </row>
    <row r="8" spans="1:15" ht="15.75" x14ac:dyDescent="0.25">
      <c r="A8" s="19">
        <v>20</v>
      </c>
      <c r="B8" s="19">
        <v>17</v>
      </c>
      <c r="C8" s="19">
        <v>100</v>
      </c>
      <c r="D8" s="349">
        <v>-1E-3</v>
      </c>
      <c r="E8" s="34">
        <v>10000</v>
      </c>
      <c r="F8" s="105">
        <v>0.99592999999999998</v>
      </c>
      <c r="G8" s="359">
        <v>4.0699999999999998E-3</v>
      </c>
      <c r="H8" s="369">
        <v>6.3370929999999998E-4</v>
      </c>
      <c r="I8" s="24">
        <v>393.84</v>
      </c>
      <c r="J8" s="24">
        <v>202.56</v>
      </c>
      <c r="K8" s="160">
        <f t="shared" si="2"/>
        <v>3.4362906999999996E-3</v>
      </c>
      <c r="L8" s="374">
        <f t="shared" si="3"/>
        <v>4.0705587653520666E-3</v>
      </c>
      <c r="M8" s="53">
        <f t="shared" si="4"/>
        <v>4.7037093E-3</v>
      </c>
      <c r="N8" s="58">
        <f t="shared" si="5"/>
        <v>1.0001372887842916</v>
      </c>
      <c r="O8" s="121" t="b">
        <f t="shared" si="6"/>
        <v>1</v>
      </c>
    </row>
    <row r="9" spans="1:15" x14ac:dyDescent="0.25">
      <c r="A9" s="19">
        <v>20</v>
      </c>
      <c r="B9" s="19">
        <v>18</v>
      </c>
      <c r="C9" s="19">
        <v>100</v>
      </c>
      <c r="D9" s="348">
        <v>-5.0000000000000001E-4</v>
      </c>
      <c r="E9" s="34">
        <v>10000</v>
      </c>
      <c r="F9" s="105">
        <v>0.99550000000000005</v>
      </c>
      <c r="G9" s="359">
        <v>4.4999999999999997E-3</v>
      </c>
      <c r="H9" s="369">
        <v>6.6707650000000002E-4</v>
      </c>
      <c r="I9" s="24">
        <v>395.73</v>
      </c>
      <c r="J9" s="24">
        <v>215.38</v>
      </c>
      <c r="K9" s="160">
        <f t="shared" si="2"/>
        <v>3.8329234999999995E-3</v>
      </c>
      <c r="L9" s="374">
        <f t="shared" si="3"/>
        <v>4.5189146468744114E-3</v>
      </c>
      <c r="M9" s="53">
        <f t="shared" si="4"/>
        <v>5.1670764999999994E-3</v>
      </c>
      <c r="N9" s="58">
        <f t="shared" si="5"/>
        <v>1.0042032548609805</v>
      </c>
      <c r="O9" s="121" t="b">
        <f t="shared" si="6"/>
        <v>1</v>
      </c>
    </row>
    <row r="10" spans="1:15" x14ac:dyDescent="0.25">
      <c r="A10" s="19">
        <v>20</v>
      </c>
      <c r="B10" s="19">
        <v>19</v>
      </c>
      <c r="C10" s="19">
        <v>100</v>
      </c>
      <c r="D10" s="348">
        <v>-1E-4</v>
      </c>
      <c r="E10" s="34">
        <v>10000</v>
      </c>
      <c r="F10" s="105">
        <v>0.99480500000000005</v>
      </c>
      <c r="G10" s="359">
        <v>5.195E-3</v>
      </c>
      <c r="H10" s="369">
        <v>7.1633829999999995E-4</v>
      </c>
      <c r="I10" s="24">
        <v>398.09</v>
      </c>
      <c r="J10" s="24">
        <v>206.48</v>
      </c>
      <c r="K10" s="160">
        <f t="shared" si="2"/>
        <v>4.4786616999999999E-3</v>
      </c>
      <c r="L10" s="374">
        <f t="shared" si="3"/>
        <v>4.9011567482285818E-3</v>
      </c>
      <c r="M10" s="53">
        <f t="shared" si="4"/>
        <v>5.9113383E-3</v>
      </c>
      <c r="N10" s="58">
        <f t="shared" si="5"/>
        <v>0.9434372951354344</v>
      </c>
      <c r="O10" s="121" t="b">
        <f t="shared" si="6"/>
        <v>1</v>
      </c>
    </row>
    <row r="11" spans="1:15" x14ac:dyDescent="0.25">
      <c r="A11" s="19">
        <v>20</v>
      </c>
      <c r="B11" s="19">
        <v>20</v>
      </c>
      <c r="C11" s="19">
        <v>100</v>
      </c>
      <c r="D11" s="348">
        <v>-5.0000000000000002E-5</v>
      </c>
      <c r="E11" s="34">
        <v>10000</v>
      </c>
      <c r="F11" s="105">
        <v>0.99510500000000002</v>
      </c>
      <c r="G11" s="359">
        <v>4.895E-3</v>
      </c>
      <c r="H11" s="369">
        <v>6.9601859999999995E-4</v>
      </c>
      <c r="I11" s="24">
        <v>393.63</v>
      </c>
      <c r="J11" s="24">
        <v>216.52</v>
      </c>
      <c r="K11" s="160">
        <f t="shared" si="2"/>
        <v>4.1989814000000002E-3</v>
      </c>
      <c r="L11" s="374">
        <f t="shared" si="3"/>
        <v>4.9504141821414783E-3</v>
      </c>
      <c r="M11" s="53">
        <f t="shared" si="4"/>
        <v>5.5910185999999999E-3</v>
      </c>
      <c r="N11" s="58">
        <f t="shared" si="5"/>
        <v>1.0113205683639384</v>
      </c>
      <c r="O11" s="121" t="b">
        <f t="shared" si="6"/>
        <v>1</v>
      </c>
    </row>
    <row r="12" spans="1:15" x14ac:dyDescent="0.25">
      <c r="A12" s="19">
        <v>20</v>
      </c>
      <c r="B12" s="19">
        <v>21</v>
      </c>
      <c r="C12" s="19">
        <v>100</v>
      </c>
      <c r="D12" s="348">
        <v>-1.0000000000000001E-5</v>
      </c>
      <c r="E12" s="34">
        <v>10000</v>
      </c>
      <c r="F12" s="105">
        <v>0.99518499999999999</v>
      </c>
      <c r="G12" s="359">
        <v>4.8149999999999998E-3</v>
      </c>
      <c r="H12" s="369">
        <v>6.8907799999999998E-4</v>
      </c>
      <c r="I12" s="24">
        <v>393.4</v>
      </c>
      <c r="J12" s="24">
        <v>204.16</v>
      </c>
      <c r="K12" s="160">
        <f t="shared" si="2"/>
        <v>4.1259219999999997E-3</v>
      </c>
      <c r="L12" s="374">
        <f t="shared" si="3"/>
        <v>4.9900565670453279E-3</v>
      </c>
      <c r="M12" s="53">
        <f t="shared" si="4"/>
        <v>5.5040779999999999E-3</v>
      </c>
      <c r="N12" s="58">
        <f t="shared" si="5"/>
        <v>1.0363565040592582</v>
      </c>
      <c r="O12" s="121" t="b">
        <f t="shared" si="6"/>
        <v>1</v>
      </c>
    </row>
    <row r="13" spans="1:15" x14ac:dyDescent="0.25">
      <c r="A13" s="19">
        <v>20</v>
      </c>
      <c r="B13" s="19">
        <v>22</v>
      </c>
      <c r="C13" s="19">
        <v>100</v>
      </c>
      <c r="D13" s="348">
        <v>-5.0000000000000004E-6</v>
      </c>
      <c r="E13" s="34">
        <v>10000</v>
      </c>
      <c r="F13" s="105">
        <v>0.99492999999999998</v>
      </c>
      <c r="G13" s="359">
        <v>5.0699999999999999E-3</v>
      </c>
      <c r="H13" s="369">
        <v>7.0889729999999999E-4</v>
      </c>
      <c r="I13" s="24">
        <v>379.08</v>
      </c>
      <c r="J13" s="24">
        <v>189.11</v>
      </c>
      <c r="K13" s="160">
        <f t="shared" si="2"/>
        <v>4.3611027000000002E-3</v>
      </c>
      <c r="L13" s="374">
        <f t="shared" si="3"/>
        <v>4.9950266417095887E-3</v>
      </c>
      <c r="M13" s="53">
        <f t="shared" si="4"/>
        <v>5.7788972999999995E-3</v>
      </c>
      <c r="N13" s="58">
        <f t="shared" si="5"/>
        <v>0.98521235536678287</v>
      </c>
      <c r="O13" s="121" t="b">
        <f t="shared" si="6"/>
        <v>1</v>
      </c>
    </row>
    <row r="14" spans="1:15" x14ac:dyDescent="0.25">
      <c r="A14" s="19">
        <v>20</v>
      </c>
      <c r="B14" s="19">
        <v>23</v>
      </c>
      <c r="C14" s="19">
        <v>100</v>
      </c>
      <c r="D14" s="348">
        <v>-9.9999999999999995E-7</v>
      </c>
      <c r="E14" s="34">
        <v>10000</v>
      </c>
      <c r="F14" s="105">
        <v>0.99480500000000005</v>
      </c>
      <c r="G14" s="359">
        <v>5.195E-3</v>
      </c>
      <c r="H14" s="369">
        <v>7.1727979999999998E-4</v>
      </c>
      <c r="I14" s="24">
        <v>408.28</v>
      </c>
      <c r="J14" s="24">
        <v>212.19</v>
      </c>
      <c r="K14" s="160">
        <f t="shared" si="2"/>
        <v>4.4777202000000002E-3</v>
      </c>
      <c r="L14" s="374">
        <f t="shared" si="3"/>
        <v>4.9990050656987537E-3</v>
      </c>
      <c r="M14" s="53">
        <f t="shared" si="4"/>
        <v>5.9122797999999997E-3</v>
      </c>
      <c r="N14" s="58">
        <f t="shared" si="5"/>
        <v>0.96227238993238762</v>
      </c>
      <c r="O14" s="121" t="b">
        <f t="shared" si="6"/>
        <v>1</v>
      </c>
    </row>
    <row r="15" spans="1:15" ht="15.75" x14ac:dyDescent="0.25">
      <c r="A15" s="19">
        <v>20</v>
      </c>
      <c r="B15" s="19">
        <v>24</v>
      </c>
      <c r="C15" s="19">
        <v>100</v>
      </c>
      <c r="D15" s="349">
        <v>0</v>
      </c>
      <c r="E15" s="34">
        <v>10000</v>
      </c>
      <c r="F15" s="105">
        <v>0.99484499999999998</v>
      </c>
      <c r="G15" s="358">
        <v>5.1549999999999999E-3</v>
      </c>
      <c r="H15" s="369">
        <v>7.1447779999999998E-4</v>
      </c>
      <c r="I15" s="352">
        <v>387.82</v>
      </c>
      <c r="J15" s="24">
        <v>202.67</v>
      </c>
      <c r="K15" s="160">
        <f t="shared" ref="K15" si="7">G15-H15</f>
        <v>4.4405221999999998E-3</v>
      </c>
      <c r="L15" s="374" t="e">
        <f t="shared" ref="L15" si="8">(1-EXP(-2*D15))/(1-EXP(-4*C15*D15))</f>
        <v>#DIV/0!</v>
      </c>
      <c r="M15" s="53">
        <f t="shared" ref="M15" si="9">G15+H15</f>
        <v>5.8694778E-3</v>
      </c>
      <c r="N15" s="58" t="e">
        <f t="shared" ref="N15" si="10">L15/G15</f>
        <v>#DIV/0!</v>
      </c>
      <c r="O15" s="121" t="e">
        <f t="shared" ref="O15" si="11">AND(L15&gt;=K15,L15&lt;=M15)</f>
        <v>#DIV/0!</v>
      </c>
    </row>
    <row r="16" spans="1:15" x14ac:dyDescent="0.25">
      <c r="F16" s="371" t="s">
        <v>189</v>
      </c>
      <c r="G16" s="46">
        <v>5.0000000000000001E-3</v>
      </c>
    </row>
    <row r="20" spans="11:11" ht="15.75" x14ac:dyDescent="0.25">
      <c r="K20" s="35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66BAD-A4F7-4F1C-8567-61ABA69B05EE}">
  <dimension ref="A1:L304"/>
  <sheetViews>
    <sheetView showGridLines="0" workbookViewId="0">
      <pane ySplit="4" topLeftCell="A5" activePane="bottomLeft" state="frozen"/>
      <selection pane="bottomLeft" activeCell="H30" sqref="H30"/>
    </sheetView>
  </sheetViews>
  <sheetFormatPr defaultColWidth="9.140625" defaultRowHeight="15.75" x14ac:dyDescent="0.25"/>
  <cols>
    <col min="1" max="1" width="5.85546875" style="101" bestFit="1" customWidth="1"/>
    <col min="2" max="2" width="10.5703125" style="192" customWidth="1"/>
    <col min="3" max="3" width="9.5703125" style="193" bestFit="1" customWidth="1"/>
    <col min="4" max="5" width="13.7109375" style="192" bestFit="1" customWidth="1"/>
    <col min="6" max="6" width="17.28515625" style="192" customWidth="1"/>
    <col min="7" max="7" width="4.140625" style="101" customWidth="1"/>
    <col min="8" max="8" width="3.140625" style="101" bestFit="1" customWidth="1"/>
    <col min="9" max="9" width="9.140625" style="101"/>
    <col min="10" max="10" width="4.28515625" style="101" customWidth="1"/>
    <col min="11" max="11" width="9.140625" style="101"/>
    <col min="12" max="12" width="19.42578125" style="101" customWidth="1"/>
  </cols>
  <sheetData>
    <row r="1" spans="1:12" x14ac:dyDescent="0.25">
      <c r="F1" s="190" t="s">
        <v>222</v>
      </c>
    </row>
    <row r="2" spans="1:12" x14ac:dyDescent="0.25">
      <c r="F2" s="190"/>
    </row>
    <row r="4" spans="1:12" ht="33.75" customHeight="1" x14ac:dyDescent="0.35">
      <c r="A4" s="189" t="s">
        <v>78</v>
      </c>
      <c r="B4" s="191" t="s">
        <v>219</v>
      </c>
      <c r="C4" s="194" t="s">
        <v>220</v>
      </c>
      <c r="D4" s="194" t="s">
        <v>221</v>
      </c>
      <c r="E4" s="468" t="s">
        <v>79</v>
      </c>
      <c r="F4" s="191"/>
      <c r="H4" s="102" t="s">
        <v>77</v>
      </c>
      <c r="I4" s="188">
        <v>100</v>
      </c>
    </row>
    <row r="5" spans="1:12" x14ac:dyDescent="0.25">
      <c r="A5" s="101">
        <v>1</v>
      </c>
      <c r="B5" s="192">
        <f>1/(2*$I$4)</f>
        <v>5.0000000000000001E-3</v>
      </c>
      <c r="C5" s="193">
        <f>B5^2</f>
        <v>2.5000000000000001E-5</v>
      </c>
      <c r="D5" s="192">
        <f>2*B5*(1-B5)</f>
        <v>9.9500000000000005E-3</v>
      </c>
      <c r="E5" s="192">
        <f>C5+0.5*D5</f>
        <v>5.0000000000000001E-3</v>
      </c>
      <c r="F5" s="192">
        <v>5.2486878280429894E-3</v>
      </c>
      <c r="H5" s="103" t="s">
        <v>9</v>
      </c>
      <c r="I5" s="188">
        <v>0.05</v>
      </c>
      <c r="K5" s="101" t="s">
        <v>82</v>
      </c>
      <c r="L5" s="101" t="s">
        <v>81</v>
      </c>
    </row>
    <row r="6" spans="1:12" x14ac:dyDescent="0.25">
      <c r="A6" s="101">
        <v>2</v>
      </c>
      <c r="B6" s="192">
        <f>F5</f>
        <v>5.2486878280429894E-3</v>
      </c>
      <c r="C6" s="193">
        <f>B6^2</f>
        <v>2.7548723916246634E-5</v>
      </c>
      <c r="D6" s="192">
        <f>2*B6*(1-B6)</f>
        <v>1.0442278208253485E-2</v>
      </c>
      <c r="E6" s="192">
        <f>C6+0.5*D6</f>
        <v>5.2486878280429894E-3</v>
      </c>
      <c r="F6" s="192">
        <v>5.5096762909009143E-3</v>
      </c>
      <c r="K6" s="101" t="s">
        <v>83</v>
      </c>
      <c r="L6" s="101" t="s">
        <v>80</v>
      </c>
    </row>
    <row r="7" spans="1:12" x14ac:dyDescent="0.25">
      <c r="A7" s="101">
        <v>3</v>
      </c>
      <c r="B7" s="192">
        <f>F6</f>
        <v>5.5096762909009143E-3</v>
      </c>
      <c r="C7" s="193">
        <f>B7^2</f>
        <v>3.0356532830515656E-5</v>
      </c>
      <c r="D7" s="192">
        <f>2*B7*(1-B7)</f>
        <v>1.0958639516140798E-2</v>
      </c>
      <c r="E7" s="192">
        <f>C7+0.5*D7</f>
        <v>5.5096762909009143E-3</v>
      </c>
      <c r="F7" s="192">
        <v>5.7835668263949485E-3</v>
      </c>
      <c r="K7" s="101" t="s">
        <v>84</v>
      </c>
      <c r="L7" s="101" t="s">
        <v>157</v>
      </c>
    </row>
    <row r="8" spans="1:12" x14ac:dyDescent="0.25">
      <c r="A8" s="101">
        <v>4</v>
      </c>
      <c r="B8" s="192">
        <f t="shared" ref="B8:B71" si="0">F7</f>
        <v>5.7835668263949485E-3</v>
      </c>
      <c r="C8" s="193">
        <f t="shared" ref="C8:C71" si="1">B8^2</f>
        <v>3.344964523537614E-5</v>
      </c>
      <c r="D8" s="192">
        <f t="shared" ref="D8:D71" si="2">2*B8*(1-B8)</f>
        <v>1.1500234362319145E-2</v>
      </c>
      <c r="E8" s="192">
        <f t="shared" ref="E8:E71" si="3">C8+0.5*D8</f>
        <v>5.7835668263949485E-3</v>
      </c>
      <c r="F8" s="192">
        <v>6.0709895690209577E-3</v>
      </c>
    </row>
    <row r="9" spans="1:12" x14ac:dyDescent="0.25">
      <c r="A9" s="101">
        <v>5</v>
      </c>
      <c r="B9" s="192">
        <f t="shared" si="0"/>
        <v>6.0709895690209577E-3</v>
      </c>
      <c r="C9" s="193">
        <f t="shared" si="1"/>
        <v>3.6856914347161272E-5</v>
      </c>
      <c r="D9" s="192">
        <f t="shared" si="2"/>
        <v>1.2068265309347593E-2</v>
      </c>
      <c r="E9" s="192">
        <f t="shared" si="3"/>
        <v>6.0709895690209577E-3</v>
      </c>
      <c r="F9" s="192">
        <v>6.3726046466551388E-3</v>
      </c>
    </row>
    <row r="10" spans="1:12" x14ac:dyDescent="0.25">
      <c r="A10" s="101">
        <v>6</v>
      </c>
      <c r="B10" s="192">
        <f t="shared" si="0"/>
        <v>6.3726046466551388E-3</v>
      </c>
      <c r="C10" s="193">
        <f t="shared" si="1"/>
        <v>4.0610089982570663E-5</v>
      </c>
      <c r="D10" s="192">
        <f t="shared" si="2"/>
        <v>1.2663989113345136E-2</v>
      </c>
      <c r="E10" s="192">
        <f t="shared" si="3"/>
        <v>6.3726046466551388E-3</v>
      </c>
      <c r="F10" s="192">
        <v>6.6891035283765518E-3</v>
      </c>
    </row>
    <row r="11" spans="1:12" x14ac:dyDescent="0.25">
      <c r="A11" s="101">
        <v>7</v>
      </c>
      <c r="B11" s="192">
        <f t="shared" si="0"/>
        <v>6.6891035283765518E-3</v>
      </c>
      <c r="C11" s="193">
        <f t="shared" si="1"/>
        <v>4.4744106013339638E-5</v>
      </c>
      <c r="D11" s="192">
        <f t="shared" si="2"/>
        <v>1.3288718844726424E-2</v>
      </c>
      <c r="E11" s="192">
        <f t="shared" si="3"/>
        <v>6.6891035283765518E-3</v>
      </c>
      <c r="F11" s="192">
        <v>7.0212104246241379E-3</v>
      </c>
    </row>
    <row r="12" spans="1:12" x14ac:dyDescent="0.25">
      <c r="A12" s="101">
        <v>8</v>
      </c>
      <c r="B12" s="192">
        <f t="shared" si="0"/>
        <v>7.0212104246241379E-3</v>
      </c>
      <c r="C12" s="193">
        <f t="shared" si="1"/>
        <v>4.9297395826850666E-5</v>
      </c>
      <c r="D12" s="192">
        <f t="shared" si="2"/>
        <v>1.3943826057594574E-2</v>
      </c>
      <c r="E12" s="192">
        <f t="shared" si="3"/>
        <v>7.0212104246241379E-3</v>
      </c>
      <c r="F12" s="192">
        <v>7.3696837408399772E-3</v>
      </c>
    </row>
    <row r="13" spans="1:12" x14ac:dyDescent="0.25">
      <c r="A13" s="101">
        <v>9</v>
      </c>
      <c r="B13" s="192">
        <f t="shared" si="0"/>
        <v>7.3696837408399772E-3</v>
      </c>
      <c r="C13" s="193">
        <f t="shared" si="1"/>
        <v>5.4312238440001119E-5</v>
      </c>
      <c r="D13" s="192">
        <f t="shared" si="2"/>
        <v>1.4630743004799952E-2</v>
      </c>
      <c r="E13" s="192">
        <f t="shared" si="3"/>
        <v>7.3696837408399772E-3</v>
      </c>
      <c r="F13" s="192">
        <v>7.7353175856699104E-3</v>
      </c>
    </row>
    <row r="14" spans="1:12" x14ac:dyDescent="0.25">
      <c r="A14" s="101">
        <v>10</v>
      </c>
      <c r="B14" s="192">
        <f t="shared" si="0"/>
        <v>7.7353175856699104E-3</v>
      </c>
      <c r="C14" s="193">
        <f t="shared" si="1"/>
        <v>5.9835138151174174E-5</v>
      </c>
      <c r="D14" s="192">
        <f t="shared" si="2"/>
        <v>1.5350964895037473E-2</v>
      </c>
      <c r="E14" s="192">
        <f t="shared" si="3"/>
        <v>7.7353175856699104E-3</v>
      </c>
      <c r="F14" s="192">
        <v>8.1189433346957086E-3</v>
      </c>
    </row>
    <row r="15" spans="1:12" x14ac:dyDescent="0.25">
      <c r="A15" s="101">
        <v>11</v>
      </c>
      <c r="B15" s="192">
        <f t="shared" si="0"/>
        <v>8.1189433346957086E-3</v>
      </c>
      <c r="C15" s="193">
        <f t="shared" si="1"/>
        <v>6.5917240871999876E-5</v>
      </c>
      <c r="D15" s="192">
        <f t="shared" si="2"/>
        <v>1.6106052187647418E-2</v>
      </c>
      <c r="E15" s="192">
        <f t="shared" si="3"/>
        <v>8.1189433346957086E-3</v>
      </c>
      <c r="F15" s="192">
        <v>8.5214312505578049E-3</v>
      </c>
    </row>
    <row r="16" spans="1:12" x14ac:dyDescent="0.25">
      <c r="A16" s="101">
        <v>12</v>
      </c>
      <c r="B16" s="192">
        <f t="shared" si="0"/>
        <v>8.5214312505578049E-3</v>
      </c>
      <c r="C16" s="193">
        <f t="shared" si="1"/>
        <v>7.2614790557983151E-5</v>
      </c>
      <c r="D16" s="192">
        <f t="shared" si="2"/>
        <v>1.6897632919999642E-2</v>
      </c>
      <c r="E16" s="192">
        <f t="shared" si="3"/>
        <v>8.5214312505578031E-3</v>
      </c>
      <c r="F16" s="192">
        <v>8.9436921601922324E-3</v>
      </c>
    </row>
    <row r="17" spans="1:6" x14ac:dyDescent="0.25">
      <c r="A17" s="101">
        <v>13</v>
      </c>
      <c r="B17" s="192">
        <f t="shared" si="0"/>
        <v>8.9436921601922324E-3</v>
      </c>
      <c r="C17" s="193">
        <f t="shared" si="1"/>
        <v>7.9989629456283994E-5</v>
      </c>
      <c r="D17" s="192">
        <f t="shared" si="2"/>
        <v>1.7727405061471899E-2</v>
      </c>
      <c r="E17" s="192">
        <f t="shared" si="3"/>
        <v>8.9436921601922341E-3</v>
      </c>
      <c r="F17" s="192">
        <v>9.3866791897478669E-3</v>
      </c>
    </row>
    <row r="18" spans="1:6" x14ac:dyDescent="0.25">
      <c r="A18" s="101">
        <v>14</v>
      </c>
      <c r="B18" s="192">
        <f t="shared" si="0"/>
        <v>9.3866791897478669E-3</v>
      </c>
      <c r="C18" s="193">
        <f t="shared" si="1"/>
        <v>8.8109746211245674E-5</v>
      </c>
      <c r="D18" s="192">
        <f t="shared" si="2"/>
        <v>1.859713888707324E-2</v>
      </c>
      <c r="E18" s="192">
        <f t="shared" si="3"/>
        <v>9.3866791897478652E-3</v>
      </c>
      <c r="F18" s="192">
        <v>9.851389557567751E-3</v>
      </c>
    </row>
    <row r="19" spans="1:6" x14ac:dyDescent="0.25">
      <c r="A19" s="101">
        <v>15</v>
      </c>
      <c r="B19" s="192">
        <f t="shared" si="0"/>
        <v>9.851389557567751E-3</v>
      </c>
      <c r="C19" s="193">
        <f t="shared" si="1"/>
        <v>9.7049876214954934E-5</v>
      </c>
      <c r="D19" s="192">
        <f t="shared" si="2"/>
        <v>1.9508679362705592E-2</v>
      </c>
      <c r="E19" s="192">
        <f t="shared" si="3"/>
        <v>9.851389557567751E-3</v>
      </c>
      <c r="F19" s="192">
        <v>1.0338866425409121E-2</v>
      </c>
    </row>
    <row r="20" spans="1:6" x14ac:dyDescent="0.25">
      <c r="A20" s="101">
        <v>16</v>
      </c>
      <c r="B20" s="192">
        <f t="shared" si="0"/>
        <v>1.0338866425409121E-2</v>
      </c>
      <c r="C20" s="193">
        <f t="shared" si="1"/>
        <v>1.0689215896245199E-4</v>
      </c>
      <c r="D20" s="192">
        <f t="shared" si="2"/>
        <v>2.046394853289334E-2</v>
      </c>
      <c r="E20" s="192">
        <f t="shared" si="3"/>
        <v>1.0338866425409121E-2</v>
      </c>
      <c r="F20" s="192">
        <v>1.0850200807837525E-2</v>
      </c>
    </row>
    <row r="21" spans="1:6" x14ac:dyDescent="0.25">
      <c r="A21" s="101">
        <v>17</v>
      </c>
      <c r="B21" s="192">
        <f t="shared" si="0"/>
        <v>1.0850200807837525E-2</v>
      </c>
      <c r="C21" s="193">
        <f t="shared" si="1"/>
        <v>1.1772685757039808E-4</v>
      </c>
      <c r="D21" s="192">
        <f t="shared" si="2"/>
        <v>2.1464947900534256E-2</v>
      </c>
      <c r="E21" s="192">
        <f t="shared" si="3"/>
        <v>1.0850200807837527E-2</v>
      </c>
      <c r="F21" s="192">
        <v>1.1386533539458987E-2</v>
      </c>
    </row>
    <row r="22" spans="1:6" x14ac:dyDescent="0.25">
      <c r="A22" s="101">
        <v>18</v>
      </c>
      <c r="B22" s="192">
        <f t="shared" si="0"/>
        <v>1.1386533539458987E-2</v>
      </c>
      <c r="C22" s="193">
        <f t="shared" si="1"/>
        <v>1.2965314604522442E-4</v>
      </c>
      <c r="D22" s="192">
        <f t="shared" si="2"/>
        <v>2.2513760786827527E-2</v>
      </c>
      <c r="E22" s="192">
        <f t="shared" si="3"/>
        <v>1.1386533539458989E-2</v>
      </c>
      <c r="F22" s="192">
        <v>1.1949057299346744E-2</v>
      </c>
    </row>
    <row r="23" spans="1:6" x14ac:dyDescent="0.25">
      <c r="A23" s="101">
        <v>19</v>
      </c>
      <c r="B23" s="192">
        <f t="shared" si="0"/>
        <v>1.1949057299346744E-2</v>
      </c>
      <c r="C23" s="193">
        <f t="shared" si="1"/>
        <v>1.427799703430717E-4</v>
      </c>
      <c r="D23" s="192">
        <f t="shared" si="2"/>
        <v>2.3612554658007347E-2</v>
      </c>
      <c r="E23" s="192">
        <f t="shared" si="3"/>
        <v>1.1949057299346746E-2</v>
      </c>
      <c r="F23" s="192">
        <v>1.2539018691672862E-2</v>
      </c>
    </row>
    <row r="24" spans="1:6" x14ac:dyDescent="0.25">
      <c r="A24" s="101">
        <v>20</v>
      </c>
      <c r="B24" s="192">
        <f t="shared" si="0"/>
        <v>1.2539018691672862E-2</v>
      </c>
      <c r="C24" s="193">
        <f t="shared" si="1"/>
        <v>1.5722698975012141E-4</v>
      </c>
      <c r="D24" s="192">
        <f t="shared" si="2"/>
        <v>2.476358340384548E-2</v>
      </c>
      <c r="E24" s="192">
        <f t="shared" si="3"/>
        <v>1.2539018691672862E-2</v>
      </c>
      <c r="F24" s="192">
        <v>1.3157720381166544E-2</v>
      </c>
    </row>
    <row r="25" spans="1:6" x14ac:dyDescent="0.25">
      <c r="A25" s="101">
        <v>21</v>
      </c>
      <c r="B25" s="192">
        <f t="shared" si="0"/>
        <v>1.3157720381166544E-2</v>
      </c>
      <c r="C25" s="193">
        <f t="shared" si="1"/>
        <v>1.7312560562896546E-4</v>
      </c>
      <c r="D25" s="192">
        <f t="shared" si="2"/>
        <v>2.5969189551075154E-2</v>
      </c>
      <c r="E25" s="192">
        <f t="shared" si="3"/>
        <v>1.3157720381166542E-2</v>
      </c>
      <c r="F25" s="192">
        <v>1.3806523281586108E-2</v>
      </c>
    </row>
    <row r="26" spans="1:6" x14ac:dyDescent="0.25">
      <c r="A26" s="101">
        <v>22</v>
      </c>
      <c r="B26" s="192">
        <f t="shared" si="0"/>
        <v>1.3806523281586108E-2</v>
      </c>
      <c r="C26" s="193">
        <f t="shared" si="1"/>
        <v>1.9062008512497924E-4</v>
      </c>
      <c r="D26" s="192">
        <f t="shared" si="2"/>
        <v>2.7231806392922255E-2</v>
      </c>
      <c r="E26" s="192">
        <f t="shared" si="3"/>
        <v>1.3806523281586106E-2</v>
      </c>
      <c r="F26" s="192">
        <v>1.4486848794907225E-2</v>
      </c>
    </row>
    <row r="27" spans="1:6" x14ac:dyDescent="0.25">
      <c r="A27" s="101">
        <v>23</v>
      </c>
      <c r="B27" s="192">
        <f t="shared" si="0"/>
        <v>1.4486848794907225E-2</v>
      </c>
      <c r="C27" s="193">
        <f t="shared" si="1"/>
        <v>2.0986878800650493E-4</v>
      </c>
      <c r="D27" s="192">
        <f t="shared" si="2"/>
        <v>2.8553960013801439E-2</v>
      </c>
      <c r="E27" s="192">
        <f t="shared" si="3"/>
        <v>1.4486848794907225E-2</v>
      </c>
      <c r="F27" s="192">
        <v>1.520018109839121E-2</v>
      </c>
    </row>
    <row r="28" spans="1:6" x14ac:dyDescent="0.25">
      <c r="A28" s="101">
        <v>24</v>
      </c>
      <c r="B28" s="192">
        <f t="shared" si="0"/>
        <v>1.520018109839121E-2</v>
      </c>
      <c r="C28" s="193">
        <f t="shared" si="1"/>
        <v>2.3104550542388941E-4</v>
      </c>
      <c r="D28" s="192">
        <f t="shared" si="2"/>
        <v>2.9938271185934642E-2</v>
      </c>
      <c r="E28" s="192">
        <f t="shared" si="3"/>
        <v>1.520018109839121E-2</v>
      </c>
      <c r="F28" s="192">
        <v>1.5948069476100449E-2</v>
      </c>
    </row>
    <row r="29" spans="1:6" x14ac:dyDescent="0.25">
      <c r="A29" s="101">
        <v>25</v>
      </c>
      <c r="B29" s="192">
        <f t="shared" si="0"/>
        <v>1.5948069476100449E-2</v>
      </c>
      <c r="C29" s="193">
        <f t="shared" si="1"/>
        <v>2.5434092001452689E-4</v>
      </c>
      <c r="D29" s="192">
        <f t="shared" si="2"/>
        <v>3.1387457112171842E-2</v>
      </c>
      <c r="E29" s="192">
        <f t="shared" si="3"/>
        <v>1.5948069476100449E-2</v>
      </c>
      <c r="F29" s="192">
        <v>1.6732130690768492E-2</v>
      </c>
    </row>
    <row r="30" spans="1:6" x14ac:dyDescent="0.25">
      <c r="A30" s="101">
        <v>26</v>
      </c>
      <c r="B30" s="192">
        <f t="shared" si="0"/>
        <v>1.6732130690768492E-2</v>
      </c>
      <c r="C30" s="193">
        <f t="shared" si="1"/>
        <v>2.7996419745295693E-4</v>
      </c>
      <c r="D30" s="192">
        <f t="shared" si="2"/>
        <v>3.290433298663107E-2</v>
      </c>
      <c r="E30" s="192">
        <f t="shared" si="3"/>
        <v>1.6732130690768492E-2</v>
      </c>
      <c r="F30" s="192">
        <v>1.7554051391205409E-2</v>
      </c>
    </row>
    <row r="31" spans="1:6" x14ac:dyDescent="0.25">
      <c r="A31" s="101">
        <v>27</v>
      </c>
      <c r="B31" s="192">
        <f t="shared" si="0"/>
        <v>1.7554051391205409E-2</v>
      </c>
      <c r="C31" s="193">
        <f t="shared" si="1"/>
        <v>3.0814472024508059E-4</v>
      </c>
      <c r="D31" s="192">
        <f t="shared" si="2"/>
        <v>3.4491813341920662E-2</v>
      </c>
      <c r="E31" s="192">
        <f t="shared" si="3"/>
        <v>1.7554051391205413E-2</v>
      </c>
      <c r="F31" s="192">
        <v>1.841559054962031E-2</v>
      </c>
    </row>
    <row r="32" spans="1:6" x14ac:dyDescent="0.25">
      <c r="A32" s="101">
        <v>28</v>
      </c>
      <c r="B32" s="192">
        <f t="shared" si="0"/>
        <v>1.841559054962031E-2</v>
      </c>
      <c r="C32" s="193">
        <f t="shared" si="1"/>
        <v>3.3913397529126488E-4</v>
      </c>
      <c r="D32" s="192">
        <f t="shared" si="2"/>
        <v>3.6152913148658095E-2</v>
      </c>
      <c r="E32" s="192">
        <f t="shared" si="3"/>
        <v>1.8415590549620314E-2</v>
      </c>
      <c r="F32" s="192">
        <v>1.931858192236725E-2</v>
      </c>
    </row>
    <row r="33" spans="1:6" x14ac:dyDescent="0.25">
      <c r="A33" s="101">
        <v>29</v>
      </c>
      <c r="B33" s="192">
        <f t="shared" si="0"/>
        <v>1.931858192236725E-2</v>
      </c>
      <c r="C33" s="193">
        <f t="shared" si="1"/>
        <v>3.7320760749121469E-4</v>
      </c>
      <c r="D33" s="192">
        <f t="shared" si="2"/>
        <v>3.7890748629752072E-2</v>
      </c>
      <c r="E33" s="192">
        <f t="shared" si="3"/>
        <v>1.931858192236725E-2</v>
      </c>
      <c r="F33" s="192">
        <v>2.0264936526663519E-2</v>
      </c>
    </row>
    <row r="34" spans="1:6" x14ac:dyDescent="0.25">
      <c r="A34" s="101">
        <v>30</v>
      </c>
      <c r="B34" s="192">
        <f t="shared" si="0"/>
        <v>2.0264936526663519E-2</v>
      </c>
      <c r="C34" s="193">
        <f t="shared" si="1"/>
        <v>4.1066765242970128E-4</v>
      </c>
      <c r="D34" s="192">
        <f t="shared" si="2"/>
        <v>3.9708537748467637E-2</v>
      </c>
      <c r="E34" s="192">
        <f t="shared" si="3"/>
        <v>2.0264936526663519E-2</v>
      </c>
      <c r="F34" s="192">
        <v>2.125664512478552E-2</v>
      </c>
    </row>
    <row r="35" spans="1:6" x14ac:dyDescent="0.25">
      <c r="A35" s="101">
        <v>31</v>
      </c>
      <c r="B35" s="192">
        <f t="shared" si="0"/>
        <v>2.125664512478552E-2</v>
      </c>
      <c r="C35" s="193">
        <f t="shared" si="1"/>
        <v>4.51844961961068E-4</v>
      </c>
      <c r="D35" s="192">
        <f t="shared" si="2"/>
        <v>4.16096003256489E-2</v>
      </c>
      <c r="E35" s="192">
        <f t="shared" si="3"/>
        <v>2.125664512478552E-2</v>
      </c>
      <c r="F35" s="192">
        <v>2.2295780706112295E-2</v>
      </c>
    </row>
    <row r="36" spans="1:6" x14ac:dyDescent="0.25">
      <c r="A36" s="101">
        <v>32</v>
      </c>
      <c r="B36" s="192">
        <f t="shared" si="0"/>
        <v>2.2295780706112295E-2</v>
      </c>
      <c r="C36" s="193">
        <f t="shared" si="1"/>
        <v>4.9710183729504928E-4</v>
      </c>
      <c r="D36" s="192">
        <f t="shared" si="2"/>
        <v>4.3597357737634491E-2</v>
      </c>
      <c r="E36" s="192">
        <f t="shared" si="3"/>
        <v>2.2295780706112295E-2</v>
      </c>
      <c r="F36" s="192">
        <v>2.33845009561559E-2</v>
      </c>
    </row>
    <row r="37" spans="1:6" x14ac:dyDescent="0.25">
      <c r="A37" s="101">
        <v>33</v>
      </c>
      <c r="B37" s="192">
        <f t="shared" si="0"/>
        <v>2.33845009561559E-2</v>
      </c>
      <c r="C37" s="193">
        <f t="shared" si="1"/>
        <v>5.4683488496845621E-4</v>
      </c>
      <c r="D37" s="192">
        <f t="shared" si="2"/>
        <v>4.5675332142374889E-2</v>
      </c>
      <c r="E37" s="192">
        <f t="shared" si="3"/>
        <v>2.33845009561559E-2</v>
      </c>
      <c r="F37" s="192">
        <v>2.4525050700386051E-2</v>
      </c>
    </row>
    <row r="38" spans="1:6" x14ac:dyDescent="0.25">
      <c r="A38" s="101">
        <v>34</v>
      </c>
      <c r="B38" s="192">
        <f t="shared" si="0"/>
        <v>2.4525050700386051E-2</v>
      </c>
      <c r="C38" s="193">
        <f t="shared" si="1"/>
        <v>6.0147811185650628E-4</v>
      </c>
      <c r="D38" s="192">
        <f t="shared" si="2"/>
        <v>4.784714517705909E-2</v>
      </c>
      <c r="E38" s="192">
        <f t="shared" si="3"/>
        <v>2.4525050700386051E-2</v>
      </c>
      <c r="F38" s="192">
        <v>2.5719764309221068E-2</v>
      </c>
    </row>
    <row r="39" spans="1:6" x14ac:dyDescent="0.25">
      <c r="A39" s="101">
        <v>35</v>
      </c>
      <c r="B39" s="192">
        <f t="shared" si="0"/>
        <v>2.5719764309221068E-2</v>
      </c>
      <c r="C39" s="193">
        <f t="shared" si="1"/>
        <v>6.6150627612188183E-4</v>
      </c>
      <c r="D39" s="192">
        <f t="shared" si="2"/>
        <v>5.0116516066198373E-2</v>
      </c>
      <c r="E39" s="192">
        <f t="shared" si="3"/>
        <v>2.5719764309221068E-2</v>
      </c>
      <c r="F39" s="192">
        <v>2.6971068049012694E-2</v>
      </c>
    </row>
    <row r="40" spans="1:6" x14ac:dyDescent="0.25">
      <c r="A40" s="101">
        <v>36</v>
      </c>
      <c r="B40" s="192">
        <f t="shared" si="0"/>
        <v>2.6971068049012694E-2</v>
      </c>
      <c r="C40" s="193">
        <f t="shared" si="1"/>
        <v>7.2743851170447345E-4</v>
      </c>
      <c r="D40" s="192">
        <f t="shared" si="2"/>
        <v>5.2487259074616439E-2</v>
      </c>
      <c r="E40" s="192">
        <f t="shared" si="3"/>
        <v>2.6971068049012694E-2</v>
      </c>
      <c r="F40" s="192">
        <v>2.8281482362197439E-2</v>
      </c>
    </row>
    <row r="41" spans="1:6" x14ac:dyDescent="0.25">
      <c r="A41" s="101">
        <v>37</v>
      </c>
      <c r="B41" s="192">
        <f t="shared" si="0"/>
        <v>2.8281482362197439E-2</v>
      </c>
      <c r="C41" s="193">
        <f t="shared" si="1"/>
        <v>7.9984224460328483E-4</v>
      </c>
      <c r="D41" s="192">
        <f t="shared" si="2"/>
        <v>5.496328023518831E-2</v>
      </c>
      <c r="E41" s="192">
        <f t="shared" si="3"/>
        <v>2.8281482362197439E-2</v>
      </c>
      <c r="F41" s="192">
        <v>2.9653624058018708E-2</v>
      </c>
    </row>
    <row r="42" spans="1:6" x14ac:dyDescent="0.25">
      <c r="A42" s="101">
        <v>38</v>
      </c>
      <c r="B42" s="192">
        <f t="shared" si="0"/>
        <v>2.9653624058018708E-2</v>
      </c>
      <c r="C42" s="193">
        <f t="shared" si="1"/>
        <v>8.7933741977430592E-4</v>
      </c>
      <c r="D42" s="192">
        <f t="shared" si="2"/>
        <v>5.7548573276488803E-2</v>
      </c>
      <c r="E42" s="192">
        <f t="shared" si="3"/>
        <v>2.9653624058018708E-2</v>
      </c>
      <c r="F42" s="192">
        <v>3.1090208393340563E-2</v>
      </c>
    </row>
    <row r="43" spans="1:6" x14ac:dyDescent="0.25">
      <c r="A43" s="101">
        <v>39</v>
      </c>
      <c r="B43" s="192">
        <f t="shared" si="0"/>
        <v>3.1090208393340563E-2</v>
      </c>
      <c r="C43" s="193">
        <f t="shared" si="1"/>
        <v>9.6660105794134398E-4</v>
      </c>
      <c r="D43" s="192">
        <f t="shared" si="2"/>
        <v>6.0247214670798438E-2</v>
      </c>
      <c r="E43" s="192">
        <f t="shared" si="3"/>
        <v>3.1090208393340563E-2</v>
      </c>
      <c r="F43" s="192">
        <v>3.2594051021076174E-2</v>
      </c>
    </row>
    <row r="44" spans="1:6" x14ac:dyDescent="0.25">
      <c r="A44" s="101">
        <v>40</v>
      </c>
      <c r="B44" s="192">
        <f t="shared" si="0"/>
        <v>3.2594051021076174E-2</v>
      </c>
      <c r="C44" s="193">
        <f t="shared" si="1"/>
        <v>1.0623721619645169E-3</v>
      </c>
      <c r="D44" s="192">
        <f t="shared" si="2"/>
        <v>6.3063357718223315E-2</v>
      </c>
      <c r="E44" s="192">
        <f t="shared" si="3"/>
        <v>3.2594051021076174E-2</v>
      </c>
      <c r="F44" s="192">
        <v>3.4168069781642253E-2</v>
      </c>
    </row>
    <row r="45" spans="1:6" x14ac:dyDescent="0.25">
      <c r="A45" s="101">
        <v>41</v>
      </c>
      <c r="B45" s="192">
        <f t="shared" si="0"/>
        <v>3.4168069781642253E-2</v>
      </c>
      <c r="C45" s="193">
        <f t="shared" si="1"/>
        <v>1.1674569926031744E-3</v>
      </c>
      <c r="D45" s="192">
        <f t="shared" si="2"/>
        <v>6.6001225578078165E-2</v>
      </c>
      <c r="E45" s="192">
        <f t="shared" si="3"/>
        <v>3.416806978164226E-2</v>
      </c>
      <c r="F45" s="192">
        <v>3.5815286310628816E-2</v>
      </c>
    </row>
    <row r="46" spans="1:6" x14ac:dyDescent="0.25">
      <c r="A46" s="101">
        <v>42</v>
      </c>
      <c r="B46" s="192">
        <f t="shared" si="0"/>
        <v>3.5815286310628816E-2</v>
      </c>
      <c r="C46" s="193">
        <f t="shared" si="1"/>
        <v>1.2827347335123158E-3</v>
      </c>
      <c r="D46" s="192">
        <f t="shared" si="2"/>
        <v>6.9065103154233004E-2</v>
      </c>
      <c r="E46" s="192">
        <f t="shared" si="3"/>
        <v>3.5815286310628816E-2</v>
      </c>
      <c r="F46" s="192">
        <v>3.753882743354537E-2</v>
      </c>
    </row>
    <row r="47" spans="1:6" x14ac:dyDescent="0.25">
      <c r="A47" s="101">
        <v>43</v>
      </c>
      <c r="B47" s="192">
        <f t="shared" si="0"/>
        <v>3.753882743354537E-2</v>
      </c>
      <c r="C47" s="193">
        <f t="shared" si="1"/>
        <v>1.4091635650854985E-3</v>
      </c>
      <c r="D47" s="192">
        <f t="shared" si="2"/>
        <v>7.2259327736919746E-2</v>
      </c>
      <c r="E47" s="192">
        <f t="shared" si="3"/>
        <v>3.753882743354537E-2</v>
      </c>
      <c r="F47" s="192">
        <v>3.9341926316078517E-2</v>
      </c>
    </row>
    <row r="48" spans="1:6" x14ac:dyDescent="0.25">
      <c r="A48" s="101">
        <v>44</v>
      </c>
      <c r="B48" s="192">
        <f t="shared" si="0"/>
        <v>3.9341926316078517E-2</v>
      </c>
      <c r="C48" s="193">
        <f t="shared" si="1"/>
        <v>1.5477871662597513E-3</v>
      </c>
      <c r="D48" s="192">
        <f t="shared" si="2"/>
        <v>7.5588278299637532E-2</v>
      </c>
      <c r="E48" s="192">
        <f t="shared" si="3"/>
        <v>3.9341926316078517E-2</v>
      </c>
      <c r="F48" s="192">
        <v>4.1227923335780389E-2</v>
      </c>
    </row>
    <row r="49" spans="1:6" x14ac:dyDescent="0.25">
      <c r="A49" s="101">
        <v>45</v>
      </c>
      <c r="B49" s="192">
        <f t="shared" si="0"/>
        <v>4.1227923335780389E-2</v>
      </c>
      <c r="C49" s="193">
        <f t="shared" si="1"/>
        <v>1.6997416625809851E-3</v>
      </c>
      <c r="D49" s="192">
        <f t="shared" si="2"/>
        <v>7.9056363346398803E-2</v>
      </c>
      <c r="E49" s="192">
        <f t="shared" si="3"/>
        <v>4.1227923335780389E-2</v>
      </c>
      <c r="F49" s="192">
        <v>4.3200266638516484E-2</v>
      </c>
    </row>
    <row r="50" spans="1:6" x14ac:dyDescent="0.25">
      <c r="A50" s="101">
        <v>46</v>
      </c>
      <c r="B50" s="192">
        <f t="shared" si="0"/>
        <v>4.3200266638516484E-2</v>
      </c>
      <c r="C50" s="193">
        <f t="shared" si="1"/>
        <v>1.8662630376389204E-3</v>
      </c>
      <c r="D50" s="192">
        <f t="shared" si="2"/>
        <v>8.2668007201755128E-2</v>
      </c>
      <c r="E50" s="192">
        <f t="shared" si="3"/>
        <v>4.3200266638516484E-2</v>
      </c>
      <c r="F50" s="192">
        <v>4.5262512340350704E-2</v>
      </c>
    </row>
    <row r="51" spans="1:6" x14ac:dyDescent="0.25">
      <c r="A51" s="101">
        <v>47</v>
      </c>
      <c r="B51" s="192">
        <f t="shared" si="0"/>
        <v>4.5262512340350704E-2</v>
      </c>
      <c r="C51" s="193">
        <f t="shared" si="1"/>
        <v>2.0486950233603997E-3</v>
      </c>
      <c r="D51" s="192">
        <f t="shared" si="2"/>
        <v>8.6427634633980607E-2</v>
      </c>
      <c r="E51" s="192">
        <f t="shared" si="3"/>
        <v>4.5262512340350704E-2</v>
      </c>
      <c r="F51" s="192">
        <v>4.7418324332854513E-2</v>
      </c>
    </row>
    <row r="52" spans="1:6" x14ac:dyDescent="0.25">
      <c r="A52" s="101">
        <v>48</v>
      </c>
      <c r="B52" s="192">
        <f t="shared" si="0"/>
        <v>4.7418324332854513E-2</v>
      </c>
      <c r="C52" s="193">
        <f t="shared" si="1"/>
        <v>2.2484974825357825E-3</v>
      </c>
      <c r="D52" s="192">
        <f t="shared" si="2"/>
        <v>9.0339653700637457E-2</v>
      </c>
      <c r="E52" s="192">
        <f t="shared" si="3"/>
        <v>4.7418324332854513E-2</v>
      </c>
      <c r="F52" s="192">
        <v>4.9671473647122731E-2</v>
      </c>
    </row>
    <row r="53" spans="1:6" x14ac:dyDescent="0.25">
      <c r="A53" s="101">
        <v>49</v>
      </c>
      <c r="B53" s="192">
        <f t="shared" si="0"/>
        <v>4.9671473647122731E-2</v>
      </c>
      <c r="C53" s="193">
        <f t="shared" si="1"/>
        <v>2.467255294276808E-3</v>
      </c>
      <c r="D53" s="192">
        <f t="shared" si="2"/>
        <v>9.4408436705691837E-2</v>
      </c>
      <c r="E53" s="192">
        <f t="shared" si="3"/>
        <v>4.9671473647122724E-2</v>
      </c>
      <c r="F53" s="192">
        <v>5.2025837329085806E-2</v>
      </c>
    </row>
    <row r="54" spans="1:6" x14ac:dyDescent="0.25">
      <c r="A54" s="101">
        <v>50</v>
      </c>
      <c r="B54" s="192">
        <f t="shared" si="0"/>
        <v>5.2025837329085806E-2</v>
      </c>
      <c r="C54" s="193">
        <f t="shared" si="1"/>
        <v>2.7066877497924982E-3</v>
      </c>
      <c r="D54" s="192">
        <f t="shared" si="2"/>
        <v>9.8638299158586615E-2</v>
      </c>
      <c r="E54" s="192">
        <f t="shared" si="3"/>
        <v>5.2025837329085806E-2</v>
      </c>
      <c r="F54" s="192">
        <v>5.4485396776065995E-2</v>
      </c>
    </row>
    <row r="55" spans="1:6" x14ac:dyDescent="0.25">
      <c r="A55" s="101">
        <v>51</v>
      </c>
      <c r="B55" s="192">
        <f t="shared" si="0"/>
        <v>5.4485396776065995E-2</v>
      </c>
      <c r="C55" s="193">
        <f t="shared" si="1"/>
        <v>2.9686584618453427E-3</v>
      </c>
      <c r="D55" s="192">
        <f t="shared" si="2"/>
        <v>0.1030334766284413</v>
      </c>
      <c r="E55" s="192">
        <f t="shared" si="3"/>
        <v>5.4485396776065995E-2</v>
      </c>
      <c r="F55" s="192">
        <v>5.7054235481969785E-2</v>
      </c>
    </row>
    <row r="56" spans="1:6" x14ac:dyDescent="0.25">
      <c r="A56" s="101">
        <v>52</v>
      </c>
      <c r="B56" s="192">
        <f t="shared" si="0"/>
        <v>5.7054235481969785E-2</v>
      </c>
      <c r="C56" s="193">
        <f t="shared" si="1"/>
        <v>3.2551857864320599E-3</v>
      </c>
      <c r="D56" s="192">
        <f t="shared" si="2"/>
        <v>0.10759809939107545</v>
      </c>
      <c r="E56" s="192">
        <f t="shared" si="3"/>
        <v>5.7054235481969785E-2</v>
      </c>
      <c r="F56" s="192">
        <v>5.9736536136089001E-2</v>
      </c>
    </row>
    <row r="57" spans="1:6" x14ac:dyDescent="0.25">
      <c r="A57" s="101">
        <v>53</v>
      </c>
      <c r="B57" s="192">
        <f t="shared" si="0"/>
        <v>5.9736536136089001E-2</v>
      </c>
      <c r="C57" s="193">
        <f t="shared" si="1"/>
        <v>3.568453749538267E-3</v>
      </c>
      <c r="D57" s="192">
        <f t="shared" si="2"/>
        <v>0.11233616477310147</v>
      </c>
      <c r="E57" s="192">
        <f t="shared" si="3"/>
        <v>5.9736536136089001E-2</v>
      </c>
      <c r="F57" s="192">
        <v>6.2536577018249551E-2</v>
      </c>
    </row>
    <row r="58" spans="1:6" x14ac:dyDescent="0.25">
      <c r="A58" s="101">
        <v>54</v>
      </c>
      <c r="B58" s="192">
        <f t="shared" si="0"/>
        <v>6.2536577018249551E-2</v>
      </c>
      <c r="C58" s="193">
        <f t="shared" si="1"/>
        <v>3.9108234651594577E-3</v>
      </c>
      <c r="D58" s="192">
        <f t="shared" si="2"/>
        <v>0.11725150710618018</v>
      </c>
      <c r="E58" s="192">
        <f t="shared" si="3"/>
        <v>6.2536577018249551E-2</v>
      </c>
      <c r="F58" s="192">
        <v>6.5458727631061198E-2</v>
      </c>
    </row>
    <row r="59" spans="1:6" x14ac:dyDescent="0.25">
      <c r="A59" s="101">
        <v>55</v>
      </c>
      <c r="B59" s="192">
        <f t="shared" si="0"/>
        <v>6.5458727631061198E-2</v>
      </c>
      <c r="C59" s="193">
        <f t="shared" si="1"/>
        <v>4.2848450230774547E-3</v>
      </c>
      <c r="D59" s="192">
        <f t="shared" si="2"/>
        <v>0.12234776521596749</v>
      </c>
      <c r="E59" s="192">
        <f t="shared" si="3"/>
        <v>6.5458727631061198E-2</v>
      </c>
      <c r="F59" s="192">
        <v>6.8507443508348587E-2</v>
      </c>
    </row>
    <row r="60" spans="1:6" x14ac:dyDescent="0.25">
      <c r="A60" s="101">
        <v>56</v>
      </c>
      <c r="B60" s="192">
        <f t="shared" si="0"/>
        <v>6.8507443508348587E-2</v>
      </c>
      <c r="C60" s="193">
        <f t="shared" si="1"/>
        <v>4.6932698160495733E-3</v>
      </c>
      <c r="D60" s="192">
        <f t="shared" si="2"/>
        <v>0.12762834738459802</v>
      </c>
      <c r="E60" s="192">
        <f t="shared" si="3"/>
        <v>6.8507443508348587E-2</v>
      </c>
      <c r="F60" s="192">
        <v>7.1687260137558911E-2</v>
      </c>
    </row>
    <row r="61" spans="1:6" x14ac:dyDescent="0.25">
      <c r="A61" s="101">
        <v>57</v>
      </c>
      <c r="B61" s="192">
        <f t="shared" si="0"/>
        <v>7.1687260137558911E-2</v>
      </c>
      <c r="C61" s="193">
        <f t="shared" si="1"/>
        <v>5.1390632660300428E-3</v>
      </c>
      <c r="D61" s="192">
        <f t="shared" si="2"/>
        <v>0.13309639374305773</v>
      </c>
      <c r="E61" s="192">
        <f t="shared" si="3"/>
        <v>7.1687260137558911E-2</v>
      </c>
      <c r="F61" s="192">
        <v>7.5002785933125385E-2</v>
      </c>
    </row>
    <row r="62" spans="1:6" x14ac:dyDescent="0.25">
      <c r="A62" s="101">
        <v>58</v>
      </c>
      <c r="B62" s="192">
        <f t="shared" si="0"/>
        <v>7.5002785933125385E-2</v>
      </c>
      <c r="C62" s="193">
        <f t="shared" si="1"/>
        <v>5.625417897730231E-3</v>
      </c>
      <c r="D62" s="192">
        <f t="shared" si="2"/>
        <v>0.13875473607079031</v>
      </c>
      <c r="E62" s="192">
        <f t="shared" si="3"/>
        <v>7.5002785933125385E-2</v>
      </c>
      <c r="F62" s="192">
        <v>7.8458694197507242E-2</v>
      </c>
    </row>
    <row r="63" spans="1:6" x14ac:dyDescent="0.25">
      <c r="A63" s="101">
        <v>59</v>
      </c>
      <c r="B63" s="192">
        <f t="shared" si="0"/>
        <v>7.8458694197507242E-2</v>
      </c>
      <c r="C63" s="193">
        <f t="shared" si="1"/>
        <v>6.1557666951779569E-3</v>
      </c>
      <c r="D63" s="192">
        <f t="shared" si="2"/>
        <v>0.14460585500465856</v>
      </c>
      <c r="E63" s="192">
        <f t="shared" si="3"/>
        <v>7.8458694197507228E-2</v>
      </c>
      <c r="F63" s="192">
        <v>8.2059714007022014E-2</v>
      </c>
    </row>
    <row r="64" spans="1:6" x14ac:dyDescent="0.25">
      <c r="A64" s="101">
        <v>60</v>
      </c>
      <c r="B64" s="192">
        <f t="shared" si="0"/>
        <v>8.2059714007022014E-2</v>
      </c>
      <c r="C64" s="193">
        <f t="shared" si="1"/>
        <v>6.7337966629142446E-3</v>
      </c>
      <c r="D64" s="192">
        <f t="shared" si="2"/>
        <v>0.15065183468821552</v>
      </c>
      <c r="E64" s="192">
        <f t="shared" si="3"/>
        <v>8.2059714007022E-2</v>
      </c>
      <c r="F64" s="192">
        <v>8.5810619960735912E-2</v>
      </c>
    </row>
    <row r="65" spans="1:6" x14ac:dyDescent="0.25">
      <c r="A65" s="101">
        <v>61</v>
      </c>
      <c r="B65" s="192">
        <f t="shared" si="0"/>
        <v>8.5810619960735912E-2</v>
      </c>
      <c r="C65" s="193">
        <f t="shared" si="1"/>
        <v>7.3634624980458488E-3</v>
      </c>
      <c r="D65" s="192">
        <f t="shared" si="2"/>
        <v>0.15689431492538014</v>
      </c>
      <c r="E65" s="192">
        <f t="shared" si="3"/>
        <v>8.5810619960735912E-2</v>
      </c>
      <c r="F65" s="192">
        <v>8.9716220732692378E-2</v>
      </c>
    </row>
    <row r="66" spans="1:6" x14ac:dyDescent="0.25">
      <c r="A66" s="101">
        <v>62</v>
      </c>
      <c r="B66" s="192">
        <f t="shared" si="0"/>
        <v>8.9716220732692378E-2</v>
      </c>
      <c r="C66" s="193">
        <f t="shared" si="1"/>
        <v>8.0490002625571815E-3</v>
      </c>
      <c r="D66" s="192">
        <f t="shared" si="2"/>
        <v>0.16333444094027039</v>
      </c>
      <c r="E66" s="192">
        <f t="shared" si="3"/>
        <v>8.9716220732692378E-2</v>
      </c>
      <c r="F66" s="192">
        <v>9.3781346370746643E-2</v>
      </c>
    </row>
    <row r="67" spans="1:6" x14ac:dyDescent="0.25">
      <c r="A67" s="101">
        <v>63</v>
      </c>
      <c r="B67" s="192">
        <f t="shared" si="0"/>
        <v>9.3781346370746643E-2</v>
      </c>
      <c r="C67" s="193">
        <f t="shared" si="1"/>
        <v>8.7949409271099541E-3</v>
      </c>
      <c r="D67" s="192">
        <f t="shared" si="2"/>
        <v>0.16997281088727337</v>
      </c>
      <c r="E67" s="192">
        <f t="shared" si="3"/>
        <v>9.3781346370746643E-2</v>
      </c>
      <c r="F67" s="192">
        <v>9.8010834289355184E-2</v>
      </c>
    </row>
    <row r="68" spans="1:6" x14ac:dyDescent="0.25">
      <c r="A68" s="101">
        <v>64</v>
      </c>
      <c r="B68" s="192">
        <f t="shared" si="0"/>
        <v>9.8010834289355184E-2</v>
      </c>
      <c r="C68" s="193">
        <f t="shared" si="1"/>
        <v>9.6061236380954422E-3</v>
      </c>
      <c r="D68" s="192">
        <f t="shared" si="2"/>
        <v>0.17680942130251948</v>
      </c>
      <c r="E68" s="192">
        <f t="shared" si="3"/>
        <v>9.8010834289355184E-2</v>
      </c>
      <c r="F68" s="192">
        <v>0.10240951390895374</v>
      </c>
    </row>
    <row r="69" spans="1:6" x14ac:dyDescent="0.25">
      <c r="A69" s="101">
        <v>65</v>
      </c>
      <c r="B69" s="192">
        <f t="shared" si="0"/>
        <v>0.10240951390895374</v>
      </c>
      <c r="C69" s="193">
        <f t="shared" si="1"/>
        <v>1.0487708539068189E-2</v>
      </c>
      <c r="D69" s="192">
        <f t="shared" si="2"/>
        <v>0.1838436107397711</v>
      </c>
      <c r="E69" s="192">
        <f t="shared" si="3"/>
        <v>0.10240951390895374</v>
      </c>
      <c r="F69" s="192">
        <v>0.10698218990116676</v>
      </c>
    </row>
    <row r="70" spans="1:6" x14ac:dyDescent="0.25">
      <c r="A70" s="101">
        <v>66</v>
      </c>
      <c r="B70" s="192">
        <f t="shared" si="0"/>
        <v>0.10698218990116676</v>
      </c>
      <c r="C70" s="193">
        <f t="shared" si="1"/>
        <v>1.1445188956049306E-2</v>
      </c>
      <c r="D70" s="192">
        <f t="shared" si="2"/>
        <v>0.19107400189023491</v>
      </c>
      <c r="E70" s="192">
        <f t="shared" si="3"/>
        <v>0.10698218990116676</v>
      </c>
      <c r="F70" s="192">
        <v>0.11173362400713127</v>
      </c>
    </row>
    <row r="71" spans="1:6" x14ac:dyDescent="0.25">
      <c r="A71" s="101">
        <v>67</v>
      </c>
      <c r="B71" s="192">
        <f t="shared" si="0"/>
        <v>0.11173362400713127</v>
      </c>
      <c r="C71" s="193">
        <f t="shared" si="1"/>
        <v>1.2484402733766982E-2</v>
      </c>
      <c r="D71" s="192">
        <f t="shared" si="2"/>
        <v>0.19849844254672858</v>
      </c>
      <c r="E71" s="192">
        <f t="shared" si="3"/>
        <v>0.11173362400713127</v>
      </c>
      <c r="F71" s="192">
        <v>0.11666851540579676</v>
      </c>
    </row>
    <row r="72" spans="1:6" x14ac:dyDescent="0.25">
      <c r="A72" s="101">
        <v>68</v>
      </c>
      <c r="B72" s="192">
        <f t="shared" ref="B72:B135" si="4">F71</f>
        <v>0.11666851540579676</v>
      </c>
      <c r="C72" s="193">
        <f t="shared" ref="C72:C135" si="5">B72^2</f>
        <v>1.3611542486992636E-2</v>
      </c>
      <c r="D72" s="192">
        <f t="shared" ref="D72:D135" si="6">2*B72*(1-B72)</f>
        <v>0.20611394583760825</v>
      </c>
      <c r="E72" s="192">
        <f t="shared" ref="E72:E135" si="7">C72+0.5*D72</f>
        <v>0.11666851540579676</v>
      </c>
      <c r="F72" s="192">
        <v>0.121791479620268</v>
      </c>
    </row>
    <row r="73" spans="1:6" x14ac:dyDescent="0.25">
      <c r="A73" s="101">
        <v>69</v>
      </c>
      <c r="B73" s="192">
        <f t="shared" si="4"/>
        <v>0.121791479620268</v>
      </c>
      <c r="C73" s="193">
        <f t="shared" si="5"/>
        <v>1.4833164508094155E-2</v>
      </c>
      <c r="D73" s="192">
        <f t="shared" si="6"/>
        <v>0.21391663022434768</v>
      </c>
      <c r="E73" s="192">
        <f t="shared" si="7"/>
        <v>0.121791479620268</v>
      </c>
      <c r="F73" s="192">
        <v>0.12710702596317208</v>
      </c>
    </row>
    <row r="74" spans="1:6" x14ac:dyDescent="0.25">
      <c r="A74" s="101">
        <v>70</v>
      </c>
      <c r="B74" s="192">
        <f t="shared" si="4"/>
        <v>0.12710702596317208</v>
      </c>
      <c r="C74" s="193">
        <f t="shared" si="5"/>
        <v>1.6156196049202501E-2</v>
      </c>
      <c r="D74" s="192">
        <f t="shared" si="6"/>
        <v>0.22190165982793914</v>
      </c>
      <c r="E74" s="192">
        <f t="shared" si="7"/>
        <v>0.12710702596317208</v>
      </c>
      <c r="F74" s="192">
        <v>0.132619533536707</v>
      </c>
    </row>
    <row r="75" spans="1:6" x14ac:dyDescent="0.25">
      <c r="A75" s="101">
        <v>71</v>
      </c>
      <c r="B75" s="192">
        <f t="shared" si="4"/>
        <v>0.132619533536707</v>
      </c>
      <c r="C75" s="193">
        <f t="shared" si="5"/>
        <v>1.7587940675493751E-2</v>
      </c>
      <c r="D75" s="192">
        <f t="shared" si="6"/>
        <v>0.23006318572242648</v>
      </c>
      <c r="E75" s="192">
        <f t="shared" si="7"/>
        <v>0.132619533536707</v>
      </c>
      <c r="F75" s="192">
        <v>0.13833322581950183</v>
      </c>
    </row>
    <row r="76" spans="1:6" x14ac:dyDescent="0.25">
      <c r="A76" s="101">
        <v>72</v>
      </c>
      <c r="B76" s="192">
        <f t="shared" si="4"/>
        <v>0.13833322581950183</v>
      </c>
      <c r="C76" s="193">
        <f t="shared" si="5"/>
        <v>1.9136081365629286E-2</v>
      </c>
      <c r="D76" s="192">
        <f t="shared" si="6"/>
        <v>0.23839428890774508</v>
      </c>
      <c r="E76" s="192">
        <f t="shared" si="7"/>
        <v>0.13833322581950183</v>
      </c>
      <c r="F76" s="192">
        <v>0.14425214389068805</v>
      </c>
    </row>
    <row r="77" spans="1:6" x14ac:dyDescent="0.25">
      <c r="A77" s="101">
        <v>73</v>
      </c>
      <c r="B77" s="192">
        <f t="shared" si="4"/>
        <v>0.14425214389068805</v>
      </c>
      <c r="C77" s="193">
        <f t="shared" si="5"/>
        <v>2.0808681017059769E-2</v>
      </c>
      <c r="D77" s="192">
        <f t="shared" si="6"/>
        <v>0.24688692574725654</v>
      </c>
      <c r="E77" s="192">
        <f t="shared" si="7"/>
        <v>0.14425214389068805</v>
      </c>
      <c r="F77" s="192">
        <v>0.15038011836161252</v>
      </c>
    </row>
    <row r="78" spans="1:6" x14ac:dyDescent="0.25">
      <c r="A78" s="101">
        <v>74</v>
      </c>
      <c r="B78" s="192">
        <f t="shared" si="4"/>
        <v>0.15038011836161252</v>
      </c>
      <c r="C78" s="193">
        <f t="shared" si="5"/>
        <v>2.2614179998452593E-2</v>
      </c>
      <c r="D78" s="192">
        <f t="shared" si="6"/>
        <v>0.25553187672631988</v>
      </c>
      <c r="E78" s="192">
        <f t="shared" si="7"/>
        <v>0.15038011836161252</v>
      </c>
      <c r="F78" s="192">
        <v>0.15672074010734011</v>
      </c>
    </row>
    <row r="79" spans="1:6" x14ac:dyDescent="0.25">
      <c r="A79" s="101">
        <v>75</v>
      </c>
      <c r="B79" s="192">
        <f t="shared" si="4"/>
        <v>0.15672074010734011</v>
      </c>
      <c r="C79" s="193">
        <f t="shared" si="5"/>
        <v>2.4561390379792443E-2</v>
      </c>
      <c r="D79" s="192">
        <f t="shared" si="6"/>
        <v>0.26431869945509534</v>
      </c>
      <c r="E79" s="192">
        <f t="shared" si="7"/>
        <v>0.15672074010734011</v>
      </c>
      <c r="F79" s="192">
        <v>0.16327732991336841</v>
      </c>
    </row>
    <row r="80" spans="1:6" x14ac:dyDescent="0.25">
      <c r="A80" s="101">
        <v>76</v>
      </c>
      <c r="B80" s="192">
        <f t="shared" si="4"/>
        <v>0.16327732991336841</v>
      </c>
      <c r="C80" s="193">
        <f t="shared" si="5"/>
        <v>2.665948646363895E-2</v>
      </c>
      <c r="D80" s="192">
        <f t="shared" si="6"/>
        <v>0.27323568689945893</v>
      </c>
      <c r="E80" s="192">
        <f t="shared" si="7"/>
        <v>0.16327732991336841</v>
      </c>
      <c r="F80" s="192">
        <v>0.17005290717763827</v>
      </c>
    </row>
    <row r="81" spans="1:6" x14ac:dyDescent="0.25">
      <c r="A81" s="101">
        <v>77</v>
      </c>
      <c r="B81" s="192">
        <f t="shared" si="4"/>
        <v>0.17005290717763827</v>
      </c>
      <c r="C81" s="193">
        <f t="shared" si="5"/>
        <v>2.8917991239566457E-2</v>
      </c>
      <c r="D81" s="192">
        <f t="shared" si="6"/>
        <v>0.28226983187614363</v>
      </c>
      <c r="E81" s="192">
        <f t="shared" si="7"/>
        <v>0.17005290717763827</v>
      </c>
      <c r="F81" s="192">
        <v>0.17705015783372596</v>
      </c>
    </row>
    <row r="82" spans="1:6" x14ac:dyDescent="0.25">
      <c r="A82" s="101">
        <v>78</v>
      </c>
      <c r="B82" s="192">
        <f t="shared" si="4"/>
        <v>0.17705015783372596</v>
      </c>
      <c r="C82" s="193">
        <f t="shared" si="5"/>
        <v>3.1346758388947273E-2</v>
      </c>
      <c r="D82" s="192">
        <f t="shared" si="6"/>
        <v>0.29140679888955734</v>
      </c>
      <c r="E82" s="192">
        <f t="shared" si="7"/>
        <v>0.17705015783372594</v>
      </c>
      <c r="F82" s="192">
        <v>0.18427140168775927</v>
      </c>
    </row>
    <row r="83" spans="1:6" x14ac:dyDescent="0.25">
      <c r="A83" s="101">
        <v>79</v>
      </c>
      <c r="B83" s="192">
        <f t="shared" si="4"/>
        <v>0.18427140168775927</v>
      </c>
      <c r="C83" s="193">
        <f t="shared" si="5"/>
        <v>3.3955949479971527E-2</v>
      </c>
      <c r="D83" s="192">
        <f t="shared" si="6"/>
        <v>0.3006309044155755</v>
      </c>
      <c r="E83" s="192">
        <f t="shared" si="7"/>
        <v>0.18427140168775927</v>
      </c>
      <c r="F83" s="192">
        <v>0.19171855938874116</v>
      </c>
    </row>
    <row r="84" spans="1:6" x14ac:dyDescent="0.25">
      <c r="A84" s="101">
        <v>80</v>
      </c>
      <c r="B84" s="192">
        <f t="shared" si="4"/>
        <v>0.19171855938874116</v>
      </c>
      <c r="C84" s="193">
        <f t="shared" si="5"/>
        <v>3.6756006014094268E-2</v>
      </c>
      <c r="D84" s="192">
        <f t="shared" si="6"/>
        <v>0.3099251067492938</v>
      </c>
      <c r="E84" s="192">
        <f t="shared" si="7"/>
        <v>0.19171855938874116</v>
      </c>
      <c r="F84" s="192">
        <v>0.19939311927916678</v>
      </c>
    </row>
    <row r="85" spans="1:6" x14ac:dyDescent="0.25">
      <c r="A85" s="101">
        <v>81</v>
      </c>
      <c r="B85" s="192">
        <f t="shared" si="4"/>
        <v>0.19939311927916678</v>
      </c>
      <c r="C85" s="193">
        <f t="shared" si="5"/>
        <v>3.9757616015876032E-2</v>
      </c>
      <c r="D85" s="192">
        <f t="shared" si="6"/>
        <v>0.31927100652658147</v>
      </c>
      <c r="E85" s="192">
        <f t="shared" si="7"/>
        <v>0.19939311927916675</v>
      </c>
      <c r="F85" s="192">
        <v>0.20729610439959237</v>
      </c>
    </row>
    <row r="86" spans="1:6" x14ac:dyDescent="0.25">
      <c r="A86" s="101">
        <v>82</v>
      </c>
      <c r="B86" s="192">
        <f t="shared" si="4"/>
        <v>0.20729610439959237</v>
      </c>
      <c r="C86" s="193">
        <f t="shared" si="5"/>
        <v>4.2971674899246699E-2</v>
      </c>
      <c r="D86" s="192">
        <f t="shared" si="6"/>
        <v>0.32864885900069135</v>
      </c>
      <c r="E86" s="192">
        <f t="shared" si="7"/>
        <v>0.20729610439959237</v>
      </c>
      <c r="F86" s="192">
        <v>0.21542803994660345</v>
      </c>
    </row>
    <row r="87" spans="1:6" x14ac:dyDescent="0.25">
      <c r="A87" s="101">
        <v>83</v>
      </c>
      <c r="B87" s="192">
        <f t="shared" si="4"/>
        <v>0.21542803994660345</v>
      </c>
      <c r="C87" s="193">
        <f t="shared" si="5"/>
        <v>4.640924039523537E-2</v>
      </c>
      <c r="D87" s="192">
        <f t="shared" si="6"/>
        <v>0.33803759910273617</v>
      </c>
      <c r="E87" s="192">
        <f t="shared" si="7"/>
        <v>0.21542803994660345</v>
      </c>
      <c r="F87" s="192">
        <v>0.2237889215078239</v>
      </c>
    </row>
    <row r="88" spans="1:6" x14ac:dyDescent="0.25">
      <c r="A88" s="101">
        <v>84</v>
      </c>
      <c r="B88" s="192">
        <f t="shared" si="4"/>
        <v>0.2237889215078239</v>
      </c>
      <c r="C88" s="193">
        <f t="shared" si="5"/>
        <v>5.0081481389634967E-2</v>
      </c>
      <c r="D88" s="192">
        <f t="shared" si="6"/>
        <v>0.34741488023637784</v>
      </c>
      <c r="E88" s="192">
        <f t="shared" si="7"/>
        <v>0.2237889215078239</v>
      </c>
      <c r="F88" s="192">
        <v>0.23237818441955518</v>
      </c>
    </row>
    <row r="89" spans="1:6" x14ac:dyDescent="0.25">
      <c r="A89" s="101">
        <v>85</v>
      </c>
      <c r="B89" s="192">
        <f t="shared" si="4"/>
        <v>0.23237818441955518</v>
      </c>
      <c r="C89" s="193">
        <f t="shared" si="5"/>
        <v>5.39996205941288E-2</v>
      </c>
      <c r="D89" s="192">
        <f t="shared" si="6"/>
        <v>0.35675712765085277</v>
      </c>
      <c r="E89" s="192">
        <f t="shared" si="7"/>
        <v>0.23237818441955518</v>
      </c>
      <c r="F89" s="192">
        <v>0.24119467461163707</v>
      </c>
    </row>
    <row r="90" spans="1:6" x14ac:dyDescent="0.25">
      <c r="A90" s="101">
        <v>86</v>
      </c>
      <c r="B90" s="192">
        <f t="shared" si="4"/>
        <v>0.24119467461163707</v>
      </c>
      <c r="C90" s="193">
        <f t="shared" si="5"/>
        <v>5.8174871061013482E-2</v>
      </c>
      <c r="D90" s="192">
        <f t="shared" si="6"/>
        <v>0.36603960710124717</v>
      </c>
      <c r="E90" s="192">
        <f t="shared" si="7"/>
        <v>0.24119467461163707</v>
      </c>
      <c r="F90" s="192">
        <v>0.25023662131946578</v>
      </c>
    </row>
    <row r="91" spans="1:6" x14ac:dyDescent="0.25">
      <c r="A91" s="101">
        <v>87</v>
      </c>
      <c r="B91" s="192">
        <f t="shared" si="4"/>
        <v>0.25023662131946578</v>
      </c>
      <c r="C91" s="193">
        <f t="shared" si="5"/>
        <v>6.261836664938171E-2</v>
      </c>
      <c r="D91" s="192">
        <f t="shared" si="6"/>
        <v>0.37523650934016811</v>
      </c>
      <c r="E91" s="192">
        <f t="shared" si="7"/>
        <v>0.25023662131946578</v>
      </c>
      <c r="F91" s="192">
        <v>0.2595016120540708</v>
      </c>
    </row>
    <row r="92" spans="1:6" x14ac:dyDescent="0.25">
      <c r="A92" s="101">
        <v>88</v>
      </c>
      <c r="B92" s="192">
        <f t="shared" si="4"/>
        <v>0.2595016120540708</v>
      </c>
      <c r="C92" s="193">
        <f t="shared" si="5"/>
        <v>6.7341086658661467E-2</v>
      </c>
      <c r="D92" s="192">
        <f t="shared" si="6"/>
        <v>0.38432105079081869</v>
      </c>
      <c r="E92" s="192">
        <f t="shared" si="7"/>
        <v>0.2595016120540708</v>
      </c>
      <c r="F92" s="192">
        <v>0.26898657022703376</v>
      </c>
    </row>
    <row r="93" spans="1:6" x14ac:dyDescent="0.25">
      <c r="A93" s="101">
        <v>89</v>
      </c>
      <c r="B93" s="192">
        <f t="shared" si="4"/>
        <v>0.26898657022703376</v>
      </c>
      <c r="C93" s="193">
        <f t="shared" si="5"/>
        <v>7.2353774962502962E-2</v>
      </c>
      <c r="D93" s="192">
        <f t="shared" si="6"/>
        <v>0.39326559052906157</v>
      </c>
      <c r="E93" s="192">
        <f t="shared" si="7"/>
        <v>0.26898657022703376</v>
      </c>
      <c r="F93" s="192">
        <v>0.27868773582716116</v>
      </c>
    </row>
    <row r="94" spans="1:6" x14ac:dyDescent="0.25">
      <c r="A94" s="101">
        <v>90</v>
      </c>
      <c r="B94" s="192">
        <f t="shared" si="4"/>
        <v>0.27868773582716116</v>
      </c>
      <c r="C94" s="193">
        <f t="shared" si="5"/>
        <v>7.7666854100469571E-2</v>
      </c>
      <c r="D94" s="192">
        <f t="shared" si="6"/>
        <v>0.40204176345338322</v>
      </c>
      <c r="E94" s="192">
        <f t="shared" si="7"/>
        <v>0.27868773582716116</v>
      </c>
      <c r="F94" s="192">
        <v>0.28860064953959724</v>
      </c>
    </row>
    <row r="95" spans="1:6" x14ac:dyDescent="0.25">
      <c r="A95" s="101">
        <v>91</v>
      </c>
      <c r="B95" s="192">
        <f t="shared" si="4"/>
        <v>0.28860064953959724</v>
      </c>
      <c r="C95" s="193">
        <f t="shared" si="5"/>
        <v>8.3290334914677425E-2</v>
      </c>
      <c r="D95" s="192">
        <f t="shared" si="6"/>
        <v>0.41062062924983966</v>
      </c>
      <c r="E95" s="192">
        <f t="shared" si="7"/>
        <v>0.28860064953959724</v>
      </c>
      <c r="F95" s="192">
        <v>0.29872014068496505</v>
      </c>
    </row>
    <row r="96" spans="1:6" x14ac:dyDescent="0.25">
      <c r="A96" s="101">
        <v>92</v>
      </c>
      <c r="B96" s="192">
        <f t="shared" si="4"/>
        <v>0.29872014068496505</v>
      </c>
      <c r="C96" s="193">
        <f t="shared" si="5"/>
        <v>8.9233722450845307E-2</v>
      </c>
      <c r="D96" s="192">
        <f t="shared" si="6"/>
        <v>0.41897283646823946</v>
      </c>
      <c r="E96" s="192">
        <f t="shared" si="7"/>
        <v>0.29872014068496505</v>
      </c>
      <c r="F96" s="192">
        <v>0.30904031933574821</v>
      </c>
    </row>
    <row r="97" spans="1:6" x14ac:dyDescent="0.25">
      <c r="A97" s="101">
        <v>93</v>
      </c>
      <c r="B97" s="192">
        <f t="shared" si="4"/>
        <v>0.30904031933574821</v>
      </c>
      <c r="C97" s="193">
        <f t="shared" si="5"/>
        <v>9.5505918975141227E-2</v>
      </c>
      <c r="D97" s="192">
        <f t="shared" si="6"/>
        <v>0.42706880072121395</v>
      </c>
      <c r="E97" s="192">
        <f t="shared" si="7"/>
        <v>0.30904031933574821</v>
      </c>
      <c r="F97" s="192">
        <v>0.31955457293921891</v>
      </c>
    </row>
    <row r="98" spans="1:6" x14ac:dyDescent="0.25">
      <c r="A98" s="101">
        <v>94</v>
      </c>
      <c r="B98" s="192">
        <f t="shared" si="4"/>
        <v>0.31955457293921891</v>
      </c>
      <c r="C98" s="193">
        <f t="shared" si="5"/>
        <v>0.10211512508636658</v>
      </c>
      <c r="D98" s="192">
        <f t="shared" si="6"/>
        <v>0.4348788957057047</v>
      </c>
      <c r="E98" s="192">
        <f t="shared" si="7"/>
        <v>0.31955457293921896</v>
      </c>
      <c r="F98" s="192">
        <v>0.33025556774067144</v>
      </c>
    </row>
    <row r="99" spans="1:6" x14ac:dyDescent="0.25">
      <c r="A99" s="101">
        <v>95</v>
      </c>
      <c r="B99" s="192">
        <f t="shared" si="4"/>
        <v>0.33025556774067144</v>
      </c>
      <c r="C99" s="193">
        <f t="shared" si="5"/>
        <v>0.10906874002371322</v>
      </c>
      <c r="D99" s="192">
        <f t="shared" si="6"/>
        <v>0.44237365543391644</v>
      </c>
      <c r="E99" s="192">
        <f t="shared" si="7"/>
        <v>0.33025556774067144</v>
      </c>
      <c r="F99" s="192">
        <v>0.34113525525763161</v>
      </c>
    </row>
    <row r="100" spans="1:6" x14ac:dyDescent="0.25">
      <c r="A100" s="101">
        <v>96</v>
      </c>
      <c r="B100" s="192">
        <f t="shared" si="4"/>
        <v>0.34113525525763161</v>
      </c>
      <c r="C100" s="193">
        <f t="shared" si="5"/>
        <v>0.11637326237968948</v>
      </c>
      <c r="D100" s="192">
        <f t="shared" si="6"/>
        <v>0.44952398575588426</v>
      </c>
      <c r="E100" s="192">
        <f t="shared" si="7"/>
        <v>0.34113525525763161</v>
      </c>
      <c r="F100" s="192">
        <v>0.35218488400536085</v>
      </c>
    </row>
    <row r="101" spans="1:6" x14ac:dyDescent="0.25">
      <c r="A101" s="101">
        <v>97</v>
      </c>
      <c r="B101" s="192">
        <f t="shared" si="4"/>
        <v>0.35218488400536085</v>
      </c>
      <c r="C101" s="193">
        <f t="shared" si="5"/>
        <v>0.12403419252186948</v>
      </c>
      <c r="D101" s="192">
        <f t="shared" si="6"/>
        <v>0.45630138296698275</v>
      </c>
      <c r="E101" s="192">
        <f t="shared" si="7"/>
        <v>0.35218488400536085</v>
      </c>
      <c r="F101" s="192">
        <v>0.36339501661686213</v>
      </c>
    </row>
    <row r="102" spans="1:6" x14ac:dyDescent="0.25">
      <c r="A102" s="101">
        <v>98</v>
      </c>
      <c r="B102" s="192">
        <f t="shared" si="4"/>
        <v>0.36339501661686213</v>
      </c>
      <c r="C102" s="193">
        <f t="shared" si="5"/>
        <v>0.1320559381019695</v>
      </c>
      <c r="D102" s="192">
        <f t="shared" si="6"/>
        <v>0.46267815702978526</v>
      </c>
      <c r="E102" s="192">
        <f t="shared" si="7"/>
        <v>0.36339501661686213</v>
      </c>
      <c r="F102" s="192">
        <v>0.37475555243744196</v>
      </c>
    </row>
    <row r="103" spans="1:6" x14ac:dyDescent="0.25">
      <c r="A103" s="101">
        <v>99</v>
      </c>
      <c r="B103" s="192">
        <f t="shared" si="4"/>
        <v>0.37475555243744196</v>
      </c>
      <c r="C103" s="193">
        <f t="shared" si="5"/>
        <v>0.14044172408269232</v>
      </c>
      <c r="D103" s="192">
        <f t="shared" si="6"/>
        <v>0.4686276567094993</v>
      </c>
      <c r="E103" s="192">
        <f t="shared" si="7"/>
        <v>0.37475555243744196</v>
      </c>
      <c r="F103" s="192">
        <v>0.38625575560560804</v>
      </c>
    </row>
    <row r="104" spans="1:6" x14ac:dyDescent="0.25">
      <c r="A104" s="101">
        <v>100</v>
      </c>
      <c r="B104" s="192">
        <f t="shared" si="4"/>
        <v>0.38625575560560804</v>
      </c>
      <c r="C104" s="193">
        <f t="shared" si="5"/>
        <v>0.14919350873845921</v>
      </c>
      <c r="D104" s="192">
        <f t="shared" si="6"/>
        <v>0.4741244937342976</v>
      </c>
      <c r="E104" s="192">
        <f t="shared" si="7"/>
        <v>0.38625575560560799</v>
      </c>
      <c r="F104" s="192">
        <v>0.39788428855982466</v>
      </c>
    </row>
    <row r="105" spans="1:6" x14ac:dyDescent="0.25">
      <c r="A105" s="101">
        <v>101</v>
      </c>
      <c r="B105" s="192">
        <f t="shared" si="4"/>
        <v>0.39788428855982466</v>
      </c>
      <c r="C105" s="193">
        <f t="shared" si="5"/>
        <v>0.15831190708275783</v>
      </c>
      <c r="D105" s="192">
        <f t="shared" si="6"/>
        <v>0.47914476295413372</v>
      </c>
      <c r="E105" s="192">
        <f t="shared" si="7"/>
        <v>0.39788428855982472</v>
      </c>
      <c r="F105" s="192">
        <v>0.40962925083571294</v>
      </c>
    </row>
    <row r="106" spans="1:6" x14ac:dyDescent="0.25">
      <c r="A106" s="101">
        <v>102</v>
      </c>
      <c r="B106" s="192">
        <f t="shared" si="4"/>
        <v>0.40962925083571294</v>
      </c>
      <c r="C106" s="193">
        <f t="shared" si="5"/>
        <v>0.16779612314022743</v>
      </c>
      <c r="D106" s="192">
        <f t="shared" si="6"/>
        <v>0.48366625539097108</v>
      </c>
      <c r="E106" s="192">
        <f t="shared" si="7"/>
        <v>0.409629250835713</v>
      </c>
      <c r="F106" s="192">
        <v>0.421478222942131</v>
      </c>
    </row>
    <row r="107" spans="1:6" x14ac:dyDescent="0.25">
      <c r="A107" s="101">
        <v>103</v>
      </c>
      <c r="B107" s="192">
        <f t="shared" si="4"/>
        <v>0.421478222942131</v>
      </c>
      <c r="C107" s="193">
        <f t="shared" si="5"/>
        <v>0.17764389241445669</v>
      </c>
      <c r="D107" s="192">
        <f t="shared" si="6"/>
        <v>0.48766866105534862</v>
      </c>
      <c r="E107" s="192">
        <f t="shared" si="7"/>
        <v>0.421478222942131</v>
      </c>
      <c r="F107" s="192">
        <v>0.43341831502879213</v>
      </c>
    </row>
    <row r="108" spans="1:6" x14ac:dyDescent="0.25">
      <c r="A108" s="101">
        <v>104</v>
      </c>
      <c r="B108" s="192">
        <f t="shared" si="4"/>
        <v>0.43341831502879213</v>
      </c>
      <c r="C108" s="193">
        <f t="shared" si="5"/>
        <v>0.1878514358023973</v>
      </c>
      <c r="D108" s="192">
        <f t="shared" si="6"/>
        <v>0.49113375845278967</v>
      </c>
      <c r="E108" s="192">
        <f t="shared" si="7"/>
        <v>0.43341831502879213</v>
      </c>
      <c r="F108" s="192">
        <v>0.44543621998431204</v>
      </c>
    </row>
    <row r="109" spans="1:6" x14ac:dyDescent="0.25">
      <c r="A109" s="101">
        <v>105</v>
      </c>
      <c r="B109" s="192">
        <f t="shared" si="4"/>
        <v>0.44543621998431204</v>
      </c>
      <c r="C109" s="193">
        <f t="shared" si="5"/>
        <v>0.19841342607391244</v>
      </c>
      <c r="D109" s="192">
        <f t="shared" si="6"/>
        <v>0.49404558782079921</v>
      </c>
      <c r="E109" s="192">
        <f t="shared" si="7"/>
        <v>0.44543621998431204</v>
      </c>
      <c r="F109" s="192">
        <v>0.45751827053351712</v>
      </c>
    </row>
    <row r="110" spans="1:6" x14ac:dyDescent="0.25">
      <c r="A110" s="101">
        <v>106</v>
      </c>
      <c r="B110" s="192">
        <f t="shared" si="4"/>
        <v>0.45751827053351712</v>
      </c>
      <c r="C110" s="193">
        <f t="shared" si="5"/>
        <v>0.20932296787198057</v>
      </c>
      <c r="D110" s="192">
        <f t="shared" si="6"/>
        <v>0.49639060532307311</v>
      </c>
      <c r="E110" s="192">
        <f t="shared" si="7"/>
        <v>0.45751827053351712</v>
      </c>
      <c r="F110" s="192">
        <v>0.46965049983813573</v>
      </c>
    </row>
    <row r="111" spans="1:6" x14ac:dyDescent="0.25">
      <c r="A111" s="101">
        <v>107</v>
      </c>
      <c r="B111" s="192">
        <f t="shared" si="4"/>
        <v>0.46965049983813573</v>
      </c>
      <c r="C111" s="193">
        <f t="shared" si="5"/>
        <v>0.22057159199821072</v>
      </c>
      <c r="D111" s="192">
        <f t="shared" si="6"/>
        <v>0.49815781567985007</v>
      </c>
      <c r="E111" s="192">
        <f t="shared" si="7"/>
        <v>0.46965049983813578</v>
      </c>
      <c r="F111" s="192">
        <v>0.48181870504720342</v>
      </c>
    </row>
    <row r="112" spans="1:6" x14ac:dyDescent="0.25">
      <c r="A112" s="101">
        <v>108</v>
      </c>
      <c r="B112" s="192">
        <f t="shared" si="4"/>
        <v>0.48181870504720342</v>
      </c>
      <c r="C112" s="193">
        <f t="shared" si="5"/>
        <v>0.23214926453336401</v>
      </c>
      <c r="D112" s="192">
        <f t="shared" si="6"/>
        <v>0.49933888102767887</v>
      </c>
      <c r="E112" s="192">
        <f t="shared" si="7"/>
        <v>0.48181870504720348</v>
      </c>
      <c r="F112" s="192">
        <v>0.49400851319409012</v>
      </c>
    </row>
    <row r="113" spans="1:6" x14ac:dyDescent="0.25">
      <c r="A113" s="101">
        <v>109</v>
      </c>
      <c r="B113" s="192">
        <f t="shared" si="4"/>
        <v>0.49400851319409012</v>
      </c>
      <c r="C113" s="193">
        <f t="shared" si="5"/>
        <v>0.24404441110823552</v>
      </c>
      <c r="D113" s="192">
        <f t="shared" si="6"/>
        <v>0.49992820417170919</v>
      </c>
      <c r="E113" s="192">
        <f t="shared" si="7"/>
        <v>0.49400851319409012</v>
      </c>
      <c r="F113" s="192">
        <v>0.50620544879724105</v>
      </c>
    </row>
    <row r="114" spans="1:6" x14ac:dyDescent="0.25">
      <c r="A114" s="101">
        <v>110</v>
      </c>
      <c r="B114" s="192">
        <f t="shared" si="4"/>
        <v>0.50620544879724105</v>
      </c>
      <c r="C114" s="193">
        <f t="shared" si="5"/>
        <v>0.25624395639201625</v>
      </c>
      <c r="D114" s="192">
        <f t="shared" si="6"/>
        <v>0.49992298481044967</v>
      </c>
      <c r="E114" s="192">
        <f t="shared" si="7"/>
        <v>0.50620544879724105</v>
      </c>
      <c r="F114" s="192">
        <v>0.51839500249255366</v>
      </c>
    </row>
    <row r="115" spans="1:6" x14ac:dyDescent="0.25">
      <c r="A115" s="101">
        <v>111</v>
      </c>
      <c r="B115" s="192">
        <f t="shared" si="4"/>
        <v>0.51839500249255366</v>
      </c>
      <c r="C115" s="193">
        <f t="shared" si="5"/>
        <v>0.26873337860925472</v>
      </c>
      <c r="D115" s="192">
        <f t="shared" si="6"/>
        <v>0.49932324776659787</v>
      </c>
      <c r="E115" s="192">
        <f t="shared" si="7"/>
        <v>0.51839500249255366</v>
      </c>
      <c r="F115" s="192">
        <v>0.53056270000753813</v>
      </c>
    </row>
    <row r="116" spans="1:6" x14ac:dyDescent="0.25">
      <c r="A116" s="101">
        <v>112</v>
      </c>
      <c r="B116" s="192">
        <f t="shared" si="4"/>
        <v>0.53056270000753813</v>
      </c>
      <c r="C116" s="193">
        <f t="shared" si="5"/>
        <v>0.2814967786392889</v>
      </c>
      <c r="D116" s="192">
        <f t="shared" si="6"/>
        <v>0.49813184273649846</v>
      </c>
      <c r="E116" s="192">
        <f t="shared" si="7"/>
        <v>0.53056270000753813</v>
      </c>
      <c r="F116" s="192">
        <v>0.54269417078150572</v>
      </c>
    </row>
    <row r="117" spans="1:6" x14ac:dyDescent="0.25">
      <c r="A117" s="101">
        <v>113</v>
      </c>
      <c r="B117" s="192">
        <f t="shared" si="4"/>
        <v>0.54269417078150572</v>
      </c>
      <c r="C117" s="193">
        <f t="shared" si="5"/>
        <v>0.29451696300022612</v>
      </c>
      <c r="D117" s="192">
        <f t="shared" si="6"/>
        <v>0.49635441556255927</v>
      </c>
      <c r="E117" s="192">
        <f t="shared" si="7"/>
        <v>0.54269417078150572</v>
      </c>
      <c r="F117" s="192">
        <v>0.55477521554214237</v>
      </c>
    </row>
    <row r="118" spans="1:6" x14ac:dyDescent="0.25">
      <c r="A118" s="101">
        <v>114</v>
      </c>
      <c r="B118" s="192">
        <f t="shared" si="4"/>
        <v>0.55477521554214237</v>
      </c>
      <c r="C118" s="193">
        <f t="shared" si="5"/>
        <v>0.30777553977983052</v>
      </c>
      <c r="D118" s="192">
        <f t="shared" si="6"/>
        <v>0.49399935152462371</v>
      </c>
      <c r="E118" s="192">
        <f t="shared" si="7"/>
        <v>0.55477521554214237</v>
      </c>
      <c r="F118" s="192">
        <v>0.56679187216680582</v>
      </c>
    </row>
    <row r="119" spans="1:6" x14ac:dyDescent="0.25">
      <c r="A119" s="101">
        <v>115</v>
      </c>
      <c r="B119" s="192">
        <f t="shared" si="4"/>
        <v>0.56679187216680582</v>
      </c>
      <c r="C119" s="193">
        <f t="shared" si="5"/>
        <v>0.32125302635435277</v>
      </c>
      <c r="D119" s="192">
        <f t="shared" si="6"/>
        <v>0.49107769162490617</v>
      </c>
      <c r="E119" s="192">
        <f t="shared" si="7"/>
        <v>0.56679187216680582</v>
      </c>
      <c r="F119" s="192">
        <v>0.57873047918624776</v>
      </c>
    </row>
    <row r="120" spans="1:6" x14ac:dyDescent="0.25">
      <c r="A120" s="101">
        <v>116</v>
      </c>
      <c r="B120" s="192">
        <f t="shared" si="4"/>
        <v>0.57873047918624776</v>
      </c>
      <c r="C120" s="193">
        <f t="shared" si="5"/>
        <v>0.33492896753914397</v>
      </c>
      <c r="D120" s="192">
        <f t="shared" si="6"/>
        <v>0.48760302329420763</v>
      </c>
      <c r="E120" s="192">
        <f t="shared" si="7"/>
        <v>0.57873047918624776</v>
      </c>
      <c r="F120" s="192">
        <v>0.59057773632845545</v>
      </c>
    </row>
    <row r="121" spans="1:6" x14ac:dyDescent="0.25">
      <c r="A121" s="101">
        <v>117</v>
      </c>
      <c r="B121" s="192">
        <f t="shared" si="4"/>
        <v>0.59057773632845545</v>
      </c>
      <c r="C121" s="193">
        <f t="shared" si="5"/>
        <v>0.34878206264684264</v>
      </c>
      <c r="D121" s="192">
        <f t="shared" si="6"/>
        <v>0.48359134736322562</v>
      </c>
      <c r="E121" s="192">
        <f t="shared" si="7"/>
        <v>0.59057773632845545</v>
      </c>
      <c r="F121" s="192">
        <v>0.60232076154989</v>
      </c>
    </row>
    <row r="122" spans="1:6" x14ac:dyDescent="0.25">
      <c r="A122" s="101">
        <v>118</v>
      </c>
      <c r="B122" s="192">
        <f t="shared" si="4"/>
        <v>0.60232076154989</v>
      </c>
      <c r="C122" s="193">
        <f t="shared" si="5"/>
        <v>0.36279029979403943</v>
      </c>
      <c r="D122" s="192">
        <f t="shared" si="6"/>
        <v>0.4790609235117011</v>
      </c>
      <c r="E122" s="192">
        <f t="shared" si="7"/>
        <v>0.60232076154989</v>
      </c>
      <c r="F122" s="192">
        <v>0.61394714405932482</v>
      </c>
    </row>
    <row r="123" spans="1:6" x14ac:dyDescent="0.25">
      <c r="A123" s="101">
        <v>119</v>
      </c>
      <c r="B123" s="192">
        <f t="shared" si="4"/>
        <v>0.61394714405932482</v>
      </c>
      <c r="C123" s="193">
        <f t="shared" si="5"/>
        <v>0.37693109569860134</v>
      </c>
      <c r="D123" s="192">
        <f t="shared" si="6"/>
        <v>0.47403209672144697</v>
      </c>
      <c r="E123" s="192">
        <f t="shared" si="7"/>
        <v>0.61394714405932482</v>
      </c>
      <c r="F123" s="192">
        <v>0.62544499290430111</v>
      </c>
    </row>
    <row r="124" spans="1:6" x14ac:dyDescent="0.25">
      <c r="A124" s="101">
        <v>120</v>
      </c>
      <c r="B124" s="192">
        <f t="shared" si="4"/>
        <v>0.62544499290430111</v>
      </c>
      <c r="C124" s="193">
        <f t="shared" si="5"/>
        <v>0.39118143914906128</v>
      </c>
      <c r="D124" s="192">
        <f t="shared" si="6"/>
        <v>0.46852710751047971</v>
      </c>
      <c r="E124" s="192">
        <f t="shared" si="7"/>
        <v>0.62544499290430111</v>
      </c>
      <c r="F124" s="192">
        <v>0.63680298076036113</v>
      </c>
    </row>
    <row r="125" spans="1:6" x14ac:dyDescent="0.25">
      <c r="A125" s="101">
        <v>121</v>
      </c>
      <c r="B125" s="192">
        <f t="shared" si="4"/>
        <v>0.63680298076036113</v>
      </c>
      <c r="C125" s="193">
        <f t="shared" si="5"/>
        <v>0.40551803630528088</v>
      </c>
      <c r="D125" s="192">
        <f t="shared" si="6"/>
        <v>0.46256988891016054</v>
      </c>
      <c r="E125" s="192">
        <f t="shared" si="7"/>
        <v>0.63680298076036113</v>
      </c>
      <c r="F125" s="192">
        <v>0.64801038263703303</v>
      </c>
    </row>
    <row r="126" spans="1:6" x14ac:dyDescent="0.25">
      <c r="A126" s="101">
        <v>122</v>
      </c>
      <c r="B126" s="192">
        <f t="shared" si="4"/>
        <v>0.64801038263703303</v>
      </c>
      <c r="C126" s="193">
        <f t="shared" si="5"/>
        <v>0.41991745600539399</v>
      </c>
      <c r="D126" s="192">
        <f t="shared" si="6"/>
        <v>0.45618585326327815</v>
      </c>
      <c r="E126" s="192">
        <f t="shared" si="7"/>
        <v>0.64801038263703303</v>
      </c>
      <c r="F126" s="192">
        <v>0.65905710929034012</v>
      </c>
    </row>
    <row r="127" spans="1:6" x14ac:dyDescent="0.25">
      <c r="A127" s="101">
        <v>123</v>
      </c>
      <c r="B127" s="192">
        <f t="shared" si="4"/>
        <v>0.65905710929034012</v>
      </c>
      <c r="C127" s="193">
        <f t="shared" si="5"/>
        <v>0.4343562733061393</v>
      </c>
      <c r="D127" s="192">
        <f t="shared" si="6"/>
        <v>0.44940167196840158</v>
      </c>
      <c r="E127" s="192">
        <f t="shared" si="7"/>
        <v>0.65905710929034012</v>
      </c>
      <c r="F127" s="192">
        <v>0.66993373520775201</v>
      </c>
    </row>
    <row r="128" spans="1:6" x14ac:dyDescent="0.25">
      <c r="A128" s="101">
        <v>124</v>
      </c>
      <c r="B128" s="192">
        <f t="shared" si="4"/>
        <v>0.66993373520775201</v>
      </c>
      <c r="C128" s="193">
        <f t="shared" si="5"/>
        <v>0.4488112095694104</v>
      </c>
      <c r="D128" s="192">
        <f t="shared" si="6"/>
        <v>0.44224505127668323</v>
      </c>
      <c r="E128" s="192">
        <f t="shared" si="7"/>
        <v>0.66993373520775201</v>
      </c>
      <c r="F128" s="192">
        <v>0.6806315211063928</v>
      </c>
    </row>
    <row r="129" spans="1:6" x14ac:dyDescent="0.25">
      <c r="A129" s="101">
        <v>125</v>
      </c>
      <c r="B129" s="192">
        <f t="shared" si="4"/>
        <v>0.6806315211063928</v>
      </c>
      <c r="C129" s="193">
        <f t="shared" si="5"/>
        <v>0.46325926752360203</v>
      </c>
      <c r="D129" s="192">
        <f t="shared" si="6"/>
        <v>0.43474450716558155</v>
      </c>
      <c r="E129" s="192">
        <f t="shared" si="7"/>
        <v>0.6806315211063928</v>
      </c>
      <c r="F129" s="192">
        <v>0.69114243095752304</v>
      </c>
    </row>
    <row r="130" spans="1:6" x14ac:dyDescent="0.25">
      <c r="A130" s="101">
        <v>126</v>
      </c>
      <c r="B130" s="192">
        <f t="shared" si="4"/>
        <v>0.69114243095752304</v>
      </c>
      <c r="C130" s="193">
        <f t="shared" si="5"/>
        <v>0.47767785986987449</v>
      </c>
      <c r="D130" s="192">
        <f t="shared" si="6"/>
        <v>0.42692914217529709</v>
      </c>
      <c r="E130" s="192">
        <f t="shared" si="7"/>
        <v>0.69114243095752304</v>
      </c>
      <c r="F130" s="192">
        <v>0.70145914361850537</v>
      </c>
    </row>
    <row r="131" spans="1:6" x14ac:dyDescent="0.25">
      <c r="A131" s="101">
        <v>127</v>
      </c>
      <c r="B131" s="192">
        <f t="shared" si="4"/>
        <v>0.70145914361850537</v>
      </c>
      <c r="C131" s="193">
        <f t="shared" si="5"/>
        <v>0.49204493016600692</v>
      </c>
      <c r="D131" s="192">
        <f t="shared" si="6"/>
        <v>0.41882842690499683</v>
      </c>
      <c r="E131" s="192">
        <f t="shared" si="7"/>
        <v>0.70145914361850537</v>
      </c>
      <c r="F131" s="192">
        <v>0.71157505921651554</v>
      </c>
    </row>
    <row r="132" spans="1:6" x14ac:dyDescent="0.25">
      <c r="A132" s="101">
        <v>128</v>
      </c>
      <c r="B132" s="192">
        <f t="shared" si="4"/>
        <v>0.71157505921651554</v>
      </c>
      <c r="C132" s="193">
        <f t="shared" si="5"/>
        <v>0.50633906489898761</v>
      </c>
      <c r="D132" s="192">
        <f t="shared" si="6"/>
        <v>0.41047198863505591</v>
      </c>
      <c r="E132" s="192">
        <f t="shared" si="7"/>
        <v>0.71157505921651554</v>
      </c>
      <c r="F132" s="192">
        <v>0.72148430048526202</v>
      </c>
    </row>
    <row r="133" spans="1:6" x14ac:dyDescent="0.25">
      <c r="A133" s="101">
        <v>129</v>
      </c>
      <c r="B133" s="192">
        <f t="shared" si="4"/>
        <v>0.72148430048526202</v>
      </c>
      <c r="C133" s="193">
        <f t="shared" si="5"/>
        <v>0.52053959584670784</v>
      </c>
      <c r="D133" s="192">
        <f t="shared" si="6"/>
        <v>0.40188940927710831</v>
      </c>
      <c r="E133" s="192">
        <f t="shared" si="7"/>
        <v>0.72148430048526202</v>
      </c>
      <c r="F133" s="192">
        <v>0.73118170930620496</v>
      </c>
    </row>
    <row r="134" spans="1:6" x14ac:dyDescent="0.25">
      <c r="A134" s="101">
        <v>130</v>
      </c>
      <c r="B134" s="192">
        <f t="shared" si="4"/>
        <v>0.73118170930620496</v>
      </c>
      <c r="C134" s="193">
        <f t="shared" si="5"/>
        <v>0.53462669202394364</v>
      </c>
      <c r="D134" s="192">
        <f t="shared" si="6"/>
        <v>0.3931100345645227</v>
      </c>
      <c r="E134" s="192">
        <f t="shared" si="7"/>
        <v>0.73118170930620496</v>
      </c>
      <c r="F134" s="192">
        <v>0.74066283874872152</v>
      </c>
    </row>
    <row r="135" spans="1:6" x14ac:dyDescent="0.25">
      <c r="A135" s="101">
        <v>131</v>
      </c>
      <c r="B135" s="192">
        <f t="shared" si="4"/>
        <v>0.74066283874872152</v>
      </c>
      <c r="C135" s="193">
        <f t="shared" si="5"/>
        <v>0.5485814407033146</v>
      </c>
      <c r="D135" s="192">
        <f t="shared" si="6"/>
        <v>0.38416279609081372</v>
      </c>
      <c r="E135" s="192">
        <f t="shared" si="7"/>
        <v>0.74066283874872152</v>
      </c>
      <c r="F135" s="192">
        <v>0.74992394093907899</v>
      </c>
    </row>
    <row r="136" spans="1:6" x14ac:dyDescent="0.25">
      <c r="A136" s="101">
        <v>132</v>
      </c>
      <c r="B136" s="192">
        <f t="shared" ref="B136:B199" si="8">F135</f>
        <v>0.74992394093907899</v>
      </c>
      <c r="C136" s="193">
        <f t="shared" ref="C136:C199" si="9">B136^2</f>
        <v>0.56238591719359921</v>
      </c>
      <c r="D136" s="192">
        <f t="shared" ref="D136:D199" si="10">2*B136*(1-B136)</f>
        <v>0.37507604749095952</v>
      </c>
      <c r="E136" s="192">
        <f t="shared" ref="E136:E199" si="11">C136+0.5*D136</f>
        <v>0.74992394093907899</v>
      </c>
      <c r="F136" s="192">
        <v>0.75896195111585241</v>
      </c>
    </row>
    <row r="137" spans="1:6" x14ac:dyDescent="0.25">
      <c r="A137" s="101">
        <v>133</v>
      </c>
      <c r="B137" s="192">
        <f t="shared" si="8"/>
        <v>0.75896195111585241</v>
      </c>
      <c r="C137" s="193">
        <f t="shared" si="9"/>
        <v>0.5760232432415815</v>
      </c>
      <c r="D137" s="192">
        <f t="shared" si="10"/>
        <v>0.36587741574854171</v>
      </c>
      <c r="E137" s="192">
        <f t="shared" si="11"/>
        <v>0.7589619511158523</v>
      </c>
      <c r="F137" s="192">
        <v>0.76777446824966</v>
      </c>
    </row>
    <row r="138" spans="1:6" x14ac:dyDescent="0.25">
      <c r="A138" s="101">
        <v>134</v>
      </c>
      <c r="B138" s="192">
        <f t="shared" si="8"/>
        <v>0.76777446824966</v>
      </c>
      <c r="C138" s="193">
        <f t="shared" si="9"/>
        <v>0.58947763409604814</v>
      </c>
      <c r="D138" s="192">
        <f t="shared" si="10"/>
        <v>0.35659366830722367</v>
      </c>
      <c r="E138" s="192">
        <f t="shared" si="11"/>
        <v>0.76777446824966</v>
      </c>
      <c r="F138" s="192">
        <v>0.77635973261807822</v>
      </c>
    </row>
    <row r="139" spans="1:6" x14ac:dyDescent="0.25">
      <c r="A139" s="101">
        <v>135</v>
      </c>
      <c r="B139" s="192">
        <f t="shared" si="8"/>
        <v>0.77635973261807822</v>
      </c>
      <c r="C139" s="193">
        <f t="shared" si="9"/>
        <v>0.60273443443081387</v>
      </c>
      <c r="D139" s="192">
        <f t="shared" si="10"/>
        <v>0.3472505963745286</v>
      </c>
      <c r="E139" s="192">
        <f t="shared" si="11"/>
        <v>0.77635973261807822</v>
      </c>
      <c r="F139" s="192">
        <v>0.78471660073269212</v>
      </c>
    </row>
    <row r="140" spans="1:6" x14ac:dyDescent="0.25">
      <c r="A140" s="101">
        <v>136</v>
      </c>
      <c r="B140" s="192">
        <f t="shared" si="8"/>
        <v>0.78471660073269212</v>
      </c>
      <c r="C140" s="193">
        <f t="shared" si="9"/>
        <v>0.61578014346547139</v>
      </c>
      <c r="D140" s="192">
        <f t="shared" si="10"/>
        <v>0.33787291453444157</v>
      </c>
      <c r="E140" s="192">
        <f t="shared" si="11"/>
        <v>0.78471660073269223</v>
      </c>
      <c r="F140" s="192">
        <v>0.79284451801501232</v>
      </c>
    </row>
    <row r="141" spans="1:6" x14ac:dyDescent="0.25">
      <c r="A141" s="101">
        <v>137</v>
      </c>
      <c r="B141" s="192">
        <f t="shared" si="8"/>
        <v>0.79284451801501232</v>
      </c>
      <c r="C141" s="193">
        <f t="shared" si="9"/>
        <v>0.62860242974645719</v>
      </c>
      <c r="D141" s="192">
        <f t="shared" si="10"/>
        <v>0.32848417653711026</v>
      </c>
      <c r="E141" s="192">
        <f t="shared" si="11"/>
        <v>0.79284451801501232</v>
      </c>
      <c r="F141" s="192">
        <v>0.80074348961200825</v>
      </c>
    </row>
    <row r="142" spans="1:6" x14ac:dyDescent="0.25">
      <c r="A142" s="101">
        <v>138</v>
      </c>
      <c r="B142" s="192">
        <f t="shared" si="8"/>
        <v>0.80074348961200825</v>
      </c>
      <c r="C142" s="193">
        <f t="shared" si="9"/>
        <v>0.64119013615601639</v>
      </c>
      <c r="D142" s="192">
        <f t="shared" si="10"/>
        <v>0.31910670691198378</v>
      </c>
      <c r="E142" s="192">
        <f t="shared" si="11"/>
        <v>0.80074348961200825</v>
      </c>
      <c r="F142" s="192">
        <v>0.80841404973096131</v>
      </c>
    </row>
    <row r="143" spans="1:6" x14ac:dyDescent="0.25">
      <c r="A143" s="101">
        <v>139</v>
      </c>
      <c r="B143" s="192">
        <f t="shared" si="8"/>
        <v>0.80841404973096131</v>
      </c>
      <c r="C143" s="193">
        <f t="shared" si="9"/>
        <v>0.65353327580241316</v>
      </c>
      <c r="D143" s="192">
        <f t="shared" si="10"/>
        <v>0.30976154785709625</v>
      </c>
      <c r="E143" s="192">
        <f t="shared" si="11"/>
        <v>0.80841404973096131</v>
      </c>
      <c r="F143" s="192">
        <v>0.81585722985792297</v>
      </c>
    </row>
    <row r="144" spans="1:6" x14ac:dyDescent="0.25">
      <c r="A144" s="101">
        <v>140</v>
      </c>
      <c r="B144" s="192">
        <f t="shared" si="8"/>
        <v>0.81585722985792297</v>
      </c>
      <c r="C144" s="193">
        <f t="shared" si="9"/>
        <v>0.66562301951144376</v>
      </c>
      <c r="D144" s="192">
        <f t="shared" si="10"/>
        <v>0.30046842069295843</v>
      </c>
      <c r="E144" s="192">
        <f t="shared" si="11"/>
        <v>0.81585722985792297</v>
      </c>
      <c r="F144" s="192">
        <v>0.82307452620500721</v>
      </c>
    </row>
    <row r="145" spans="1:6" x14ac:dyDescent="0.25">
      <c r="A145" s="101">
        <v>141</v>
      </c>
      <c r="B145" s="192">
        <f t="shared" si="8"/>
        <v>0.82307452620500721</v>
      </c>
      <c r="C145" s="193">
        <f t="shared" si="9"/>
        <v>0.67745167568759712</v>
      </c>
      <c r="D145" s="192">
        <f t="shared" si="10"/>
        <v>0.29124570103482023</v>
      </c>
      <c r="E145" s="192">
        <f t="shared" si="11"/>
        <v>0.82307452620500721</v>
      </c>
      <c r="F145" s="192">
        <v>0.83006786670975097</v>
      </c>
    </row>
    <row r="146" spans="1:6" x14ac:dyDescent="0.25">
      <c r="A146" s="101">
        <v>142</v>
      </c>
      <c r="B146" s="192">
        <f t="shared" si="8"/>
        <v>0.83006786670975097</v>
      </c>
      <c r="C146" s="193">
        <f t="shared" si="9"/>
        <v>0.68901266334407685</v>
      </c>
      <c r="D146" s="192">
        <f t="shared" si="10"/>
        <v>0.28211040673134813</v>
      </c>
      <c r="E146" s="192">
        <f t="shared" si="11"/>
        <v>0.83006786670975097</v>
      </c>
      <c r="F146" s="192">
        <v>0.83683957788555108</v>
      </c>
    </row>
    <row r="147" spans="1:6" x14ac:dyDescent="0.25">
      <c r="A147" s="101">
        <v>143</v>
      </c>
      <c r="B147" s="192">
        <f t="shared" si="8"/>
        <v>0.83683957788555108</v>
      </c>
      <c r="C147" s="193">
        <f t="shared" si="9"/>
        <v>0.70030047911566728</v>
      </c>
      <c r="D147" s="192">
        <f t="shared" si="10"/>
        <v>0.27307819753976753</v>
      </c>
      <c r="E147" s="192">
        <f t="shared" si="11"/>
        <v>0.83683957788555108</v>
      </c>
      <c r="F147" s="192">
        <v>0.84339235179636973</v>
      </c>
    </row>
    <row r="148" spans="1:6" x14ac:dyDescent="0.25">
      <c r="A148" s="101">
        <v>144</v>
      </c>
      <c r="B148" s="192">
        <f t="shared" si="8"/>
        <v>0.84339235179636973</v>
      </c>
      <c r="C148" s="193">
        <f t="shared" si="9"/>
        <v>0.71131065906861146</v>
      </c>
      <c r="D148" s="192">
        <f t="shared" si="10"/>
        <v>0.26416338545551649</v>
      </c>
      <c r="E148" s="192">
        <f t="shared" si="11"/>
        <v>0.84339235179636973</v>
      </c>
      <c r="F148" s="192">
        <v>0.8497292134021236</v>
      </c>
    </row>
    <row r="149" spans="1:6" x14ac:dyDescent="0.25">
      <c r="A149" s="101">
        <v>145</v>
      </c>
      <c r="B149" s="192">
        <f t="shared" si="8"/>
        <v>0.8497292134021236</v>
      </c>
      <c r="C149" s="193">
        <f t="shared" si="9"/>
        <v>0.72203973610899175</v>
      </c>
      <c r="D149" s="192">
        <f t="shared" si="10"/>
        <v>0.25537895458626381</v>
      </c>
      <c r="E149" s="192">
        <f t="shared" si="11"/>
        <v>0.84972921340212371</v>
      </c>
      <c r="F149" s="192">
        <v>0.85585348849395826</v>
      </c>
    </row>
    <row r="150" spans="1:6" x14ac:dyDescent="0.25">
      <c r="A150" s="101">
        <v>146</v>
      </c>
      <c r="B150" s="192">
        <f t="shared" si="8"/>
        <v>0.85585348849395826</v>
      </c>
      <c r="C150" s="193">
        <f t="shared" si="9"/>
        <v>0.73248519376727794</v>
      </c>
      <c r="D150" s="192">
        <f t="shared" si="10"/>
        <v>0.24673658945336063</v>
      </c>
      <c r="E150" s="192">
        <f t="shared" si="11"/>
        <v>0.85585348849395826</v>
      </c>
      <c r="F150" s="192">
        <v>0.86176877241147998</v>
      </c>
    </row>
    <row r="151" spans="1:6" x14ac:dyDescent="0.25">
      <c r="A151" s="101">
        <v>147</v>
      </c>
      <c r="B151" s="192">
        <f t="shared" si="8"/>
        <v>0.86176877241147998</v>
      </c>
      <c r="C151" s="193">
        <f t="shared" si="9"/>
        <v>0.74264541710358922</v>
      </c>
      <c r="D151" s="192">
        <f t="shared" si="10"/>
        <v>0.23824671061578162</v>
      </c>
      <c r="E151" s="192">
        <f t="shared" si="11"/>
        <v>0.86176877241147998</v>
      </c>
      <c r="F151" s="192">
        <v>0.8674788997073698</v>
      </c>
    </row>
    <row r="152" spans="1:6" x14ac:dyDescent="0.25">
      <c r="A152" s="101">
        <v>148</v>
      </c>
      <c r="B152" s="192">
        <f t="shared" si="8"/>
        <v>0.8674788997073698</v>
      </c>
      <c r="C152" s="193">
        <f t="shared" si="9"/>
        <v>0.75251964143750893</v>
      </c>
      <c r="D152" s="192">
        <f t="shared" si="10"/>
        <v>0.2299185165397217</v>
      </c>
      <c r="E152" s="192">
        <f t="shared" si="11"/>
        <v>0.8674788997073698</v>
      </c>
      <c r="F152" s="192">
        <v>0.87298791489901684</v>
      </c>
    </row>
    <row r="153" spans="1:6" x14ac:dyDescent="0.25">
      <c r="A153" s="101">
        <v>149</v>
      </c>
      <c r="B153" s="192">
        <f t="shared" si="8"/>
        <v>0.87298791489901684</v>
      </c>
      <c r="C153" s="193">
        <f t="shared" si="9"/>
        <v>0.76210789955973302</v>
      </c>
      <c r="D153" s="192">
        <f t="shared" si="10"/>
        <v>0.22176003067856756</v>
      </c>
      <c r="E153" s="192">
        <f t="shared" si="11"/>
        <v>0.87298791489901684</v>
      </c>
      <c r="F153" s="192">
        <v>0.87830004442217624</v>
      </c>
    </row>
    <row r="154" spans="1:6" x14ac:dyDescent="0.25">
      <c r="A154" s="101">
        <v>150</v>
      </c>
      <c r="B154" s="192">
        <f t="shared" si="8"/>
        <v>0.87830004442217624</v>
      </c>
      <c r="C154" s="193">
        <f t="shared" si="9"/>
        <v>0.77141096803199671</v>
      </c>
      <c r="D154" s="192">
        <f t="shared" si="10"/>
        <v>0.21377815278035897</v>
      </c>
      <c r="E154" s="192">
        <f t="shared" si="11"/>
        <v>0.87830004442217624</v>
      </c>
      <c r="F154" s="192">
        <v>0.88341966987840381</v>
      </c>
    </row>
    <row r="155" spans="1:6" x14ac:dyDescent="0.25">
      <c r="A155" s="101">
        <v>151</v>
      </c>
      <c r="B155" s="192">
        <f t="shared" si="8"/>
        <v>0.88341966987840381</v>
      </c>
      <c r="C155" s="193">
        <f t="shared" si="9"/>
        <v>0.78043031312806799</v>
      </c>
      <c r="D155" s="192">
        <f t="shared" si="10"/>
        <v>0.20597871350067168</v>
      </c>
      <c r="E155" s="192">
        <f t="shared" si="11"/>
        <v>0.88341966987840381</v>
      </c>
      <c r="F155" s="192">
        <v>0.88835130264633055</v>
      </c>
    </row>
    <row r="156" spans="1:6" x14ac:dyDescent="0.25">
      <c r="A156" s="101">
        <v>152</v>
      </c>
      <c r="B156" s="192">
        <f t="shared" si="8"/>
        <v>0.88835130264633055</v>
      </c>
      <c r="C156" s="193">
        <f t="shared" si="9"/>
        <v>0.7891680369134324</v>
      </c>
      <c r="D156" s="192">
        <f t="shared" si="10"/>
        <v>0.19836653146579633</v>
      </c>
      <c r="E156" s="192">
        <f t="shared" si="11"/>
        <v>0.88835130264633055</v>
      </c>
      <c r="F156" s="192">
        <v>0.89309955990684164</v>
      </c>
    </row>
    <row r="157" spans="1:6" x14ac:dyDescent="0.25">
      <c r="A157" s="101">
        <v>153</v>
      </c>
      <c r="B157" s="192">
        <f t="shared" si="8"/>
        <v>0.89309955990684164</v>
      </c>
      <c r="C157" s="193">
        <f t="shared" si="9"/>
        <v>0.7976268239057942</v>
      </c>
      <c r="D157" s="192">
        <f t="shared" si="10"/>
        <v>0.19094547200209483</v>
      </c>
      <c r="E157" s="192">
        <f t="shared" si="11"/>
        <v>0.89309955990684164</v>
      </c>
      <c r="F157" s="192">
        <v>0.89766914211398596</v>
      </c>
    </row>
    <row r="158" spans="1:6" x14ac:dyDescent="0.25">
      <c r="A158" s="101">
        <v>154</v>
      </c>
      <c r="B158" s="192">
        <f t="shared" si="8"/>
        <v>0.89766914211398596</v>
      </c>
      <c r="C158" s="193">
        <f t="shared" si="9"/>
        <v>0.80580988870365955</v>
      </c>
      <c r="D158" s="192">
        <f t="shared" si="10"/>
        <v>0.18371850682065288</v>
      </c>
      <c r="E158" s="192">
        <f t="shared" si="11"/>
        <v>0.89766914211398596</v>
      </c>
      <c r="F158" s="192">
        <v>0.90206481192699906</v>
      </c>
    </row>
    <row r="159" spans="1:6" x14ac:dyDescent="0.25">
      <c r="A159" s="101">
        <v>155</v>
      </c>
      <c r="B159" s="192">
        <f t="shared" si="8"/>
        <v>0.90206481192699906</v>
      </c>
      <c r="C159" s="193">
        <f t="shared" si="9"/>
        <v>0.81372092491689219</v>
      </c>
      <c r="D159" s="192">
        <f t="shared" si="10"/>
        <v>0.17668777402021377</v>
      </c>
      <c r="E159" s="192">
        <f t="shared" si="11"/>
        <v>0.90206481192699906</v>
      </c>
      <c r="F159" s="192">
        <v>0.90629137460417986</v>
      </c>
    </row>
    <row r="160" spans="1:6" x14ac:dyDescent="0.25">
      <c r="A160" s="101">
        <v>156</v>
      </c>
      <c r="B160" s="192">
        <f t="shared" si="8"/>
        <v>0.90629137460417986</v>
      </c>
      <c r="C160" s="193">
        <f t="shared" si="9"/>
        <v>0.82136405568193382</v>
      </c>
      <c r="D160" s="192">
        <f t="shared" si="10"/>
        <v>0.16985463784449198</v>
      </c>
      <c r="E160" s="192">
        <f t="shared" si="11"/>
        <v>0.90629137460417986</v>
      </c>
      <c r="F160" s="192">
        <v>0.91035365984647831</v>
      </c>
    </row>
    <row r="161" spans="1:6" x14ac:dyDescent="0.25">
      <c r="A161" s="101">
        <v>157</v>
      </c>
      <c r="B161" s="192">
        <f t="shared" si="8"/>
        <v>0.91035365984647831</v>
      </c>
      <c r="C161" s="193">
        <f t="shared" si="9"/>
        <v>0.8287437859958775</v>
      </c>
      <c r="D161" s="192">
        <f t="shared" si="10"/>
        <v>0.16321974770120154</v>
      </c>
      <c r="E161" s="192">
        <f t="shared" si="11"/>
        <v>0.91035365984647831</v>
      </c>
      <c r="F161" s="192">
        <v>0.91425650506747125</v>
      </c>
    </row>
    <row r="162" spans="1:6" x14ac:dyDescent="0.25">
      <c r="A162" s="101">
        <v>158</v>
      </c>
      <c r="B162" s="192">
        <f t="shared" si="8"/>
        <v>0.91425650506747125</v>
      </c>
      <c r="C162" s="193">
        <f t="shared" si="9"/>
        <v>0.83586495705818709</v>
      </c>
      <c r="D162" s="192">
        <f t="shared" si="10"/>
        <v>0.15678309601856832</v>
      </c>
      <c r="E162" s="192">
        <f t="shared" si="11"/>
        <v>0.91425650506747125</v>
      </c>
      <c r="F162" s="192">
        <v>0.91800474005685706</v>
      </c>
    </row>
    <row r="163" spans="1:6" x14ac:dyDescent="0.25">
      <c r="A163" s="101">
        <v>159</v>
      </c>
      <c r="B163" s="192">
        <f t="shared" si="8"/>
        <v>0.91800474005685706</v>
      </c>
      <c r="C163" s="193">
        <f t="shared" si="9"/>
        <v>0.84273270276685774</v>
      </c>
      <c r="D163" s="192">
        <f t="shared" si="10"/>
        <v>0.15054407457999872</v>
      </c>
      <c r="E163" s="192">
        <f t="shared" si="11"/>
        <v>0.91800474005685706</v>
      </c>
      <c r="F163" s="192">
        <v>0.92160317299658456</v>
      </c>
    </row>
    <row r="164" spans="1:6" x14ac:dyDescent="0.25">
      <c r="A164" s="101">
        <v>160</v>
      </c>
      <c r="B164" s="192">
        <f t="shared" si="8"/>
        <v>0.92160317299658456</v>
      </c>
      <c r="C164" s="193">
        <f t="shared" si="9"/>
        <v>0.84935240847737259</v>
      </c>
      <c r="D164" s="192">
        <f t="shared" si="10"/>
        <v>0.14450152903842398</v>
      </c>
      <c r="E164" s="192">
        <f t="shared" si="11"/>
        <v>0.92160317299658456</v>
      </c>
      <c r="F164" s="192">
        <v>0.92505657778214478</v>
      </c>
    </row>
    <row r="165" spans="1:6" x14ac:dyDescent="0.25">
      <c r="A165" s="101">
        <v>161</v>
      </c>
      <c r="B165" s="192">
        <f t="shared" si="8"/>
        <v>0.92505657778214478</v>
      </c>
      <c r="C165" s="193">
        <f t="shared" si="9"/>
        <v>0.85572967209801332</v>
      </c>
      <c r="D165" s="192">
        <f t="shared" si="10"/>
        <v>0.13865381136826299</v>
      </c>
      <c r="E165" s="192">
        <f t="shared" si="11"/>
        <v>0.92505657778214478</v>
      </c>
      <c r="F165" s="192">
        <v>0.92836968259629093</v>
      </c>
    </row>
    <row r="166" spans="1:6" x14ac:dyDescent="0.25">
      <c r="A166" s="101">
        <v>162</v>
      </c>
      <c r="B166" s="192">
        <f t="shared" si="8"/>
        <v>0.92836968259629093</v>
      </c>
      <c r="C166" s="193">
        <f t="shared" si="9"/>
        <v>0.86187026756393803</v>
      </c>
      <c r="D166" s="192">
        <f t="shared" si="10"/>
        <v>0.13299883006470592</v>
      </c>
      <c r="E166" s="192">
        <f t="shared" si="11"/>
        <v>0.92836968259629105</v>
      </c>
      <c r="F166" s="192">
        <v>0.93154715967840007</v>
      </c>
    </row>
    <row r="167" spans="1:6" x14ac:dyDescent="0.25">
      <c r="A167" s="101">
        <v>163</v>
      </c>
      <c r="B167" s="192">
        <f t="shared" si="8"/>
        <v>0.93154715967840007</v>
      </c>
      <c r="C167" s="193">
        <f t="shared" si="9"/>
        <v>0.86778011070489458</v>
      </c>
      <c r="D167" s="192">
        <f t="shared" si="10"/>
        <v>0.12753409794701095</v>
      </c>
      <c r="E167" s="192">
        <f t="shared" si="11"/>
        <v>0.93154715967840007</v>
      </c>
      <c r="F167" s="192">
        <v>0.93459361622970294</v>
      </c>
    </row>
    <row r="168" spans="1:6" x14ac:dyDescent="0.25">
      <c r="A168" s="101">
        <v>164</v>
      </c>
      <c r="B168" s="192">
        <f t="shared" si="8"/>
        <v>0.93459361622970294</v>
      </c>
      <c r="C168" s="193">
        <f t="shared" si="9"/>
        <v>0.87346522749731326</v>
      </c>
      <c r="D168" s="192">
        <f t="shared" si="10"/>
        <v>0.12225677746477936</v>
      </c>
      <c r="E168" s="192">
        <f t="shared" si="11"/>
        <v>0.93459361622970294</v>
      </c>
      <c r="F168" s="192">
        <v>0.93751358639262983</v>
      </c>
    </row>
    <row r="169" spans="1:6" x14ac:dyDescent="0.25">
      <c r="A169" s="101">
        <v>165</v>
      </c>
      <c r="B169" s="192">
        <f t="shared" si="8"/>
        <v>0.93751358639262983</v>
      </c>
      <c r="C169" s="193">
        <f t="shared" si="9"/>
        <v>0.87893172467077096</v>
      </c>
      <c r="D169" s="192">
        <f t="shared" si="10"/>
        <v>0.11716372344371767</v>
      </c>
      <c r="E169" s="192">
        <f t="shared" si="11"/>
        <v>0.93751358639262983</v>
      </c>
      <c r="F169" s="192">
        <v>0.9403115242413691</v>
      </c>
    </row>
    <row r="170" spans="1:6" x14ac:dyDescent="0.25">
      <c r="A170" s="101">
        <v>166</v>
      </c>
      <c r="B170" s="192">
        <f t="shared" si="8"/>
        <v>0.9403115242413691</v>
      </c>
      <c r="C170" s="193">
        <f t="shared" si="9"/>
        <v>0.88418576262112691</v>
      </c>
      <c r="D170" s="192">
        <f t="shared" si="10"/>
        <v>0.11225152324048446</v>
      </c>
      <c r="E170" s="192">
        <f t="shared" si="11"/>
        <v>0.9403115242413691</v>
      </c>
      <c r="F170" s="192">
        <v>0.94299179772036035</v>
      </c>
    </row>
    <row r="171" spans="1:6" x14ac:dyDescent="0.25">
      <c r="A171" s="101">
        <v>167</v>
      </c>
      <c r="B171" s="192">
        <f t="shared" si="8"/>
        <v>0.94299179772036035</v>
      </c>
      <c r="C171" s="193">
        <f t="shared" si="9"/>
        <v>0.88923353056787702</v>
      </c>
      <c r="D171" s="192">
        <f t="shared" si="10"/>
        <v>0.10751653430496669</v>
      </c>
      <c r="E171" s="192">
        <f t="shared" si="11"/>
        <v>0.94299179772036035</v>
      </c>
      <c r="F171" s="192">
        <v>0.94555868346771266</v>
      </c>
    </row>
    <row r="172" spans="1:6" x14ac:dyDescent="0.25">
      <c r="A172" s="101">
        <v>168</v>
      </c>
      <c r="B172" s="192">
        <f t="shared" si="8"/>
        <v>0.94555868346771266</v>
      </c>
      <c r="C172" s="193">
        <f t="shared" si="9"/>
        <v>0.89408122388119404</v>
      </c>
      <c r="D172" s="192">
        <f t="shared" si="10"/>
        <v>0.10295491917303728</v>
      </c>
      <c r="E172" s="192">
        <f t="shared" si="11"/>
        <v>0.94555868346771266</v>
      </c>
      <c r="F172" s="192">
        <v>0.94801636246135779</v>
      </c>
    </row>
    <row r="173" spans="1:6" x14ac:dyDescent="0.25">
      <c r="A173" s="101">
        <v>169</v>
      </c>
      <c r="B173" s="192">
        <f t="shared" si="8"/>
        <v>0.94801636246135779</v>
      </c>
      <c r="C173" s="193">
        <f t="shared" si="9"/>
        <v>0.89873502349446455</v>
      </c>
      <c r="D173" s="192">
        <f t="shared" si="10"/>
        <v>9.8562677933786563E-2</v>
      </c>
      <c r="E173" s="192">
        <f t="shared" si="11"/>
        <v>0.94801636246135779</v>
      </c>
      <c r="F173" s="192">
        <v>0.95036891642705013</v>
      </c>
    </row>
    <row r="174" spans="1:6" x14ac:dyDescent="0.25">
      <c r="A174" s="101">
        <v>170</v>
      </c>
      <c r="B174" s="192">
        <f t="shared" si="8"/>
        <v>0.95036891642705013</v>
      </c>
      <c r="C174" s="193">
        <f t="shared" si="9"/>
        <v>0.90320107731072541</v>
      </c>
      <c r="D174" s="192">
        <f t="shared" si="10"/>
        <v>9.4335678232649475E-2</v>
      </c>
      <c r="E174" s="192">
        <f t="shared" si="11"/>
        <v>0.95036891642705013</v>
      </c>
      <c r="F174" s="192">
        <v>0.95262032494899451</v>
      </c>
    </row>
    <row r="175" spans="1:6" x14ac:dyDescent="0.25">
      <c r="A175" s="101">
        <v>171</v>
      </c>
      <c r="B175" s="192">
        <f t="shared" si="8"/>
        <v>0.95262032494899451</v>
      </c>
      <c r="C175" s="193">
        <f t="shared" si="9"/>
        <v>0.90748548350592795</v>
      </c>
      <c r="D175" s="192">
        <f t="shared" si="10"/>
        <v>9.0269682886133226E-2</v>
      </c>
      <c r="E175" s="192">
        <f t="shared" si="11"/>
        <v>0.95262032494899451</v>
      </c>
      <c r="F175" s="192">
        <v>0.954774463225882</v>
      </c>
    </row>
    <row r="176" spans="1:6" x14ac:dyDescent="0.25">
      <c r="A176" s="101">
        <v>172</v>
      </c>
      <c r="B176" s="192">
        <f t="shared" si="8"/>
        <v>0.954774463225882</v>
      </c>
      <c r="C176" s="193">
        <f t="shared" si="9"/>
        <v>0.91159427562827111</v>
      </c>
      <c r="D176" s="192">
        <f t="shared" si="10"/>
        <v>8.63603751952218E-2</v>
      </c>
      <c r="E176" s="192">
        <f t="shared" si="11"/>
        <v>0.954774463225882</v>
      </c>
      <c r="F176" s="192">
        <v>0.95683510041734376</v>
      </c>
    </row>
    <row r="177" spans="1:6" x14ac:dyDescent="0.25">
      <c r="A177" s="101">
        <v>173</v>
      </c>
      <c r="B177" s="192">
        <f t="shared" si="8"/>
        <v>0.95683510041734376</v>
      </c>
      <c r="C177" s="193">
        <f t="shared" si="9"/>
        <v>0.9155334093906683</v>
      </c>
      <c r="D177" s="192">
        <f t="shared" si="10"/>
        <v>8.2603382053350882E-2</v>
      </c>
      <c r="E177" s="192">
        <f t="shared" si="11"/>
        <v>0.95683510041734376</v>
      </c>
      <c r="F177" s="192">
        <v>0.95880589852825937</v>
      </c>
    </row>
    <row r="178" spans="1:6" x14ac:dyDescent="0.25">
      <c r="A178" s="101">
        <v>174</v>
      </c>
      <c r="B178" s="192">
        <f t="shared" si="8"/>
        <v>0.95880589852825937</v>
      </c>
      <c r="C178" s="193">
        <f t="shared" si="9"/>
        <v>0.91930875105258281</v>
      </c>
      <c r="D178" s="192">
        <f t="shared" si="10"/>
        <v>7.8994294951353128E-2</v>
      </c>
      <c r="E178" s="192">
        <f t="shared" si="11"/>
        <v>0.95880589852825937</v>
      </c>
      <c r="F178" s="192">
        <v>0.96069041178091807</v>
      </c>
    </row>
    <row r="179" spans="1:6" x14ac:dyDescent="0.25">
      <c r="A179" s="101">
        <v>175</v>
      </c>
      <c r="B179" s="192">
        <f t="shared" si="8"/>
        <v>0.96069041178091807</v>
      </c>
      <c r="C179" s="193">
        <f t="shared" si="9"/>
        <v>0.92292606728778992</v>
      </c>
      <c r="D179" s="192">
        <f t="shared" si="10"/>
        <v>7.5528688986256282E-2</v>
      </c>
      <c r="E179" s="192">
        <f t="shared" si="11"/>
        <v>0.96069041178091807</v>
      </c>
      <c r="F179" s="192">
        <v>0.9624920864276606</v>
      </c>
    </row>
    <row r="180" spans="1:6" x14ac:dyDescent="0.25">
      <c r="A180" s="101">
        <v>176</v>
      </c>
      <c r="B180" s="192">
        <f t="shared" si="8"/>
        <v>0.9624920864276606</v>
      </c>
      <c r="C180" s="193">
        <f t="shared" si="9"/>
        <v>0.9263910164358713</v>
      </c>
      <c r="D180" s="192">
        <f t="shared" si="10"/>
        <v>7.2202139983578634E-2</v>
      </c>
      <c r="E180" s="192">
        <f t="shared" si="11"/>
        <v>0.9624920864276606</v>
      </c>
      <c r="F180" s="192">
        <v>0.96421426095934071</v>
      </c>
    </row>
    <row r="181" spans="1:6" x14ac:dyDescent="0.25">
      <c r="A181" s="101">
        <v>177</v>
      </c>
      <c r="B181" s="192">
        <f t="shared" si="8"/>
        <v>0.96421426095934071</v>
      </c>
      <c r="C181" s="193">
        <f t="shared" si="9"/>
        <v>0.92970914103736757</v>
      </c>
      <c r="D181" s="192">
        <f t="shared" si="10"/>
        <v>6.9010239843946247E-2</v>
      </c>
      <c r="E181" s="192">
        <f t="shared" si="11"/>
        <v>0.96421426095934071</v>
      </c>
      <c r="F181" s="192">
        <v>0.96586016666763264</v>
      </c>
    </row>
    <row r="182" spans="1:6" x14ac:dyDescent="0.25">
      <c r="A182" s="101">
        <v>178</v>
      </c>
      <c r="B182" s="192">
        <f t="shared" si="8"/>
        <v>0.96586016666763264</v>
      </c>
      <c r="C182" s="193">
        <f t="shared" si="9"/>
        <v>0.93288586155522712</v>
      </c>
      <c r="D182" s="192">
        <f t="shared" si="10"/>
        <v>6.5948610224811091E-2</v>
      </c>
      <c r="E182" s="192">
        <f t="shared" si="11"/>
        <v>0.96586016666763264</v>
      </c>
      <c r="F182" s="192">
        <v>0.96743292852191742</v>
      </c>
    </row>
    <row r="183" spans="1:6" x14ac:dyDescent="0.25">
      <c r="A183" s="101">
        <v>179</v>
      </c>
      <c r="B183" s="192">
        <f t="shared" si="8"/>
        <v>0.96743292852191742</v>
      </c>
      <c r="C183" s="193">
        <f t="shared" si="9"/>
        <v>0.93592647118849337</v>
      </c>
      <c r="D183" s="192">
        <f t="shared" si="10"/>
        <v>6.301291466684808E-2</v>
      </c>
      <c r="E183" s="192">
        <f t="shared" si="11"/>
        <v>0.96743292852191742</v>
      </c>
      <c r="F183" s="192">
        <v>0.96893556632411426</v>
      </c>
    </row>
    <row r="184" spans="1:6" x14ac:dyDescent="0.25">
      <c r="A184" s="101">
        <v>180</v>
      </c>
      <c r="B184" s="192">
        <f t="shared" si="8"/>
        <v>0.96893556632411426</v>
      </c>
      <c r="C184" s="193">
        <f t="shared" si="9"/>
        <v>0.93883613168783198</v>
      </c>
      <c r="D184" s="192">
        <f t="shared" si="10"/>
        <v>6.0198869272564466E-2</v>
      </c>
      <c r="E184" s="192">
        <f t="shared" si="11"/>
        <v>0.96893556632411426</v>
      </c>
      <c r="F184" s="192">
        <v>0.97037099610742783</v>
      </c>
    </row>
    <row r="185" spans="1:6" x14ac:dyDescent="0.25">
      <c r="A185" s="101">
        <v>181</v>
      </c>
      <c r="B185" s="192">
        <f t="shared" si="8"/>
        <v>0.97037099610742783</v>
      </c>
      <c r="C185" s="193">
        <f t="shared" si="9"/>
        <v>0.9416198700865217</v>
      </c>
      <c r="D185" s="192">
        <f t="shared" si="10"/>
        <v>5.7502252041812224E-2</v>
      </c>
      <c r="E185" s="192">
        <f t="shared" si="11"/>
        <v>0.97037099610742783</v>
      </c>
      <c r="F185" s="192">
        <v>0.97174203174748608</v>
      </c>
    </row>
    <row r="186" spans="1:6" x14ac:dyDescent="0.25">
      <c r="A186" s="101">
        <v>182</v>
      </c>
      <c r="B186" s="192">
        <f t="shared" si="8"/>
        <v>0.97174203174748608</v>
      </c>
      <c r="C186" s="193">
        <f t="shared" si="9"/>
        <v>0.94428257626473222</v>
      </c>
      <c r="D186" s="192">
        <f t="shared" si="10"/>
        <v>5.4918910965507675E-2</v>
      </c>
      <c r="E186" s="192">
        <f t="shared" si="11"/>
        <v>0.97174203174748608</v>
      </c>
      <c r="F186" s="192">
        <v>0.97305138675677338</v>
      </c>
    </row>
    <row r="187" spans="1:6" x14ac:dyDescent="0.25">
      <c r="A187" s="101">
        <v>183</v>
      </c>
      <c r="B187" s="192">
        <f t="shared" si="8"/>
        <v>0.97305138675677338</v>
      </c>
      <c r="C187" s="193">
        <f t="shared" si="9"/>
        <v>0.94682900126927982</v>
      </c>
      <c r="D187" s="192">
        <f t="shared" si="10"/>
        <v>5.2444770974987211E-2</v>
      </c>
      <c r="E187" s="192">
        <f t="shared" si="11"/>
        <v>0.97305138675677338</v>
      </c>
      <c r="F187" s="192">
        <v>0.97430167623558794</v>
      </c>
    </row>
    <row r="188" spans="1:6" x14ac:dyDescent="0.25">
      <c r="A188" s="101">
        <v>184</v>
      </c>
      <c r="B188" s="192">
        <f t="shared" si="8"/>
        <v>0.97430167623558794</v>
      </c>
      <c r="C188" s="193">
        <f t="shared" si="9"/>
        <v>0.94926375631547644</v>
      </c>
      <c r="D188" s="192">
        <f t="shared" si="10"/>
        <v>5.007583984022302E-2</v>
      </c>
      <c r="E188" s="192">
        <f t="shared" si="11"/>
        <v>0.97430167623558794</v>
      </c>
      <c r="F188" s="192">
        <v>0.97549541895496905</v>
      </c>
    </row>
    <row r="189" spans="1:6" x14ac:dyDescent="0.25">
      <c r="A189" s="101">
        <v>185</v>
      </c>
      <c r="B189" s="192">
        <f t="shared" si="8"/>
        <v>0.97549541895496905</v>
      </c>
      <c r="C189" s="193">
        <f t="shared" si="9"/>
        <v>0.95159131240213057</v>
      </c>
      <c r="D189" s="192">
        <f t="shared" si="10"/>
        <v>4.7808213105676914E-2</v>
      </c>
      <c r="E189" s="192">
        <f t="shared" si="11"/>
        <v>0.97549541895496905</v>
      </c>
      <c r="F189" s="192">
        <v>0.97663503954916198</v>
      </c>
    </row>
    <row r="190" spans="1:6" x14ac:dyDescent="0.25">
      <c r="A190" s="101">
        <v>186</v>
      </c>
      <c r="B190" s="192">
        <f t="shared" si="8"/>
        <v>0.97663503954916198</v>
      </c>
      <c r="C190" s="193">
        <f t="shared" si="9"/>
        <v>0.95381600047519322</v>
      </c>
      <c r="D190" s="192">
        <f t="shared" si="10"/>
        <v>4.5638078147937598E-2</v>
      </c>
      <c r="E190" s="192">
        <f t="shared" si="11"/>
        <v>0.97663503954916198</v>
      </c>
      <c r="F190" s="192">
        <v>0.97772287079716436</v>
      </c>
    </row>
    <row r="191" spans="1:6" x14ac:dyDescent="0.25">
      <c r="A191" s="101">
        <v>187</v>
      </c>
      <c r="B191" s="192">
        <f t="shared" si="8"/>
        <v>0.97772287079716436</v>
      </c>
      <c r="C191" s="193">
        <f t="shared" si="9"/>
        <v>0.95594201207984852</v>
      </c>
      <c r="D191" s="192">
        <f t="shared" si="10"/>
        <v>4.3561717434631622E-2</v>
      </c>
      <c r="E191" s="192">
        <f t="shared" si="11"/>
        <v>0.97772287079716436</v>
      </c>
      <c r="F191" s="192">
        <v>0.97876115597480107</v>
      </c>
    </row>
    <row r="192" spans="1:6" x14ac:dyDescent="0.25">
      <c r="A192" s="101">
        <v>188</v>
      </c>
      <c r="B192" s="192">
        <f t="shared" si="8"/>
        <v>0.97876115597480107</v>
      </c>
      <c r="C192" s="193">
        <f t="shared" si="9"/>
        <v>0.95797340044512891</v>
      </c>
      <c r="D192" s="192">
        <f t="shared" si="10"/>
        <v>4.1575511059344407E-2</v>
      </c>
      <c r="E192" s="192">
        <f t="shared" si="11"/>
        <v>0.97876115597480107</v>
      </c>
      <c r="F192" s="192">
        <v>0.97975205126051967</v>
      </c>
    </row>
    <row r="193" spans="1:6" x14ac:dyDescent="0.25">
      <c r="A193" s="101">
        <v>189</v>
      </c>
      <c r="B193" s="192">
        <f t="shared" si="8"/>
        <v>0.97975205126051967</v>
      </c>
      <c r="C193" s="193">
        <f t="shared" si="9"/>
        <v>0.95991408194919592</v>
      </c>
      <c r="D193" s="192">
        <f t="shared" si="10"/>
        <v>3.9675938622647407E-2</v>
      </c>
      <c r="E193" s="192">
        <f t="shared" si="11"/>
        <v>0.97975205126051967</v>
      </c>
      <c r="F193" s="192">
        <v>0.98069762817977257</v>
      </c>
    </row>
    <row r="194" spans="1:6" x14ac:dyDescent="0.25">
      <c r="A194" s="101">
        <v>190</v>
      </c>
      <c r="B194" s="192">
        <f t="shared" si="8"/>
        <v>0.98069762817977257</v>
      </c>
      <c r="C194" s="193">
        <f t="shared" si="9"/>
        <v>0.96176783791743148</v>
      </c>
      <c r="D194" s="192">
        <f t="shared" si="10"/>
        <v>3.7859580524682232E-2</v>
      </c>
      <c r="E194" s="192">
        <f t="shared" si="11"/>
        <v>0.98069762817977257</v>
      </c>
      <c r="F194" s="192">
        <v>0.98159987607437627</v>
      </c>
    </row>
    <row r="195" spans="1:6" x14ac:dyDescent="0.25">
      <c r="A195" s="101">
        <v>191</v>
      </c>
      <c r="B195" s="192">
        <f t="shared" si="8"/>
        <v>0.98159987607437627</v>
      </c>
      <c r="C195" s="193">
        <f t="shared" si="9"/>
        <v>0.96353831670923085</v>
      </c>
      <c r="D195" s="192">
        <f t="shared" si="10"/>
        <v>3.6123118730290844E-2</v>
      </c>
      <c r="E195" s="192">
        <f t="shared" si="11"/>
        <v>0.98159987607437627</v>
      </c>
      <c r="F195" s="192">
        <v>0.98246070458468171</v>
      </c>
    </row>
    <row r="196" spans="1:6" x14ac:dyDescent="0.25">
      <c r="A196" s="101">
        <v>192</v>
      </c>
      <c r="B196" s="192">
        <f t="shared" si="8"/>
        <v>0.98246070458468171</v>
      </c>
      <c r="C196" s="193">
        <f t="shared" si="9"/>
        <v>0.96522903605302923</v>
      </c>
      <c r="D196" s="192">
        <f t="shared" si="10"/>
        <v>3.4463337063304969E-2</v>
      </c>
      <c r="E196" s="192">
        <f t="shared" si="11"/>
        <v>0.98246070458468171</v>
      </c>
      <c r="F196" s="192">
        <v>0.98328194613371933</v>
      </c>
    </row>
    <row r="197" spans="1:6" x14ac:dyDescent="0.25">
      <c r="A197" s="101">
        <v>193</v>
      </c>
      <c r="B197" s="192">
        <f t="shared" si="8"/>
        <v>0.98328194613371933</v>
      </c>
      <c r="C197" s="193">
        <f t="shared" si="9"/>
        <v>0.96684338559251448</v>
      </c>
      <c r="D197" s="192">
        <f t="shared" si="10"/>
        <v>3.2877121082409616E-2</v>
      </c>
      <c r="E197" s="192">
        <f t="shared" si="11"/>
        <v>0.98328194613371933</v>
      </c>
      <c r="F197" s="192">
        <v>0.98406535840370657</v>
      </c>
    </row>
    <row r="198" spans="1:6" x14ac:dyDescent="0.25">
      <c r="A198" s="101">
        <v>194</v>
      </c>
      <c r="B198" s="192">
        <f t="shared" si="8"/>
        <v>0.98406535840370657</v>
      </c>
      <c r="C198" s="193">
        <f t="shared" si="9"/>
        <v>0.96838462961021543</v>
      </c>
      <c r="D198" s="192">
        <f t="shared" si="10"/>
        <v>3.1361457586982208E-2</v>
      </c>
      <c r="E198" s="192">
        <f t="shared" si="11"/>
        <v>0.98406535840370657</v>
      </c>
      <c r="F198" s="192">
        <v>0.98481262679644499</v>
      </c>
    </row>
    <row r="199" spans="1:6" x14ac:dyDescent="0.25">
      <c r="A199" s="101">
        <v>195</v>
      </c>
      <c r="B199" s="192">
        <f t="shared" si="8"/>
        <v>0.98481262679644499</v>
      </c>
      <c r="C199" s="193">
        <f t="shared" si="9"/>
        <v>0.96985590989771409</v>
      </c>
      <c r="D199" s="192">
        <f t="shared" si="10"/>
        <v>2.9913433797461898E-2</v>
      </c>
      <c r="E199" s="192">
        <f t="shared" si="11"/>
        <v>0.98481262679644499</v>
      </c>
      <c r="F199" s="192">
        <v>0.98552536687017012</v>
      </c>
    </row>
    <row r="200" spans="1:6" x14ac:dyDescent="0.25">
      <c r="A200" s="101">
        <v>196</v>
      </c>
      <c r="B200" s="192">
        <f t="shared" ref="B200:B263" si="12">F199</f>
        <v>0.98552536687017012</v>
      </c>
      <c r="C200" s="193">
        <f t="shared" ref="C200:C263" si="13">B200^2</f>
        <v>0.97126024874458339</v>
      </c>
      <c r="D200" s="192">
        <f t="shared" ref="D200:D263" si="14">2*B200*(1-B200)</f>
        <v>2.853023625117343E-2</v>
      </c>
      <c r="E200" s="192">
        <f t="shared" ref="E200:E263" si="15">C200+0.5*D200</f>
        <v>0.98552536687017012</v>
      </c>
      <c r="F200" s="192">
        <v>0.98620512674638006</v>
      </c>
    </row>
    <row r="201" spans="1:6" x14ac:dyDescent="0.25">
      <c r="A201" s="101">
        <v>197</v>
      </c>
      <c r="B201" s="192">
        <f t="shared" si="12"/>
        <v>0.98620512674638006</v>
      </c>
      <c r="C201" s="193">
        <f t="shared" si="13"/>
        <v>0.9726005520208435</v>
      </c>
      <c r="D201" s="192">
        <f t="shared" si="14"/>
        <v>2.7209149451073011E-2</v>
      </c>
      <c r="E201" s="192">
        <f t="shared" si="15"/>
        <v>0.98620512674638006</v>
      </c>
      <c r="F201" s="192">
        <v>0.98685338948103707</v>
      </c>
    </row>
    <row r="202" spans="1:6" x14ac:dyDescent="0.25">
      <c r="A202" s="101">
        <v>198</v>
      </c>
      <c r="B202" s="192">
        <f t="shared" si="12"/>
        <v>0.98685338948103707</v>
      </c>
      <c r="C202" s="193">
        <f t="shared" si="13"/>
        <v>0.97387961233021147</v>
      </c>
      <c r="D202" s="192">
        <f t="shared" si="14"/>
        <v>2.594755430165125E-2</v>
      </c>
      <c r="E202" s="192">
        <f t="shared" si="15"/>
        <v>0.98685338948103707</v>
      </c>
      <c r="F202" s="192">
        <v>0.98747157539533548</v>
      </c>
    </row>
    <row r="203" spans="1:6" x14ac:dyDescent="0.25">
      <c r="A203" s="101">
        <v>199</v>
      </c>
      <c r="B203" s="192">
        <f t="shared" si="12"/>
        <v>0.98747157539533548</v>
      </c>
      <c r="C203" s="193">
        <f t="shared" si="13"/>
        <v>0.97510011221374571</v>
      </c>
      <c r="D203" s="192">
        <f t="shared" si="14"/>
        <v>2.474292636317952E-2</v>
      </c>
      <c r="E203" s="192">
        <f t="shared" si="15"/>
        <v>0.98747157539533548</v>
      </c>
      <c r="F203" s="192">
        <v>0.98806104436195896</v>
      </c>
    </row>
    <row r="204" spans="1:6" x14ac:dyDescent="0.25">
      <c r="A204" s="101">
        <v>200</v>
      </c>
      <c r="B204" s="192">
        <f t="shared" si="12"/>
        <v>0.98806104436195896</v>
      </c>
      <c r="C204" s="193">
        <f t="shared" si="13"/>
        <v>0.97626462738564501</v>
      </c>
      <c r="D204" s="192">
        <f t="shared" si="14"/>
        <v>2.3592833952627852E-2</v>
      </c>
      <c r="E204" s="192">
        <f t="shared" si="15"/>
        <v>0.98806104436195896</v>
      </c>
      <c r="F204" s="192">
        <v>0.98862309804340087</v>
      </c>
    </row>
    <row r="205" spans="1:6" x14ac:dyDescent="0.25">
      <c r="A205" s="101">
        <v>201</v>
      </c>
      <c r="B205" s="192">
        <f t="shared" si="12"/>
        <v>0.98862309804340087</v>
      </c>
      <c r="C205" s="193">
        <f t="shared" si="13"/>
        <v>0.97737562998493177</v>
      </c>
      <c r="D205" s="192">
        <f t="shared" si="14"/>
        <v>2.2494936116938119E-2</v>
      </c>
      <c r="E205" s="192">
        <f t="shared" si="15"/>
        <v>0.98862309804340087</v>
      </c>
      <c r="F205" s="192">
        <v>0.98915898207952502</v>
      </c>
    </row>
    <row r="206" spans="1:6" x14ac:dyDescent="0.25">
      <c r="A206" s="101">
        <v>202</v>
      </c>
      <c r="B206" s="192">
        <f t="shared" si="12"/>
        <v>0.98915898207952502</v>
      </c>
      <c r="C206" s="193">
        <f t="shared" si="13"/>
        <v>0.97843549182860212</v>
      </c>
      <c r="D206" s="192">
        <f t="shared" si="14"/>
        <v>2.1446980501845847E-2</v>
      </c>
      <c r="E206" s="192">
        <f t="shared" si="15"/>
        <v>0.98915898207952502</v>
      </c>
      <c r="F206" s="192">
        <v>0.98966988822207613</v>
      </c>
    </row>
    <row r="207" spans="1:6" x14ac:dyDescent="0.25">
      <c r="A207" s="101">
        <v>203</v>
      </c>
      <c r="B207" s="192">
        <f t="shared" si="12"/>
        <v>0.98966988822207613</v>
      </c>
      <c r="C207" s="193">
        <f t="shared" si="13"/>
        <v>0.97944648765349662</v>
      </c>
      <c r="D207" s="192">
        <f t="shared" si="14"/>
        <v>2.0446801137158931E-2</v>
      </c>
      <c r="E207" s="192">
        <f t="shared" si="15"/>
        <v>0.98966988822207613</v>
      </c>
      <c r="F207" s="192">
        <v>0.99015695641433554</v>
      </c>
    </row>
    <row r="208" spans="1:6" x14ac:dyDescent="0.25">
      <c r="A208" s="101">
        <v>204</v>
      </c>
      <c r="B208" s="192">
        <f t="shared" si="12"/>
        <v>0.99015695641433554</v>
      </c>
      <c r="C208" s="193">
        <f t="shared" si="13"/>
        <v>0.98041079833570033</v>
      </c>
      <c r="D208" s="192">
        <f t="shared" si="14"/>
        <v>1.9492316157270335E-2</v>
      </c>
      <c r="E208" s="192">
        <f t="shared" si="15"/>
        <v>0.99015695641433554</v>
      </c>
      <c r="F208" s="192">
        <v>0.99062127681455325</v>
      </c>
    </row>
    <row r="209" spans="1:6" x14ac:dyDescent="0.25">
      <c r="A209" s="101">
        <v>205</v>
      </c>
      <c r="B209" s="192">
        <f t="shared" si="12"/>
        <v>0.99062127681455325</v>
      </c>
      <c r="C209" s="193">
        <f t="shared" si="13"/>
        <v>0.98133051407769578</v>
      </c>
      <c r="D209" s="192">
        <f t="shared" si="14"/>
        <v>1.858152547371502E-2</v>
      </c>
      <c r="E209" s="192">
        <f t="shared" si="15"/>
        <v>0.99062127681455325</v>
      </c>
      <c r="F209" s="192">
        <v>0.99106389176216914</v>
      </c>
    </row>
    <row r="210" spans="1:6" x14ac:dyDescent="0.25">
      <c r="A210" s="101">
        <v>206</v>
      </c>
      <c r="B210" s="192">
        <f t="shared" si="12"/>
        <v>0.99106389176216914</v>
      </c>
      <c r="C210" s="193">
        <f t="shared" si="13"/>
        <v>0.98220763755477647</v>
      </c>
      <c r="D210" s="192">
        <f t="shared" si="14"/>
        <v>1.771250841478527E-2</v>
      </c>
      <c r="E210" s="192">
        <f t="shared" si="15"/>
        <v>0.99106389176216914</v>
      </c>
      <c r="F210" s="192">
        <v>0.99148579768618783</v>
      </c>
    </row>
    <row r="211" spans="1:6" x14ac:dyDescent="0.25">
      <c r="A211" s="101">
        <v>207</v>
      </c>
      <c r="B211" s="192">
        <f t="shared" si="12"/>
        <v>0.99148579768618783</v>
      </c>
      <c r="C211" s="193">
        <f t="shared" si="13"/>
        <v>0.98304408701341617</v>
      </c>
      <c r="D211" s="192">
        <f t="shared" si="14"/>
        <v>1.6883421345543291E-2</v>
      </c>
      <c r="E211" s="192">
        <f t="shared" si="15"/>
        <v>0.99148579768618783</v>
      </c>
      <c r="F211" s="192">
        <v>0.99188794695537863</v>
      </c>
    </row>
    <row r="212" spans="1:6" x14ac:dyDescent="0.25">
      <c r="A212" s="101">
        <v>208</v>
      </c>
      <c r="B212" s="192">
        <f t="shared" si="12"/>
        <v>0.99188794695537863</v>
      </c>
      <c r="C212" s="193">
        <f t="shared" si="13"/>
        <v>0.98384169931535603</v>
      </c>
      <c r="D212" s="192">
        <f t="shared" si="14"/>
        <v>1.6092495280045239E-2</v>
      </c>
      <c r="E212" s="192">
        <f t="shared" si="15"/>
        <v>0.99188794695537863</v>
      </c>
      <c r="F212" s="192">
        <v>0.99227124967023483</v>
      </c>
    </row>
    <row r="213" spans="1:6" x14ac:dyDescent="0.25">
      <c r="A213" s="101">
        <v>209</v>
      </c>
      <c r="B213" s="192">
        <f t="shared" si="12"/>
        <v>0.99227124967023483</v>
      </c>
      <c r="C213" s="193">
        <f t="shared" si="13"/>
        <v>0.98460223292212956</v>
      </c>
      <c r="D213" s="192">
        <f t="shared" si="14"/>
        <v>1.5338033496210641E-2</v>
      </c>
      <c r="E213" s="192">
        <f t="shared" si="15"/>
        <v>0.99227124967023483</v>
      </c>
      <c r="F213" s="192">
        <v>0.99263657539687467</v>
      </c>
    </row>
    <row r="214" spans="1:6" x14ac:dyDescent="0.25">
      <c r="A214" s="101">
        <v>210</v>
      </c>
      <c r="B214" s="192">
        <f t="shared" si="12"/>
        <v>0.99263657539687467</v>
      </c>
      <c r="C214" s="193">
        <f t="shared" si="13"/>
        <v>0.98532737081563526</v>
      </c>
      <c r="D214" s="192">
        <f t="shared" si="14"/>
        <v>1.4618409162478847E-2</v>
      </c>
      <c r="E214" s="192">
        <f t="shared" si="15"/>
        <v>0.99263657539687467</v>
      </c>
      <c r="F214" s="192">
        <v>0.99298475484327209</v>
      </c>
    </row>
    <row r="215" spans="1:6" x14ac:dyDescent="0.25">
      <c r="A215" s="101">
        <v>211</v>
      </c>
      <c r="B215" s="192">
        <f t="shared" si="12"/>
        <v>0.99298475484327209</v>
      </c>
      <c r="C215" s="193">
        <f t="shared" si="13"/>
        <v>0.98601872335115315</v>
      </c>
      <c r="D215" s="192">
        <f t="shared" si="14"/>
        <v>1.3932062984237834E-2</v>
      </c>
      <c r="E215" s="192">
        <f t="shared" si="15"/>
        <v>0.99298475484327209</v>
      </c>
      <c r="F215" s="192">
        <v>0.9933165814783822</v>
      </c>
    </row>
    <row r="216" spans="1:6" x14ac:dyDescent="0.25">
      <c r="A216" s="101">
        <v>212</v>
      </c>
      <c r="B216" s="192">
        <f t="shared" si="12"/>
        <v>0.9933165814783822</v>
      </c>
      <c r="C216" s="193">
        <f t="shared" si="13"/>
        <v>0.98667783103989948</v>
      </c>
      <c r="D216" s="192">
        <f t="shared" si="14"/>
        <v>1.3277500876965394E-2</v>
      </c>
      <c r="E216" s="192">
        <f t="shared" si="15"/>
        <v>0.9933165814783822</v>
      </c>
      <c r="F216" s="192">
        <v>0.99363281309489271</v>
      </c>
    </row>
    <row r="217" spans="1:6" x14ac:dyDescent="0.25">
      <c r="A217" s="101">
        <v>213</v>
      </c>
      <c r="B217" s="192">
        <f t="shared" si="12"/>
        <v>0.99363281309489271</v>
      </c>
      <c r="C217" s="193">
        <f t="shared" si="13"/>
        <v>0.98730616725886999</v>
      </c>
      <c r="D217" s="192">
        <f t="shared" si="14"/>
        <v>1.2653291672045444E-2</v>
      </c>
      <c r="E217" s="192">
        <f t="shared" si="15"/>
        <v>0.99363281309489271</v>
      </c>
      <c r="F217" s="192">
        <v>0.9939341733164585</v>
      </c>
    </row>
    <row r="218" spans="1:6" x14ac:dyDescent="0.25">
      <c r="A218" s="101">
        <v>214</v>
      </c>
      <c r="B218" s="192">
        <f t="shared" si="12"/>
        <v>0.9939341733164585</v>
      </c>
      <c r="C218" s="193">
        <f t="shared" si="13"/>
        <v>0.98790514088627179</v>
      </c>
      <c r="D218" s="192">
        <f t="shared" si="14"/>
        <v>1.2058064860373467E-2</v>
      </c>
      <c r="E218" s="192">
        <f t="shared" si="15"/>
        <v>0.9939341733164585</v>
      </c>
      <c r="F218" s="192">
        <v>0.9942213530503955</v>
      </c>
    </row>
    <row r="219" spans="1:6" x14ac:dyDescent="0.25">
      <c r="A219" s="101">
        <v>215</v>
      </c>
      <c r="B219" s="192">
        <f t="shared" si="12"/>
        <v>0.9942213530503955</v>
      </c>
      <c r="C219" s="193">
        <f t="shared" si="13"/>
        <v>0.98847609886135912</v>
      </c>
      <c r="D219" s="192">
        <f t="shared" si="14"/>
        <v>1.1490508378072662E-2</v>
      </c>
      <c r="E219" s="192">
        <f t="shared" si="15"/>
        <v>0.9942213530503955</v>
      </c>
      <c r="F219" s="192">
        <v>0.99449501188691147</v>
      </c>
    </row>
    <row r="220" spans="1:6" x14ac:dyDescent="0.25">
      <c r="A220" s="101">
        <v>216</v>
      </c>
      <c r="B220" s="192">
        <f t="shared" si="12"/>
        <v>0.99449501188691147</v>
      </c>
      <c r="C220" s="193">
        <f t="shared" si="13"/>
        <v>0.9890203286679482</v>
      </c>
      <c r="D220" s="192">
        <f t="shared" si="14"/>
        <v>1.0949366437926562E-2</v>
      </c>
      <c r="E220" s="192">
        <f t="shared" si="15"/>
        <v>0.99449501188691147</v>
      </c>
      <c r="F220" s="192">
        <v>0.99475577944601978</v>
      </c>
    </row>
    <row r="221" spans="1:6" x14ac:dyDescent="0.25">
      <c r="A221" s="101">
        <v>217</v>
      </c>
      <c r="B221" s="192">
        <f t="shared" si="12"/>
        <v>0.99475577944601978</v>
      </c>
      <c r="C221" s="193">
        <f t="shared" si="13"/>
        <v>0.9895390607412583</v>
      </c>
      <c r="D221" s="192">
        <f t="shared" si="14"/>
        <v>1.0433437409522857E-2</v>
      </c>
      <c r="E221" s="192">
        <f t="shared" si="15"/>
        <v>0.99475577944601978</v>
      </c>
      <c r="F221" s="192">
        <v>0.99500425667336001</v>
      </c>
    </row>
    <row r="222" spans="1:6" x14ac:dyDescent="0.25">
      <c r="A222" s="101">
        <v>218</v>
      </c>
      <c r="B222" s="192">
        <f t="shared" si="12"/>
        <v>0.99500425667336001</v>
      </c>
      <c r="C222" s="193">
        <f t="shared" si="13"/>
        <v>0.99003347079810566</v>
      </c>
      <c r="D222" s="192">
        <f t="shared" si="14"/>
        <v>9.9415717505086428E-3</v>
      </c>
      <c r="E222" s="192">
        <f t="shared" si="15"/>
        <v>0.99500425667336001</v>
      </c>
      <c r="F222" s="192">
        <v>0.99524101708619372</v>
      </c>
    </row>
    <row r="223" spans="1:6" x14ac:dyDescent="0.25">
      <c r="A223" s="101">
        <v>219</v>
      </c>
      <c r="B223" s="192">
        <f t="shared" si="12"/>
        <v>0.99524101708619372</v>
      </c>
      <c r="C223" s="193">
        <f t="shared" si="13"/>
        <v>0.99050468209076137</v>
      </c>
      <c r="D223" s="192">
        <f t="shared" si="14"/>
        <v>9.4726699908647509E-3</v>
      </c>
      <c r="E223" s="192">
        <f t="shared" si="15"/>
        <v>0.99524101708619372</v>
      </c>
      <c r="F223" s="192">
        <v>0.99546660797088882</v>
      </c>
    </row>
    <row r="224" spans="1:6" x14ac:dyDescent="0.25">
      <c r="A224" s="101">
        <v>220</v>
      </c>
      <c r="B224" s="192">
        <f t="shared" si="12"/>
        <v>0.99546660797088882</v>
      </c>
      <c r="C224" s="193">
        <f t="shared" si="13"/>
        <v>0.99095376758506726</v>
      </c>
      <c r="D224" s="192">
        <f t="shared" si="14"/>
        <v>9.0256807716431482E-3</v>
      </c>
      <c r="E224" s="192">
        <f t="shared" si="15"/>
        <v>0.99546660797088882</v>
      </c>
      <c r="F224" s="192">
        <v>0.99568155153323457</v>
      </c>
    </row>
    <row r="225" spans="1:6" x14ac:dyDescent="0.25">
      <c r="A225" s="101">
        <v>221</v>
      </c>
      <c r="B225" s="192">
        <f t="shared" si="12"/>
        <v>0.99568155153323457</v>
      </c>
      <c r="C225" s="193">
        <f t="shared" si="13"/>
        <v>0.99138175206362922</v>
      </c>
      <c r="D225" s="192">
        <f t="shared" si="14"/>
        <v>8.5995989392106519E-3</v>
      </c>
      <c r="E225" s="192">
        <f t="shared" si="15"/>
        <v>0.99568155153323457</v>
      </c>
      <c r="F225" s="192">
        <v>0.99588634600294701</v>
      </c>
    </row>
    <row r="226" spans="1:6" x14ac:dyDescent="0.25">
      <c r="A226" s="101">
        <v>222</v>
      </c>
      <c r="B226" s="192">
        <f t="shared" si="12"/>
        <v>0.99588634600294701</v>
      </c>
      <c r="C226" s="193">
        <f t="shared" si="13"/>
        <v>0.99178961415510147</v>
      </c>
      <c r="D226" s="192">
        <f t="shared" si="14"/>
        <v>8.193463695691041E-3</v>
      </c>
      <c r="E226" s="192">
        <f t="shared" si="15"/>
        <v>0.99588634600294701</v>
      </c>
      <c r="F226" s="192">
        <v>0.99608146669374964</v>
      </c>
    </row>
    <row r="227" spans="1:6" x14ac:dyDescent="0.25">
      <c r="A227" s="101">
        <v>223</v>
      </c>
      <c r="B227" s="192">
        <f t="shared" si="12"/>
        <v>0.99608146669374964</v>
      </c>
      <c r="C227" s="193">
        <f t="shared" si="13"/>
        <v>0.99217828829077148</v>
      </c>
      <c r="D227" s="192">
        <f t="shared" si="14"/>
        <v>7.8063568059563333E-3</v>
      </c>
      <c r="E227" s="192">
        <f t="shared" si="15"/>
        <v>0.99608146669374964</v>
      </c>
      <c r="F227" s="192">
        <v>0.99626736702039742</v>
      </c>
    </row>
    <row r="228" spans="1:6" x14ac:dyDescent="0.25">
      <c r="A228" s="101">
        <v>224</v>
      </c>
      <c r="B228" s="192">
        <f t="shared" si="12"/>
        <v>0.99626736702039742</v>
      </c>
      <c r="C228" s="193">
        <f t="shared" si="13"/>
        <v>0.99254866658975527</v>
      </c>
      <c r="D228" s="192">
        <f t="shared" si="14"/>
        <v>7.4374008612843245E-3</v>
      </c>
      <c r="E228" s="192">
        <f t="shared" si="15"/>
        <v>0.99626736702039742</v>
      </c>
      <c r="F228" s="192">
        <v>0.99644447947403658</v>
      </c>
    </row>
    <row r="229" spans="1:6" x14ac:dyDescent="0.25">
      <c r="A229" s="101">
        <v>225</v>
      </c>
      <c r="B229" s="192">
        <f t="shared" si="12"/>
        <v>0.99644447947403658</v>
      </c>
      <c r="C229" s="193">
        <f t="shared" si="13"/>
        <v>0.99290160067428368</v>
      </c>
      <c r="D229" s="192">
        <f t="shared" si="14"/>
        <v>7.0857575995057417E-3</v>
      </c>
      <c r="E229" s="192">
        <f t="shared" si="15"/>
        <v>0.99644447947403658</v>
      </c>
      <c r="F229" s="192">
        <v>0.99661321655727064</v>
      </c>
    </row>
    <row r="230" spans="1:6" x14ac:dyDescent="0.25">
      <c r="A230" s="101">
        <v>226</v>
      </c>
      <c r="B230" s="192">
        <f t="shared" si="12"/>
        <v>0.99661321655727064</v>
      </c>
      <c r="C230" s="193">
        <f t="shared" si="13"/>
        <v>0.99323790341662921</v>
      </c>
      <c r="D230" s="192">
        <f t="shared" si="14"/>
        <v>6.7506262812828234E-3</v>
      </c>
      <c r="E230" s="192">
        <f t="shared" si="15"/>
        <v>0.99661321655727064</v>
      </c>
      <c r="F230" s="192">
        <v>0.99677397168029103</v>
      </c>
    </row>
    <row r="231" spans="1:6" x14ac:dyDescent="0.25">
      <c r="A231" s="101">
        <v>227</v>
      </c>
      <c r="B231" s="192">
        <f t="shared" si="12"/>
        <v>0.99677397168029103</v>
      </c>
      <c r="C231" s="193">
        <f t="shared" si="13"/>
        <v>0.99355835061930164</v>
      </c>
      <c r="D231" s="192">
        <f t="shared" si="14"/>
        <v>6.4312421219788179E-3</v>
      </c>
      <c r="E231" s="192">
        <f t="shared" si="15"/>
        <v>0.99677397168029103</v>
      </c>
      <c r="F231" s="192">
        <v>0.99692712001942785</v>
      </c>
    </row>
    <row r="232" spans="1:6" x14ac:dyDescent="0.25">
      <c r="A232" s="101">
        <v>228</v>
      </c>
      <c r="B232" s="192">
        <f t="shared" si="12"/>
        <v>0.99692712001942785</v>
      </c>
      <c r="C232" s="193">
        <f t="shared" si="13"/>
        <v>0.99386368263023073</v>
      </c>
      <c r="D232" s="192">
        <f t="shared" si="14"/>
        <v>6.1268747783943013E-3</v>
      </c>
      <c r="E232" s="192">
        <f t="shared" si="15"/>
        <v>0.99692712001942785</v>
      </c>
      <c r="F232" s="192">
        <v>0.99707301933944181</v>
      </c>
    </row>
    <row r="233" spans="1:6" x14ac:dyDescent="0.25">
      <c r="A233" s="101">
        <v>229</v>
      </c>
      <c r="B233" s="192">
        <f t="shared" si="12"/>
        <v>0.99707301933944181</v>
      </c>
      <c r="C233" s="193">
        <f t="shared" si="13"/>
        <v>0.99415460589467086</v>
      </c>
      <c r="D233" s="192">
        <f t="shared" si="14"/>
        <v>5.8368268895418107E-3</v>
      </c>
      <c r="E233" s="192">
        <f t="shared" si="15"/>
        <v>0.99707301933944181</v>
      </c>
      <c r="F233" s="192">
        <v>0.99721201078087196</v>
      </c>
    </row>
    <row r="234" spans="1:6" x14ac:dyDescent="0.25">
      <c r="A234" s="101">
        <v>230</v>
      </c>
      <c r="B234" s="192">
        <f t="shared" si="12"/>
        <v>0.99721201078087196</v>
      </c>
      <c r="C234" s="193">
        <f t="shared" si="13"/>
        <v>0.9944317944456299</v>
      </c>
      <c r="D234" s="192">
        <f t="shared" si="14"/>
        <v>5.5604326704841315E-3</v>
      </c>
      <c r="E234" s="192">
        <f t="shared" si="15"/>
        <v>0.99721201078087196</v>
      </c>
      <c r="F234" s="192">
        <v>0.99734441961371201</v>
      </c>
    </row>
    <row r="235" spans="1:6" x14ac:dyDescent="0.25">
      <c r="A235" s="101">
        <v>231</v>
      </c>
      <c r="B235" s="192">
        <f t="shared" si="12"/>
        <v>0.99734441961371201</v>
      </c>
      <c r="C235" s="193">
        <f t="shared" si="13"/>
        <v>0.994695891334612</v>
      </c>
      <c r="D235" s="192">
        <f t="shared" si="14"/>
        <v>5.2970565581999095E-3</v>
      </c>
      <c r="E235" s="192">
        <f t="shared" si="15"/>
        <v>0.99734441961371201</v>
      </c>
      <c r="F235" s="192">
        <v>0.99747055595867884</v>
      </c>
    </row>
    <row r="236" spans="1:6" x14ac:dyDescent="0.25">
      <c r="A236" s="101">
        <v>232</v>
      </c>
      <c r="B236" s="192">
        <f t="shared" si="12"/>
        <v>0.99747055595867884</v>
      </c>
      <c r="C236" s="193">
        <f t="shared" si="13"/>
        <v>0.99494751000451587</v>
      </c>
      <c r="D236" s="192">
        <f t="shared" si="14"/>
        <v>5.0460919083259708E-3</v>
      </c>
      <c r="E236" s="192">
        <f t="shared" si="15"/>
        <v>0.99747055595867884</v>
      </c>
      <c r="F236" s="192">
        <v>0.99759071547729516</v>
      </c>
    </row>
    <row r="237" spans="1:6" x14ac:dyDescent="0.25">
      <c r="A237" s="101">
        <v>233</v>
      </c>
      <c r="B237" s="192">
        <f t="shared" si="12"/>
        <v>0.99759071547729516</v>
      </c>
      <c r="C237" s="193">
        <f t="shared" si="13"/>
        <v>0.99518723560650169</v>
      </c>
      <c r="D237" s="192">
        <f t="shared" si="14"/>
        <v>4.8069597415869806E-3</v>
      </c>
      <c r="E237" s="192">
        <f t="shared" si="15"/>
        <v>0.99759071547729516</v>
      </c>
      <c r="F237" s="192">
        <v>0.99770518003198416</v>
      </c>
    </row>
    <row r="238" spans="1:6" x14ac:dyDescent="0.25">
      <c r="A238" s="101">
        <v>234</v>
      </c>
      <c r="B238" s="192">
        <f t="shared" si="12"/>
        <v>0.99770518003198416</v>
      </c>
      <c r="C238" s="193">
        <f t="shared" si="13"/>
        <v>0.9954156262626539</v>
      </c>
      <c r="D238" s="192">
        <f t="shared" si="14"/>
        <v>4.5791075386604667E-3</v>
      </c>
      <c r="E238" s="192">
        <f t="shared" si="15"/>
        <v>0.99770518003198416</v>
      </c>
      <c r="F238" s="192">
        <v>0.99781421831734451</v>
      </c>
    </row>
    <row r="239" spans="1:6" x14ac:dyDescent="0.25">
      <c r="A239" s="101">
        <v>235</v>
      </c>
      <c r="B239" s="192">
        <f t="shared" si="12"/>
        <v>0.99781421831734451</v>
      </c>
      <c r="C239" s="193">
        <f t="shared" si="13"/>
        <v>0.99563321427625329</v>
      </c>
      <c r="D239" s="192">
        <f t="shared" si="14"/>
        <v>4.3620080821825061E-3</v>
      </c>
      <c r="E239" s="192">
        <f t="shared" si="15"/>
        <v>0.99781421831734451</v>
      </c>
      <c r="F239" s="192">
        <v>0.99791808646373381</v>
      </c>
    </row>
    <row r="240" spans="1:6" x14ac:dyDescent="0.25">
      <c r="A240" s="101">
        <v>236</v>
      </c>
      <c r="B240" s="192">
        <f t="shared" si="12"/>
        <v>0.99791808646373381</v>
      </c>
      <c r="C240" s="193">
        <f t="shared" si="13"/>
        <v>0.99584050729144014</v>
      </c>
      <c r="D240" s="192">
        <f t="shared" si="14"/>
        <v>4.1551583445874011E-3</v>
      </c>
      <c r="E240" s="192">
        <f t="shared" si="15"/>
        <v>0.99791808646373381</v>
      </c>
      <c r="F240" s="192">
        <v>0.99801702861427188</v>
      </c>
    </row>
    <row r="241" spans="1:6" x14ac:dyDescent="0.25">
      <c r="A241" s="101">
        <v>237</v>
      </c>
      <c r="B241" s="192">
        <f t="shared" si="12"/>
        <v>0.99801702861427188</v>
      </c>
      <c r="C241" s="193">
        <f t="shared" si="13"/>
        <v>0.99603798940406041</v>
      </c>
      <c r="D241" s="192">
        <f t="shared" si="14"/>
        <v>3.9580784204229997E-3</v>
      </c>
      <c r="E241" s="192">
        <f t="shared" si="15"/>
        <v>0.99801702861427188</v>
      </c>
      <c r="F241" s="192">
        <v>0.99811127747632</v>
      </c>
    </row>
    <row r="242" spans="1:6" x14ac:dyDescent="0.25">
      <c r="A242" s="101">
        <v>238</v>
      </c>
      <c r="B242" s="192">
        <f t="shared" si="12"/>
        <v>0.99811127747632</v>
      </c>
      <c r="C242" s="193">
        <f t="shared" si="13"/>
        <v>0.99622612222541151</v>
      </c>
      <c r="D242" s="192">
        <f t="shared" si="14"/>
        <v>3.7703105018170829E-3</v>
      </c>
      <c r="E242" s="192">
        <f t="shared" si="15"/>
        <v>0.99811127747632</v>
      </c>
      <c r="F242" s="192">
        <v>0.99820105484848454</v>
      </c>
    </row>
    <row r="243" spans="1:6" x14ac:dyDescent="0.25">
      <c r="A243" s="101">
        <v>239</v>
      </c>
      <c r="B243" s="192">
        <f t="shared" si="12"/>
        <v>0.99820105484848454</v>
      </c>
      <c r="C243" s="193">
        <f t="shared" si="13"/>
        <v>0.99640534590062724</v>
      </c>
      <c r="D243" s="192">
        <f t="shared" si="14"/>
        <v>3.591417895714604E-3</v>
      </c>
      <c r="E243" s="192">
        <f t="shared" si="15"/>
        <v>0.99820105484848454</v>
      </c>
      <c r="F243" s="192">
        <v>0.99828657212413907</v>
      </c>
    </row>
    <row r="244" spans="1:6" x14ac:dyDescent="0.25">
      <c r="A244" s="101">
        <v>240</v>
      </c>
      <c r="B244" s="192">
        <f t="shared" si="12"/>
        <v>0.99828657212413907</v>
      </c>
      <c r="C244" s="193">
        <f t="shared" si="13"/>
        <v>0.99657608008336396</v>
      </c>
      <c r="D244" s="192">
        <f t="shared" si="14"/>
        <v>3.4209840815503031E-3</v>
      </c>
      <c r="E244" s="192">
        <f t="shared" si="15"/>
        <v>0.99828657212413907</v>
      </c>
      <c r="F244" s="192">
        <v>0.99836803077243885</v>
      </c>
    </row>
    <row r="245" spans="1:6" x14ac:dyDescent="0.25">
      <c r="A245" s="101">
        <v>241</v>
      </c>
      <c r="B245" s="192">
        <f t="shared" si="12"/>
        <v>0.99836803077243885</v>
      </c>
      <c r="C245" s="193">
        <f t="shared" si="13"/>
        <v>0.9967387248684374</v>
      </c>
      <c r="D245" s="192">
        <f t="shared" si="14"/>
        <v>3.2586118080028818E-3</v>
      </c>
      <c r="E245" s="192">
        <f t="shared" si="15"/>
        <v>0.99836803077243885</v>
      </c>
      <c r="F245" s="192">
        <v>0.9984456227977625</v>
      </c>
    </row>
    <row r="246" spans="1:6" x14ac:dyDescent="0.25">
      <c r="A246" s="101">
        <v>242</v>
      </c>
      <c r="B246" s="192">
        <f t="shared" si="12"/>
        <v>0.9984456227977625</v>
      </c>
      <c r="C246" s="193">
        <f t="shared" si="13"/>
        <v>0.99689366168401183</v>
      </c>
      <c r="D246" s="192">
        <f t="shared" si="14"/>
        <v>3.1039222275013293E-3</v>
      </c>
      <c r="E246" s="192">
        <f t="shared" si="15"/>
        <v>0.9984456227977625</v>
      </c>
      <c r="F246" s="192">
        <v>0.99851953117848924</v>
      </c>
    </row>
    <row r="247" spans="1:6" x14ac:dyDescent="0.25">
      <c r="A247" s="101">
        <v>243</v>
      </c>
      <c r="B247" s="192">
        <f t="shared" si="12"/>
        <v>0.99851953117848924</v>
      </c>
      <c r="C247" s="193">
        <f t="shared" si="13"/>
        <v>0.99704125414490996</v>
      </c>
      <c r="D247" s="192">
        <f t="shared" si="14"/>
        <v>2.9565540671585909E-3</v>
      </c>
      <c r="E247" s="192">
        <f t="shared" si="15"/>
        <v>0.99851953117848924</v>
      </c>
      <c r="F247" s="192">
        <v>0.99858993028597787</v>
      </c>
    </row>
    <row r="248" spans="1:6" x14ac:dyDescent="0.25">
      <c r="A248" s="101">
        <v>244</v>
      </c>
      <c r="B248" s="192">
        <f t="shared" si="12"/>
        <v>0.99858993028597787</v>
      </c>
      <c r="C248" s="193">
        <f t="shared" si="13"/>
        <v>0.9971818488685541</v>
      </c>
      <c r="D248" s="192">
        <f t="shared" si="14"/>
        <v>2.8161628348474612E-3</v>
      </c>
      <c r="E248" s="192">
        <f t="shared" si="15"/>
        <v>0.99858993028597787</v>
      </c>
      <c r="F248" s="192">
        <v>0.99865698628459976</v>
      </c>
    </row>
    <row r="249" spans="1:6" x14ac:dyDescent="0.25">
      <c r="A249" s="101">
        <v>245</v>
      </c>
      <c r="B249" s="192">
        <f t="shared" si="12"/>
        <v>0.99865698628459976</v>
      </c>
      <c r="C249" s="193">
        <f t="shared" si="13"/>
        <v>0.99731577625503931</v>
      </c>
      <c r="D249" s="192">
        <f t="shared" si="14"/>
        <v>2.6824200591209798E-3</v>
      </c>
      <c r="E249" s="192">
        <f t="shared" si="15"/>
        <v>0.99865698628459976</v>
      </c>
      <c r="F249" s="192">
        <v>0.99872085751362316</v>
      </c>
    </row>
    <row r="250" spans="1:6" x14ac:dyDescent="0.25">
      <c r="A250" s="101">
        <v>246</v>
      </c>
      <c r="B250" s="192">
        <f t="shared" si="12"/>
        <v>0.99872085751362316</v>
      </c>
      <c r="C250" s="193">
        <f t="shared" si="13"/>
        <v>0.99744335123274674</v>
      </c>
      <c r="D250" s="192">
        <f t="shared" si="14"/>
        <v>2.5550125617527686E-3</v>
      </c>
      <c r="E250" s="192">
        <f t="shared" si="15"/>
        <v>0.99872085751362316</v>
      </c>
      <c r="F250" s="192">
        <v>0.99878169485174217</v>
      </c>
    </row>
    <row r="251" spans="1:6" x14ac:dyDescent="0.25">
      <c r="A251" s="101">
        <v>247</v>
      </c>
      <c r="B251" s="192">
        <f t="shared" si="12"/>
        <v>0.99878169485174217</v>
      </c>
      <c r="C251" s="193">
        <f t="shared" si="13"/>
        <v>0.99756487397091864</v>
      </c>
      <c r="D251" s="192">
        <f t="shared" si="14"/>
        <v>2.4336417616471081E-3</v>
      </c>
      <c r="E251" s="192">
        <f t="shared" si="15"/>
        <v>0.99878169485174217</v>
      </c>
      <c r="F251" s="192">
        <v>0.99883964206499043</v>
      </c>
    </row>
    <row r="252" spans="1:6" x14ac:dyDescent="0.25">
      <c r="A252" s="101">
        <v>248</v>
      </c>
      <c r="B252" s="192">
        <f t="shared" si="12"/>
        <v>0.99883964206499043</v>
      </c>
      <c r="C252" s="193">
        <f t="shared" si="13"/>
        <v>0.99768063056051814</v>
      </c>
      <c r="D252" s="192">
        <f t="shared" si="14"/>
        <v>2.3180230089444617E-3</v>
      </c>
      <c r="E252" s="192">
        <f t="shared" si="15"/>
        <v>0.99883964206499043</v>
      </c>
      <c r="F252" s="192">
        <v>0.99889483613876906</v>
      </c>
    </row>
    <row r="253" spans="1:6" x14ac:dyDescent="0.25">
      <c r="A253" s="101">
        <v>249</v>
      </c>
      <c r="B253" s="192">
        <f t="shared" si="12"/>
        <v>0.99889483613876906</v>
      </c>
      <c r="C253" s="193">
        <f t="shared" si="13"/>
        <v>0.99779089366469831</v>
      </c>
      <c r="D253" s="192">
        <f t="shared" si="14"/>
        <v>2.2078849481415382E-3</v>
      </c>
      <c r="E253" s="192">
        <f t="shared" si="15"/>
        <v>0.99889483613876906</v>
      </c>
      <c r="F253" s="192">
        <v>0.99894740759468093</v>
      </c>
    </row>
    <row r="254" spans="1:6" x14ac:dyDescent="0.25">
      <c r="A254" s="101">
        <v>250</v>
      </c>
      <c r="B254" s="192">
        <f t="shared" si="12"/>
        <v>0.99894740759468093</v>
      </c>
      <c r="C254" s="193">
        <f t="shared" si="13"/>
        <v>0.99789592314013353</v>
      </c>
      <c r="D254" s="192">
        <f t="shared" si="14"/>
        <v>2.1029689090946791E-3</v>
      </c>
      <c r="E254" s="192">
        <f t="shared" si="15"/>
        <v>0.99894740759468093</v>
      </c>
      <c r="F254" s="192">
        <v>0.99899748079283424</v>
      </c>
    </row>
    <row r="255" spans="1:6" x14ac:dyDescent="0.25">
      <c r="A255" s="101">
        <v>251</v>
      </c>
      <c r="B255" s="192">
        <f t="shared" si="12"/>
        <v>0.99899748079283424</v>
      </c>
      <c r="C255" s="193">
        <f t="shared" si="13"/>
        <v>0.99799596663042922</v>
      </c>
      <c r="D255" s="192">
        <f t="shared" si="14"/>
        <v>2.0030283248100556E-3</v>
      </c>
      <c r="E255" s="192">
        <f t="shared" si="15"/>
        <v>0.99899748079283424</v>
      </c>
      <c r="F255" s="192">
        <v>0.99904517422026162</v>
      </c>
    </row>
    <row r="256" spans="1:6" x14ac:dyDescent="0.25">
      <c r="A256" s="101">
        <v>252</v>
      </c>
      <c r="B256" s="192">
        <f t="shared" si="12"/>
        <v>0.99904517422026162</v>
      </c>
      <c r="C256" s="193">
        <f t="shared" si="13"/>
        <v>0.99809126013279292</v>
      </c>
      <c r="D256" s="192">
        <f t="shared" si="14"/>
        <v>1.9078281749374489E-3</v>
      </c>
      <c r="E256" s="192">
        <f t="shared" si="15"/>
        <v>0.99904517422026162</v>
      </c>
      <c r="F256" s="192">
        <v>0.99909060076606682</v>
      </c>
    </row>
    <row r="257" spans="1:6" x14ac:dyDescent="0.25">
      <c r="A257" s="101">
        <v>253</v>
      </c>
      <c r="B257" s="192">
        <f t="shared" si="12"/>
        <v>0.99909060076606682</v>
      </c>
      <c r="C257" s="193">
        <f t="shared" si="13"/>
        <v>0.99818202853910032</v>
      </c>
      <c r="D257" s="192">
        <f t="shared" si="14"/>
        <v>1.8171444539330107E-3</v>
      </c>
      <c r="E257" s="192">
        <f t="shared" si="15"/>
        <v>0.99909060076606682</v>
      </c>
      <c r="F257" s="192">
        <v>0.99913386798388293</v>
      </c>
    </row>
    <row r="258" spans="1:6" x14ac:dyDescent="0.25">
      <c r="A258" s="101">
        <v>254</v>
      </c>
      <c r="B258" s="192">
        <f t="shared" si="12"/>
        <v>0.99913386798388293</v>
      </c>
      <c r="C258" s="193">
        <f t="shared" si="13"/>
        <v>0.99826848615243524</v>
      </c>
      <c r="D258" s="192">
        <f t="shared" si="14"/>
        <v>1.730763662895457E-3</v>
      </c>
      <c r="E258" s="192">
        <f t="shared" si="15"/>
        <v>0.99913386798388293</v>
      </c>
      <c r="F258" s="192">
        <v>0.99917507834221897</v>
      </c>
    </row>
    <row r="259" spans="1:6" x14ac:dyDescent="0.25">
      <c r="A259" s="101">
        <v>255</v>
      </c>
      <c r="B259" s="192">
        <f t="shared" si="12"/>
        <v>0.99917507834221897</v>
      </c>
      <c r="C259" s="193">
        <f t="shared" si="13"/>
        <v>0.99835083718017936</v>
      </c>
      <c r="D259" s="192">
        <f t="shared" si="14"/>
        <v>1.6484823240791083E-3</v>
      </c>
      <c r="E259" s="192">
        <f t="shared" si="15"/>
        <v>0.99917507834221897</v>
      </c>
      <c r="F259" s="192">
        <v>0.99921432946322553</v>
      </c>
    </row>
    <row r="260" spans="1:6" x14ac:dyDescent="0.25">
      <c r="A260" s="101">
        <v>256</v>
      </c>
      <c r="B260" s="192">
        <f t="shared" si="12"/>
        <v>0.99921432946322553</v>
      </c>
      <c r="C260" s="193">
        <f t="shared" si="13"/>
        <v>0.99842927620464339</v>
      </c>
      <c r="D260" s="192">
        <f t="shared" si="14"/>
        <v>1.5701065171642376E-3</v>
      </c>
      <c r="E260" s="192">
        <f t="shared" si="15"/>
        <v>0.99921432946322553</v>
      </c>
      <c r="F260" s="192">
        <v>0.99925171435040572</v>
      </c>
    </row>
    <row r="261" spans="1:6" x14ac:dyDescent="0.25">
      <c r="A261" s="101">
        <v>257</v>
      </c>
      <c r="B261" s="192">
        <f t="shared" si="12"/>
        <v>0.99925171435040572</v>
      </c>
      <c r="C261" s="193">
        <f t="shared" si="13"/>
        <v>0.99850398863222478</v>
      </c>
      <c r="D261" s="192">
        <f t="shared" si="14"/>
        <v>1.4954514363617875E-3</v>
      </c>
      <c r="E261" s="192">
        <f t="shared" si="15"/>
        <v>0.99925171435040572</v>
      </c>
      <c r="F261" s="192">
        <v>0.99928732160576672</v>
      </c>
    </row>
    <row r="262" spans="1:6" x14ac:dyDescent="0.25">
      <c r="A262" s="101">
        <v>258</v>
      </c>
      <c r="B262" s="192">
        <f t="shared" si="12"/>
        <v>0.99928732160576672</v>
      </c>
      <c r="C262" s="193">
        <f t="shared" si="13"/>
        <v>0.99857515112202699</v>
      </c>
      <c r="D262" s="192">
        <f t="shared" si="14"/>
        <v>1.4243409674793448E-3</v>
      </c>
      <c r="E262" s="192">
        <f t="shared" si="15"/>
        <v>0.99928732160576672</v>
      </c>
      <c r="F262" s="192">
        <v>0.99932123563688735</v>
      </c>
    </row>
    <row r="263" spans="1:6" x14ac:dyDescent="0.25">
      <c r="A263" s="101">
        <v>259</v>
      </c>
      <c r="B263" s="192">
        <f t="shared" si="12"/>
        <v>0.99932123563688735</v>
      </c>
      <c r="C263" s="193">
        <f t="shared" si="13"/>
        <v>0.99864293199483534</v>
      </c>
      <c r="D263" s="192">
        <f t="shared" si="14"/>
        <v>1.3566072841040353E-3</v>
      </c>
      <c r="E263" s="192">
        <f t="shared" si="15"/>
        <v>0.99932123563688735</v>
      </c>
      <c r="F263" s="192">
        <v>0.9993535368543619</v>
      </c>
    </row>
    <row r="264" spans="1:6" x14ac:dyDescent="0.25">
      <c r="A264" s="101">
        <v>260</v>
      </c>
      <c r="B264" s="192">
        <f t="shared" ref="B264:B304" si="16">F263</f>
        <v>0.9993535368543619</v>
      </c>
      <c r="C264" s="193">
        <f t="shared" ref="C264:C304" si="17">B264^2</f>
        <v>0.99870749162332251</v>
      </c>
      <c r="D264" s="192">
        <f t="shared" ref="D264:D304" si="18">2*B264*(1-B264)</f>
        <v>1.2920904620788607E-3</v>
      </c>
      <c r="E264" s="192">
        <f t="shared" ref="E264:E304" si="19">C264+0.5*D264</f>
        <v>0.9993535368543619</v>
      </c>
      <c r="F264" s="192">
        <v>0.99938430186005145</v>
      </c>
    </row>
    <row r="265" spans="1:6" x14ac:dyDescent="0.25">
      <c r="A265" s="101">
        <v>261</v>
      </c>
      <c r="B265" s="192">
        <f t="shared" si="16"/>
        <v>0.99938430186005145</v>
      </c>
      <c r="C265" s="193">
        <f t="shared" si="17"/>
        <v>0.99876898280430249</v>
      </c>
      <c r="D265" s="192">
        <f t="shared" si="18"/>
        <v>1.230638111498029E-3</v>
      </c>
      <c r="E265" s="192">
        <f t="shared" si="19"/>
        <v>0.99938430186005145</v>
      </c>
      <c r="F265" s="192">
        <v>0.99941360362656539</v>
      </c>
    </row>
    <row r="266" spans="1:6" x14ac:dyDescent="0.25">
      <c r="A266" s="101">
        <v>262</v>
      </c>
      <c r="B266" s="192">
        <f t="shared" si="16"/>
        <v>0.99941360362656539</v>
      </c>
      <c r="C266" s="193">
        <f t="shared" si="17"/>
        <v>0.99882755111383759</v>
      </c>
      <c r="D266" s="192">
        <f t="shared" si="18"/>
        <v>1.1721050254556568E-3</v>
      </c>
      <c r="E266" s="192">
        <f t="shared" si="19"/>
        <v>0.99941360362656539</v>
      </c>
      <c r="F266" s="192">
        <v>0.99944151166837059</v>
      </c>
    </row>
    <row r="267" spans="1:6" x14ac:dyDescent="0.25">
      <c r="A267" s="101">
        <v>263</v>
      </c>
      <c r="B267" s="192">
        <f t="shared" si="16"/>
        <v>0.99944151166837059</v>
      </c>
      <c r="C267" s="193">
        <f t="shared" si="17"/>
        <v>0.99888333524595774</v>
      </c>
      <c r="D267" s="192">
        <f t="shared" si="18"/>
        <v>1.1163528448256961E-3</v>
      </c>
      <c r="E267" s="192">
        <f t="shared" si="19"/>
        <v>0.99944151166837059</v>
      </c>
      <c r="F267" s="192">
        <v>0.99946809220491017</v>
      </c>
    </row>
    <row r="268" spans="1:6" x14ac:dyDescent="0.25">
      <c r="A268" s="101">
        <v>264</v>
      </c>
      <c r="B268" s="192">
        <f t="shared" si="16"/>
        <v>0.99946809220491017</v>
      </c>
      <c r="C268" s="193">
        <f t="shared" si="17"/>
        <v>0.99893646733572283</v>
      </c>
      <c r="D268" s="192">
        <f t="shared" si="18"/>
        <v>1.0632497383746963E-3</v>
      </c>
      <c r="E268" s="192">
        <f t="shared" si="19"/>
        <v>0.99946809220491017</v>
      </c>
      <c r="F268" s="192">
        <v>0.99949340831610178</v>
      </c>
    </row>
    <row r="269" spans="1:6" x14ac:dyDescent="0.25">
      <c r="A269" s="101">
        <v>265</v>
      </c>
      <c r="B269" s="192">
        <f t="shared" si="16"/>
        <v>0.99949340831610178</v>
      </c>
      <c r="C269" s="193">
        <f t="shared" si="17"/>
        <v>0.99898707326733771</v>
      </c>
      <c r="D269" s="192">
        <f t="shared" si="18"/>
        <v>1.0126700975280434E-3</v>
      </c>
      <c r="E269" s="192">
        <f t="shared" si="19"/>
        <v>0.99949340831610178</v>
      </c>
      <c r="F269" s="192">
        <v>0.99951752009055839</v>
      </c>
    </row>
    <row r="270" spans="1:6" x14ac:dyDescent="0.25">
      <c r="A270" s="101">
        <v>266</v>
      </c>
      <c r="B270" s="192">
        <f t="shared" si="16"/>
        <v>0.99951752009055839</v>
      </c>
      <c r="C270" s="193">
        <f t="shared" si="17"/>
        <v>0.99903527296797978</v>
      </c>
      <c r="D270" s="192">
        <f t="shared" si="18"/>
        <v>9.6449424515719694E-4</v>
      </c>
      <c r="E270" s="192">
        <f t="shared" si="19"/>
        <v>0.99951752009055839</v>
      </c>
      <c r="F270" s="192">
        <v>0.99954048476687141</v>
      </c>
    </row>
    <row r="271" spans="1:6" x14ac:dyDescent="0.25">
      <c r="A271" s="101">
        <v>267</v>
      </c>
      <c r="B271" s="192">
        <f t="shared" si="16"/>
        <v>0.99954048476687141</v>
      </c>
      <c r="C271" s="193">
        <f t="shared" si="17"/>
        <v>0.99908118068799234</v>
      </c>
      <c r="D271" s="192">
        <f t="shared" si="18"/>
        <v>9.1860815775823238E-4</v>
      </c>
      <c r="E271" s="192">
        <f t="shared" si="19"/>
        <v>0.99954048476687141</v>
      </c>
      <c r="F271" s="192">
        <v>0.99956235686827366</v>
      </c>
    </row>
    <row r="272" spans="1:6" x14ac:dyDescent="0.25">
      <c r="A272" s="101">
        <v>268</v>
      </c>
      <c r="B272" s="192">
        <f t="shared" si="16"/>
        <v>0.99956235686827366</v>
      </c>
      <c r="C272" s="193">
        <f t="shared" si="17"/>
        <v>0.99912490526805808</v>
      </c>
      <c r="D272" s="192">
        <f t="shared" si="18"/>
        <v>8.7490320043118479E-4</v>
      </c>
      <c r="E272" s="192">
        <f t="shared" si="19"/>
        <v>0.99956235686827366</v>
      </c>
      <c r="F272" s="192">
        <v>0.99958318833098592</v>
      </c>
    </row>
    <row r="273" spans="1:6" x14ac:dyDescent="0.25">
      <c r="A273" s="101">
        <v>269</v>
      </c>
      <c r="B273" s="192">
        <f t="shared" si="16"/>
        <v>0.99958318833098592</v>
      </c>
      <c r="C273" s="193">
        <f t="shared" si="17"/>
        <v>0.99916655039393931</v>
      </c>
      <c r="D273" s="192">
        <f t="shared" si="18"/>
        <v>8.3327587409331397E-4</v>
      </c>
      <c r="E273" s="192">
        <f t="shared" si="19"/>
        <v>0.99958318833098592</v>
      </c>
      <c r="F273" s="192">
        <v>0.99960302862654382</v>
      </c>
    </row>
    <row r="274" spans="1:6" x14ac:dyDescent="0.25">
      <c r="A274" s="101">
        <v>270</v>
      </c>
      <c r="B274" s="192">
        <f t="shared" si="16"/>
        <v>0.99960302862654382</v>
      </c>
      <c r="C274" s="193">
        <f t="shared" si="17"/>
        <v>0.99920621483935901</v>
      </c>
      <c r="D274" s="192">
        <f t="shared" si="18"/>
        <v>7.9362757436966986E-4</v>
      </c>
      <c r="E274" s="192">
        <f t="shared" si="19"/>
        <v>0.99960302862654382</v>
      </c>
      <c r="F274" s="192">
        <v>0.99962192487837509</v>
      </c>
    </row>
    <row r="275" spans="1:6" x14ac:dyDescent="0.25">
      <c r="A275" s="101">
        <v>271</v>
      </c>
      <c r="B275" s="192">
        <f t="shared" si="16"/>
        <v>0.99962192487837509</v>
      </c>
      <c r="C275" s="193">
        <f t="shared" si="17"/>
        <v>0.99924399269754782</v>
      </c>
      <c r="D275" s="192">
        <f t="shared" si="18"/>
        <v>7.5586436165463677E-4</v>
      </c>
      <c r="E275" s="192">
        <f t="shared" si="19"/>
        <v>0.99962192487837509</v>
      </c>
      <c r="F275" s="192">
        <v>0.99963992197290297</v>
      </c>
    </row>
    <row r="276" spans="1:6" x14ac:dyDescent="0.25">
      <c r="A276" s="101">
        <v>272</v>
      </c>
      <c r="B276" s="192">
        <f t="shared" si="16"/>
        <v>0.99963992197290297</v>
      </c>
      <c r="C276" s="193">
        <f t="shared" si="17"/>
        <v>0.9992799736019915</v>
      </c>
      <c r="D276" s="192">
        <f t="shared" si="18"/>
        <v>7.1989674182286933E-4</v>
      </c>
      <c r="E276" s="192">
        <f t="shared" si="19"/>
        <v>0.99963992197290297</v>
      </c>
      <c r="F276" s="192">
        <v>0.99965706266542187</v>
      </c>
    </row>
    <row r="277" spans="1:6" x14ac:dyDescent="0.25">
      <c r="A277" s="101">
        <v>273</v>
      </c>
      <c r="B277" s="192">
        <f t="shared" si="16"/>
        <v>0.99965706266542187</v>
      </c>
      <c r="C277" s="193">
        <f t="shared" si="17"/>
        <v>0.99931424293685922</v>
      </c>
      <c r="D277" s="192">
        <f t="shared" si="18"/>
        <v>6.8563945712536603E-4</v>
      </c>
      <c r="E277" s="192">
        <f t="shared" si="19"/>
        <v>0.99965706266542187</v>
      </c>
      <c r="F277" s="192">
        <v>0.99967338768099434</v>
      </c>
    </row>
    <row r="278" spans="1:6" x14ac:dyDescent="0.25">
      <c r="A278" s="101">
        <v>274</v>
      </c>
      <c r="B278" s="192">
        <f t="shared" si="16"/>
        <v>0.99967338768099434</v>
      </c>
      <c r="C278" s="193">
        <f t="shared" si="17"/>
        <v>0.99934688203759559</v>
      </c>
      <c r="D278" s="192">
        <f t="shared" si="18"/>
        <v>6.5301128679746577E-4</v>
      </c>
      <c r="E278" s="192">
        <f t="shared" si="19"/>
        <v>0.99967338768099434</v>
      </c>
      <c r="F278" s="192">
        <v>0.99968893581059493</v>
      </c>
    </row>
    <row r="279" spans="1:6" x14ac:dyDescent="0.25">
      <c r="A279" s="101">
        <v>275</v>
      </c>
      <c r="B279" s="192">
        <f t="shared" si="16"/>
        <v>0.99968893581059493</v>
      </c>
      <c r="C279" s="193">
        <f t="shared" si="17"/>
        <v>0.99937796838211979</v>
      </c>
      <c r="D279" s="192">
        <f t="shared" si="18"/>
        <v>6.2193485695028904E-4</v>
      </c>
      <c r="E279" s="192">
        <f t="shared" si="19"/>
        <v>0.99968893581059493</v>
      </c>
      <c r="F279" s="192">
        <v>0.99970374400272699</v>
      </c>
    </row>
    <row r="280" spans="1:6" x14ac:dyDescent="0.25">
      <c r="A280" s="101">
        <v>276</v>
      </c>
      <c r="B280" s="192">
        <f t="shared" si="16"/>
        <v>0.99970374400272699</v>
      </c>
      <c r="C280" s="193">
        <f t="shared" si="17"/>
        <v>0.99940757577306993</v>
      </c>
      <c r="D280" s="192">
        <f t="shared" si="18"/>
        <v>5.9233645931417844E-4</v>
      </c>
      <c r="E280" s="192">
        <f t="shared" si="19"/>
        <v>0.99970374400272699</v>
      </c>
      <c r="F280" s="192">
        <v>0.99971784745072167</v>
      </c>
    </row>
    <row r="281" spans="1:6" x14ac:dyDescent="0.25">
      <c r="A281" s="101">
        <v>277</v>
      </c>
      <c r="B281" s="192">
        <f t="shared" si="16"/>
        <v>0.99971784745072167</v>
      </c>
      <c r="C281" s="193">
        <f t="shared" si="17"/>
        <v>0.99943577451150445</v>
      </c>
      <c r="D281" s="192">
        <f t="shared" si="18"/>
        <v>5.6414587843452147E-4</v>
      </c>
      <c r="E281" s="192">
        <f t="shared" si="19"/>
        <v>0.99971784745072167</v>
      </c>
      <c r="F281" s="192">
        <v>0.99973127967591957</v>
      </c>
    </row>
    <row r="282" spans="1:6" x14ac:dyDescent="0.25">
      <c r="A282" s="101">
        <v>278</v>
      </c>
      <c r="B282" s="192">
        <f t="shared" si="16"/>
        <v>0.99973127967591957</v>
      </c>
      <c r="C282" s="193">
        <f t="shared" si="17"/>
        <v>0.99946263156245174</v>
      </c>
      <c r="D282" s="192">
        <f t="shared" si="18"/>
        <v>5.3729622693571072E-4</v>
      </c>
      <c r="E282" s="192">
        <f t="shared" si="19"/>
        <v>0.99973127967591957</v>
      </c>
      <c r="F282" s="192">
        <v>0.99974407260692844</v>
      </c>
    </row>
    <row r="283" spans="1:6" x14ac:dyDescent="0.25">
      <c r="A283" s="101">
        <v>279</v>
      </c>
      <c r="B283" s="192">
        <f t="shared" si="16"/>
        <v>0.99974407260692844</v>
      </c>
      <c r="C283" s="193">
        <f t="shared" si="17"/>
        <v>0.99948821071268734</v>
      </c>
      <c r="D283" s="192">
        <f t="shared" si="18"/>
        <v>5.1172378848208004E-4</v>
      </c>
      <c r="E283" s="192">
        <f t="shared" si="19"/>
        <v>0.99974407260692844</v>
      </c>
      <c r="F283" s="192">
        <v>0.99975625665514123</v>
      </c>
    </row>
    <row r="284" spans="1:6" x14ac:dyDescent="0.25">
      <c r="A284" s="101">
        <v>280</v>
      </c>
      <c r="B284" s="192">
        <f t="shared" si="16"/>
        <v>0.99975625665514123</v>
      </c>
      <c r="C284" s="193">
        <f t="shared" si="17"/>
        <v>0.99951257272110061</v>
      </c>
      <c r="D284" s="192">
        <f t="shared" si="18"/>
        <v>4.8736786808121639E-4</v>
      </c>
      <c r="E284" s="192">
        <f t="shared" si="19"/>
        <v>0.99975625665514123</v>
      </c>
      <c r="F284" s="192">
        <v>0.99976786078668745</v>
      </c>
    </row>
    <row r="285" spans="1:6" x14ac:dyDescent="0.25">
      <c r="A285" s="101">
        <v>281</v>
      </c>
      <c r="B285" s="192">
        <f t="shared" si="16"/>
        <v>0.99976786078668745</v>
      </c>
      <c r="C285" s="193">
        <f t="shared" si="17"/>
        <v>0.99953577546198924</v>
      </c>
      <c r="D285" s="192">
        <f t="shared" si="18"/>
        <v>4.64170649396394E-4</v>
      </c>
      <c r="E285" s="192">
        <f t="shared" si="19"/>
        <v>0.99976786078668745</v>
      </c>
      <c r="F285" s="192">
        <v>0.99977891259098539</v>
      </c>
    </row>
    <row r="286" spans="1:6" x14ac:dyDescent="0.25">
      <c r="A286" s="101">
        <v>282</v>
      </c>
      <c r="B286" s="192">
        <f t="shared" si="16"/>
        <v>0.99977891259098539</v>
      </c>
      <c r="C286" s="193">
        <f t="shared" si="17"/>
        <v>0.99955787406161323</v>
      </c>
      <c r="D286" s="192">
        <f t="shared" si="18"/>
        <v>4.4207705874436774E-4</v>
      </c>
      <c r="E286" s="192">
        <f t="shared" si="19"/>
        <v>0.99977891259098539</v>
      </c>
      <c r="F286" s="192">
        <v>0.99978943834605616</v>
      </c>
    </row>
    <row r="287" spans="1:6" x14ac:dyDescent="0.25">
      <c r="A287" s="101">
        <v>283</v>
      </c>
      <c r="B287" s="192">
        <f t="shared" si="16"/>
        <v>0.99978943834605616</v>
      </c>
      <c r="C287" s="193">
        <f t="shared" si="17"/>
        <v>0.99957892102832246</v>
      </c>
      <c r="D287" s="192">
        <f t="shared" si="18"/>
        <v>4.2103463546745988E-4</v>
      </c>
      <c r="E287" s="192">
        <f t="shared" si="19"/>
        <v>0.99978943834605616</v>
      </c>
      <c r="F287" s="192">
        <v>0.99979946308074941</v>
      </c>
    </row>
    <row r="288" spans="1:6" x14ac:dyDescent="0.25">
      <c r="A288" s="101">
        <v>284</v>
      </c>
      <c r="B288" s="192">
        <f t="shared" si="16"/>
        <v>0.99979946308074941</v>
      </c>
      <c r="C288" s="193">
        <f t="shared" si="17"/>
        <v>0.99959896637655477</v>
      </c>
      <c r="D288" s="192">
        <f t="shared" si="18"/>
        <v>4.009934083892219E-4</v>
      </c>
      <c r="E288" s="192">
        <f t="shared" si="19"/>
        <v>0.99979946308074941</v>
      </c>
      <c r="F288" s="192">
        <v>0.99980901063402705</v>
      </c>
    </row>
    <row r="289" spans="1:6" x14ac:dyDescent="0.25">
      <c r="A289" s="101">
        <v>285</v>
      </c>
      <c r="B289" s="192">
        <f t="shared" si="16"/>
        <v>0.99980901063402705</v>
      </c>
      <c r="C289" s="193">
        <f t="shared" si="17"/>
        <v>0.99961805774499202</v>
      </c>
      <c r="D289" s="192">
        <f t="shared" si="18"/>
        <v>3.8190577807006832E-4</v>
      </c>
      <c r="E289" s="192">
        <f t="shared" si="19"/>
        <v>0.99980901063402705</v>
      </c>
      <c r="F289" s="192">
        <v>0.9998181037114422</v>
      </c>
    </row>
    <row r="290" spans="1:6" x14ac:dyDescent="0.25">
      <c r="A290" s="101">
        <v>286</v>
      </c>
      <c r="B290" s="192">
        <f t="shared" si="16"/>
        <v>0.9998181037114422</v>
      </c>
      <c r="C290" s="193">
        <f t="shared" si="17"/>
        <v>0.99963624050914424</v>
      </c>
      <c r="D290" s="192">
        <f t="shared" si="18"/>
        <v>3.6372640459602474E-4</v>
      </c>
      <c r="E290" s="192">
        <f t="shared" si="19"/>
        <v>0.9998181037114422</v>
      </c>
      <c r="F290" s="192">
        <v>0.99982676393894487</v>
      </c>
    </row>
    <row r="291" spans="1:6" x14ac:dyDescent="0.25">
      <c r="A291" s="101">
        <v>287</v>
      </c>
      <c r="B291" s="192">
        <f t="shared" si="16"/>
        <v>0.99982676393894487</v>
      </c>
      <c r="C291" s="193">
        <f t="shared" si="17"/>
        <v>0.99965355788862265</v>
      </c>
      <c r="D291" s="192">
        <f t="shared" si="18"/>
        <v>3.4641210064455312E-4</v>
      </c>
      <c r="E291" s="192">
        <f t="shared" si="19"/>
        <v>0.99982676393894487</v>
      </c>
      <c r="F291" s="192">
        <v>0.99983501191414337</v>
      </c>
    </row>
    <row r="292" spans="1:6" x14ac:dyDescent="0.25">
      <c r="A292" s="101">
        <v>288</v>
      </c>
      <c r="B292" s="192">
        <f t="shared" si="16"/>
        <v>0.99983501191414337</v>
      </c>
      <c r="C292" s="193">
        <f t="shared" si="17"/>
        <v>0.99967005104935525</v>
      </c>
      <c r="D292" s="192">
        <f t="shared" si="18"/>
        <v>3.2992172957631505E-4</v>
      </c>
      <c r="E292" s="192">
        <f t="shared" si="19"/>
        <v>0.99983501191414337</v>
      </c>
      <c r="F292" s="192">
        <v>0.99984286725513494</v>
      </c>
    </row>
    <row r="293" spans="1:6" x14ac:dyDescent="0.25">
      <c r="A293" s="101">
        <v>289</v>
      </c>
      <c r="B293" s="192">
        <f t="shared" si="16"/>
        <v>0.99984286725513494</v>
      </c>
      <c r="C293" s="193">
        <f t="shared" si="17"/>
        <v>0.99968575920096936</v>
      </c>
      <c r="D293" s="192">
        <f t="shared" si="18"/>
        <v>3.1421610833110795E-4</v>
      </c>
      <c r="E293" s="192">
        <f t="shared" si="19"/>
        <v>0.99984286725513494</v>
      </c>
      <c r="F293" s="192">
        <v>0.99985034864702715</v>
      </c>
    </row>
    <row r="294" spans="1:6" x14ac:dyDescent="0.25">
      <c r="A294" s="101">
        <v>290</v>
      </c>
      <c r="B294" s="192">
        <f t="shared" si="16"/>
        <v>0.99985034864702715</v>
      </c>
      <c r="C294" s="193">
        <f t="shared" si="17"/>
        <v>0.99970071968958174</v>
      </c>
      <c r="D294" s="192">
        <f t="shared" si="18"/>
        <v>2.992579148907989E-4</v>
      </c>
      <c r="E294" s="192">
        <f t="shared" si="19"/>
        <v>0.99985034864702715</v>
      </c>
      <c r="F294" s="192">
        <v>0.99985747388625323</v>
      </c>
    </row>
    <row r="295" spans="1:6" x14ac:dyDescent="0.25">
      <c r="A295" s="101">
        <v>291</v>
      </c>
      <c r="B295" s="192">
        <f t="shared" si="16"/>
        <v>0.99985747388625323</v>
      </c>
      <c r="C295" s="193">
        <f t="shared" si="17"/>
        <v>0.99971496808619953</v>
      </c>
      <c r="D295" s="192">
        <f t="shared" si="18"/>
        <v>2.8501160010733237E-4</v>
      </c>
      <c r="E295" s="192">
        <f t="shared" si="19"/>
        <v>0.99985747388625323</v>
      </c>
      <c r="F295" s="192">
        <v>0.99986425992278838</v>
      </c>
    </row>
    <row r="296" spans="1:6" x14ac:dyDescent="0.25">
      <c r="A296" s="101">
        <v>292</v>
      </c>
      <c r="B296" s="192">
        <f t="shared" si="16"/>
        <v>0.99986425992278838</v>
      </c>
      <c r="C296" s="193">
        <f t="shared" si="17"/>
        <v>0.99972853827094532</v>
      </c>
      <c r="D296" s="192">
        <f t="shared" si="18"/>
        <v>2.7144330368611977E-4</v>
      </c>
      <c r="E296" s="192">
        <f t="shared" si="19"/>
        <v>0.99986425992278838</v>
      </c>
      <c r="F296" s="192">
        <v>0.99987072290036627</v>
      </c>
    </row>
    <row r="297" spans="1:6" x14ac:dyDescent="0.25">
      <c r="A297" s="101">
        <v>293</v>
      </c>
      <c r="B297" s="192">
        <f t="shared" si="16"/>
        <v>0.99987072290036627</v>
      </c>
      <c r="C297" s="193">
        <f t="shared" si="17"/>
        <v>0.99974146251330098</v>
      </c>
      <c r="D297" s="192">
        <f t="shared" si="18"/>
        <v>2.585207741304784E-4</v>
      </c>
      <c r="E297" s="192">
        <f t="shared" si="19"/>
        <v>0.99987072290036627</v>
      </c>
      <c r="F297" s="192">
        <v>0.99987687819478532</v>
      </c>
    </row>
    <row r="298" spans="1:6" x14ac:dyDescent="0.25">
      <c r="A298" s="101">
        <v>294</v>
      </c>
      <c r="B298" s="192">
        <f t="shared" si="16"/>
        <v>0.99987687819478532</v>
      </c>
      <c r="C298" s="193">
        <f t="shared" si="17"/>
        <v>0.99975377154854961</v>
      </c>
      <c r="D298" s="192">
        <f t="shared" si="18"/>
        <v>2.4621329247151441E-4</v>
      </c>
      <c r="E298" s="192">
        <f t="shared" si="19"/>
        <v>0.99987687819478532</v>
      </c>
      <c r="F298" s="192">
        <v>0.99988274045040493</v>
      </c>
    </row>
    <row r="299" spans="1:6" x14ac:dyDescent="0.25">
      <c r="A299" s="101">
        <v>295</v>
      </c>
      <c r="B299" s="192">
        <f t="shared" si="16"/>
        <v>0.99988274045040493</v>
      </c>
      <c r="C299" s="193">
        <f t="shared" si="17"/>
        <v>0.99976549465061182</v>
      </c>
      <c r="D299" s="192">
        <f t="shared" si="18"/>
        <v>2.344915995862022E-4</v>
      </c>
      <c r="E299" s="192">
        <f t="shared" si="19"/>
        <v>0.99988274045040493</v>
      </c>
      <c r="F299" s="192">
        <v>0.99988832361490343</v>
      </c>
    </row>
    <row r="300" spans="1:6" x14ac:dyDescent="0.25">
      <c r="A300" s="101">
        <v>296</v>
      </c>
      <c r="B300" s="192">
        <f t="shared" si="16"/>
        <v>0.99988832361490343</v>
      </c>
      <c r="C300" s="193">
        <f t="shared" si="17"/>
        <v>0.99977665970142182</v>
      </c>
      <c r="D300" s="192">
        <f t="shared" si="18"/>
        <v>2.2332782696316502E-4</v>
      </c>
      <c r="E300" s="192">
        <f t="shared" si="19"/>
        <v>0.99988832361490343</v>
      </c>
      <c r="F300" s="192">
        <v>0.9998936409723943</v>
      </c>
    </row>
    <row r="301" spans="1:6" x14ac:dyDescent="0.25">
      <c r="A301" s="101">
        <v>297</v>
      </c>
      <c r="B301" s="192">
        <f t="shared" si="16"/>
        <v>0.9998936409723943</v>
      </c>
      <c r="C301" s="193">
        <f t="shared" si="17"/>
        <v>0.99978729325703131</v>
      </c>
      <c r="D301" s="192">
        <f t="shared" si="18"/>
        <v>2.1269543072588518E-4</v>
      </c>
      <c r="E301" s="192">
        <f t="shared" si="19"/>
        <v>0.9998936409723943</v>
      </c>
      <c r="F301" s="192">
        <v>0.99989870517496504</v>
      </c>
    </row>
    <row r="302" spans="1:6" x14ac:dyDescent="0.25">
      <c r="A302" s="101">
        <v>298</v>
      </c>
      <c r="B302" s="192">
        <f t="shared" si="16"/>
        <v>0.99989870517496504</v>
      </c>
      <c r="C302" s="193">
        <f t="shared" si="17"/>
        <v>0.99979742061057164</v>
      </c>
      <c r="D302" s="192">
        <f t="shared" si="18"/>
        <v>2.0256912878675987E-4</v>
      </c>
      <c r="E302" s="192">
        <f t="shared" si="19"/>
        <v>0.99989870517496504</v>
      </c>
      <c r="F302" s="192">
        <v>0.99990352827272444</v>
      </c>
    </row>
    <row r="303" spans="1:6" x14ac:dyDescent="0.25">
      <c r="A303" s="101">
        <v>299</v>
      </c>
      <c r="B303" s="192">
        <f t="shared" si="16"/>
        <v>0.99990352827272444</v>
      </c>
      <c r="C303" s="193">
        <f t="shared" si="17"/>
        <v>0.99980706585224299</v>
      </c>
      <c r="D303" s="192">
        <f t="shared" si="18"/>
        <v>1.9292484096279289E-4</v>
      </c>
      <c r="E303" s="192">
        <f t="shared" si="19"/>
        <v>0.99990352827272444</v>
      </c>
      <c r="F303" s="192">
        <v>0.99990812174242072</v>
      </c>
    </row>
    <row r="304" spans="1:6" x14ac:dyDescent="0.25">
      <c r="A304" s="101">
        <v>300</v>
      </c>
      <c r="B304" s="192">
        <f t="shared" si="16"/>
        <v>0.99990812174242072</v>
      </c>
      <c r="C304" s="193">
        <f t="shared" si="17"/>
        <v>0.99981625192645562</v>
      </c>
      <c r="D304" s="192">
        <f t="shared" si="18"/>
        <v>1.8373963193013022E-4</v>
      </c>
      <c r="E304" s="192">
        <f t="shared" si="19"/>
        <v>0.99990812174242072</v>
      </c>
      <c r="F304" s="192">
        <v>0.99991249651470238</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DB9CF-7963-4DD6-A382-40AE158C3F05}">
  <dimension ref="A1:O643"/>
  <sheetViews>
    <sheetView showGridLines="0" topLeftCell="A24" zoomScale="110" zoomScaleNormal="110" workbookViewId="0">
      <selection activeCell="E55" sqref="E55"/>
    </sheetView>
  </sheetViews>
  <sheetFormatPr defaultColWidth="9.140625" defaultRowHeight="15" x14ac:dyDescent="0.25"/>
  <cols>
    <col min="1" max="1" width="5.5703125" style="2" customWidth="1"/>
    <col min="2" max="2" width="5.140625" style="2" customWidth="1"/>
    <col min="3" max="3" width="5.7109375" style="2" customWidth="1"/>
    <col min="4" max="4" width="9" bestFit="1" customWidth="1"/>
    <col min="5" max="5" width="9.140625" style="9"/>
    <col min="6" max="6" width="8.28515625" style="6" customWidth="1"/>
    <col min="7" max="7" width="11.28515625" style="364" customWidth="1"/>
    <col min="8" max="8" width="8" style="6" customWidth="1"/>
    <col min="9" max="9" width="5.5703125" style="5" bestFit="1" customWidth="1"/>
    <col min="10" max="10" width="6.42578125" style="5" bestFit="1" customWidth="1"/>
    <col min="11" max="11" width="9.5703125" style="5" customWidth="1"/>
    <col min="12" max="12" width="14.7109375" style="63" customWidth="1"/>
    <col min="13" max="13" width="11" style="151" customWidth="1"/>
    <col min="14" max="14" width="17.42578125" style="151" bestFit="1" customWidth="1"/>
    <col min="15" max="15" width="13.5703125" style="151" customWidth="1"/>
  </cols>
  <sheetData>
    <row r="1" spans="1:15" ht="32.25" customHeight="1" x14ac:dyDescent="0.25">
      <c r="B1" s="44" t="s">
        <v>55</v>
      </c>
      <c r="D1" s="2"/>
      <c r="M1" s="195" t="s">
        <v>190</v>
      </c>
    </row>
    <row r="2" spans="1:15" ht="36.75" x14ac:dyDescent="0.25">
      <c r="A2" s="11" t="s">
        <v>0</v>
      </c>
      <c r="B2" s="11" t="s">
        <v>10</v>
      </c>
      <c r="C2" s="16" t="s">
        <v>11</v>
      </c>
      <c r="D2" s="11" t="s">
        <v>9</v>
      </c>
      <c r="E2" s="33" t="s">
        <v>3</v>
      </c>
      <c r="F2" s="22" t="s">
        <v>29</v>
      </c>
      <c r="G2" s="365" t="s">
        <v>27</v>
      </c>
      <c r="H2" s="64" t="s">
        <v>28</v>
      </c>
      <c r="I2" s="16" t="s">
        <v>25</v>
      </c>
      <c r="J2" s="16" t="s">
        <v>26</v>
      </c>
      <c r="K2" s="163" t="s">
        <v>151</v>
      </c>
      <c r="L2" s="377" t="s">
        <v>153</v>
      </c>
      <c r="M2" s="163" t="s">
        <v>152</v>
      </c>
      <c r="N2" s="150" t="s">
        <v>187</v>
      </c>
      <c r="O2" s="162" t="s">
        <v>156</v>
      </c>
    </row>
    <row r="3" spans="1:15" x14ac:dyDescent="0.25">
      <c r="A3" s="11">
        <v>20</v>
      </c>
      <c r="B3" s="11">
        <v>3</v>
      </c>
      <c r="C3" s="19">
        <v>1000</v>
      </c>
      <c r="D3" s="373">
        <v>-1</v>
      </c>
      <c r="E3" s="34">
        <v>100000</v>
      </c>
      <c r="F3" s="22">
        <v>1</v>
      </c>
      <c r="G3" s="378">
        <v>0</v>
      </c>
      <c r="H3" s="64">
        <v>0</v>
      </c>
      <c r="I3" s="16" t="s">
        <v>12</v>
      </c>
      <c r="J3" s="16" t="s">
        <v>12</v>
      </c>
      <c r="K3" s="160">
        <f>G3-H3</f>
        <v>0</v>
      </c>
      <c r="L3" s="374" t="e">
        <f t="shared" ref="L3:L4" si="0">(1-EXP(-2*D3))/(1-EXP(-4*C3*D3))</f>
        <v>#NUM!</v>
      </c>
      <c r="M3" s="53">
        <f>G3+H3</f>
        <v>0</v>
      </c>
      <c r="N3" s="58" t="e">
        <f>L3/G3</f>
        <v>#NUM!</v>
      </c>
      <c r="O3" s="121" t="e">
        <f>AND(L3&gt;=K3,L3&lt;=M3)</f>
        <v>#NUM!</v>
      </c>
    </row>
    <row r="4" spans="1:15" x14ac:dyDescent="0.25">
      <c r="A4" s="11">
        <v>20</v>
      </c>
      <c r="B4" s="11">
        <v>4</v>
      </c>
      <c r="C4" s="19">
        <v>1000</v>
      </c>
      <c r="D4" s="354">
        <v>-0.1</v>
      </c>
      <c r="E4" s="34">
        <v>100000</v>
      </c>
      <c r="F4" s="22">
        <v>1</v>
      </c>
      <c r="G4" s="378">
        <v>0</v>
      </c>
      <c r="H4" s="64">
        <v>0</v>
      </c>
      <c r="I4" s="16" t="s">
        <v>12</v>
      </c>
      <c r="J4" s="16" t="s">
        <v>12</v>
      </c>
      <c r="K4" s="160">
        <f>G4-H4</f>
        <v>0</v>
      </c>
      <c r="L4" s="374">
        <f t="shared" si="0"/>
        <v>4.2402383105698099E-175</v>
      </c>
      <c r="M4" s="53">
        <f>G4+H4</f>
        <v>0</v>
      </c>
      <c r="N4" s="58" t="e">
        <f>L4/G4</f>
        <v>#DIV/0!</v>
      </c>
      <c r="O4" s="121" t="b">
        <f>AND(L4&gt;=K4,L4&lt;=M4)</f>
        <v>0</v>
      </c>
    </row>
    <row r="5" spans="1:15" x14ac:dyDescent="0.25">
      <c r="A5" s="19">
        <v>20</v>
      </c>
      <c r="B5" s="19">
        <v>23</v>
      </c>
      <c r="C5" s="19">
        <v>1000</v>
      </c>
      <c r="D5" s="348">
        <v>-0.05</v>
      </c>
      <c r="E5" s="34">
        <v>100000</v>
      </c>
      <c r="F5" s="117">
        <v>1</v>
      </c>
      <c r="G5" s="366">
        <v>0</v>
      </c>
      <c r="H5" s="117">
        <v>0</v>
      </c>
      <c r="I5" s="24" t="s">
        <v>12</v>
      </c>
      <c r="J5" s="24" t="s">
        <v>12</v>
      </c>
      <c r="K5" s="160">
        <f>G5-H5</f>
        <v>0</v>
      </c>
      <c r="L5" s="374">
        <f t="shared" ref="L5:L13" si="1">(1-EXP(-2*D5))/(1-EXP(-4*C5*D5))</f>
        <v>1.4554566823860284E-88</v>
      </c>
      <c r="M5" s="53">
        <f>G5+H5</f>
        <v>0</v>
      </c>
      <c r="N5" s="58" t="e">
        <f>L5/G5</f>
        <v>#DIV/0!</v>
      </c>
      <c r="O5" s="121" t="b">
        <f>AND(L5&gt;=K5,L5&lt;=M5)</f>
        <v>0</v>
      </c>
    </row>
    <row r="6" spans="1:15" x14ac:dyDescent="0.25">
      <c r="A6" s="19">
        <v>20</v>
      </c>
      <c r="B6" s="19">
        <v>24</v>
      </c>
      <c r="C6" s="19">
        <v>1000</v>
      </c>
      <c r="D6" s="361">
        <v>-0.01</v>
      </c>
      <c r="E6" s="34">
        <v>10000</v>
      </c>
      <c r="F6" s="117">
        <v>1</v>
      </c>
      <c r="G6" s="366">
        <v>0</v>
      </c>
      <c r="H6" s="117">
        <v>0</v>
      </c>
      <c r="I6" s="24" t="s">
        <v>12</v>
      </c>
      <c r="J6" s="24" t="s">
        <v>12</v>
      </c>
      <c r="K6" s="160">
        <f t="shared" ref="K6:K14" si="2">G6-H6</f>
        <v>0</v>
      </c>
      <c r="L6" s="374">
        <f t="shared" si="1"/>
        <v>8.5822448865260204E-20</v>
      </c>
      <c r="M6" s="53">
        <f t="shared" ref="M6:M14" si="3">G6+H6</f>
        <v>0</v>
      </c>
      <c r="N6" s="58" t="e">
        <f t="shared" ref="N6:N14" si="4">L6/G6</f>
        <v>#DIV/0!</v>
      </c>
      <c r="O6" s="362" t="b">
        <f t="shared" ref="O6:O14" si="5">AND(L6&gt;=K6,L6&lt;=M6)</f>
        <v>0</v>
      </c>
    </row>
    <row r="7" spans="1:15" x14ac:dyDescent="0.25">
      <c r="A7" s="19">
        <v>20</v>
      </c>
      <c r="B7" s="19">
        <v>25</v>
      </c>
      <c r="C7" s="19">
        <v>1000</v>
      </c>
      <c r="D7" s="348">
        <v>-5.0000000000000001E-3</v>
      </c>
      <c r="E7" s="34">
        <v>100000</v>
      </c>
      <c r="F7" s="117">
        <v>1</v>
      </c>
      <c r="G7" s="366">
        <v>0</v>
      </c>
      <c r="H7" s="117">
        <v>0</v>
      </c>
      <c r="I7" s="24" t="s">
        <v>12</v>
      </c>
      <c r="J7" s="24" t="s">
        <v>12</v>
      </c>
      <c r="K7" s="160">
        <f t="shared" si="2"/>
        <v>0</v>
      </c>
      <c r="L7" s="374">
        <f t="shared" si="1"/>
        <v>2.0714938334342196E-11</v>
      </c>
      <c r="M7" s="53">
        <f t="shared" si="3"/>
        <v>0</v>
      </c>
      <c r="N7" s="58" t="e">
        <f t="shared" si="4"/>
        <v>#DIV/0!</v>
      </c>
      <c r="O7" s="121" t="b">
        <f t="shared" si="5"/>
        <v>0</v>
      </c>
    </row>
    <row r="8" spans="1:15" x14ac:dyDescent="0.25">
      <c r="A8" s="19">
        <v>20</v>
      </c>
      <c r="B8" s="19">
        <v>26</v>
      </c>
      <c r="C8" s="19">
        <v>1000</v>
      </c>
      <c r="D8" s="348">
        <v>-1E-3</v>
      </c>
      <c r="E8" s="34">
        <v>100000</v>
      </c>
      <c r="F8" s="117">
        <v>0.99997150000000001</v>
      </c>
      <c r="G8" s="366">
        <v>2.8500000000000002E-5</v>
      </c>
      <c r="H8" s="117">
        <v>1.5687200000000001E-5</v>
      </c>
      <c r="I8" s="24" t="s">
        <v>12</v>
      </c>
      <c r="J8" s="24" t="s">
        <v>12</v>
      </c>
      <c r="K8" s="160">
        <f t="shared" si="2"/>
        <v>1.28128E-5</v>
      </c>
      <c r="L8" s="374">
        <f t="shared" si="1"/>
        <v>3.7352060337200023E-5</v>
      </c>
      <c r="M8" s="53">
        <f t="shared" si="3"/>
        <v>4.4187200000000003E-5</v>
      </c>
      <c r="N8" s="58">
        <f t="shared" si="4"/>
        <v>1.3105986083228078</v>
      </c>
      <c r="O8" s="121" t="b">
        <f t="shared" si="5"/>
        <v>1</v>
      </c>
    </row>
    <row r="9" spans="1:15" x14ac:dyDescent="0.25">
      <c r="A9" s="19">
        <v>20</v>
      </c>
      <c r="B9" s="19">
        <v>27</v>
      </c>
      <c r="C9" s="19">
        <v>1000</v>
      </c>
      <c r="D9" s="348">
        <v>-5.0000000000000001E-4</v>
      </c>
      <c r="E9" s="34">
        <v>100000</v>
      </c>
      <c r="F9" s="117">
        <v>0.99984099999999998</v>
      </c>
      <c r="G9" s="366">
        <v>1.5899999999999999E-4</v>
      </c>
      <c r="H9" s="117">
        <v>3.9634E-5</v>
      </c>
      <c r="I9" s="24">
        <v>3685.98</v>
      </c>
      <c r="J9" s="24">
        <v>1815.36</v>
      </c>
      <c r="K9" s="160">
        <f t="shared" si="2"/>
        <v>1.1936599999999998E-4</v>
      </c>
      <c r="L9" s="374">
        <f t="shared" si="1"/>
        <v>1.5659592766384387E-4</v>
      </c>
      <c r="M9" s="53">
        <f t="shared" si="3"/>
        <v>1.98634E-4</v>
      </c>
      <c r="N9" s="58">
        <f t="shared" si="4"/>
        <v>0.98488004820027597</v>
      </c>
      <c r="O9" s="121" t="b">
        <f t="shared" si="5"/>
        <v>1</v>
      </c>
    </row>
    <row r="10" spans="1:15" ht="15.75" x14ac:dyDescent="0.25">
      <c r="A10" s="19">
        <v>20</v>
      </c>
      <c r="B10" s="19">
        <v>28</v>
      </c>
      <c r="C10" s="19">
        <v>1000</v>
      </c>
      <c r="D10" s="349">
        <v>-1E-4</v>
      </c>
      <c r="E10" s="34">
        <v>100000</v>
      </c>
      <c r="F10" s="117">
        <v>0.99960000000000004</v>
      </c>
      <c r="G10" s="367">
        <v>4.0000000000000002E-4</v>
      </c>
      <c r="H10" s="117">
        <v>6.30432E-5</v>
      </c>
      <c r="I10" s="350">
        <v>4048.53</v>
      </c>
      <c r="J10" s="24">
        <v>2174.87</v>
      </c>
      <c r="K10" s="160">
        <f t="shared" si="2"/>
        <v>3.3695680000000002E-4</v>
      </c>
      <c r="L10" s="374">
        <f t="shared" si="1"/>
        <v>4.0668962395082477E-4</v>
      </c>
      <c r="M10" s="53">
        <f t="shared" si="3"/>
        <v>4.6304320000000002E-4</v>
      </c>
      <c r="N10" s="58">
        <f t="shared" si="4"/>
        <v>1.0167240598770619</v>
      </c>
      <c r="O10" s="121" t="b">
        <f t="shared" si="5"/>
        <v>1</v>
      </c>
    </row>
    <row r="11" spans="1:15" x14ac:dyDescent="0.25">
      <c r="A11" s="19">
        <v>20</v>
      </c>
      <c r="B11" s="19">
        <v>30</v>
      </c>
      <c r="C11" s="19">
        <v>1000</v>
      </c>
      <c r="D11" s="348">
        <v>-5.0000000000000001E-4</v>
      </c>
      <c r="E11" s="34">
        <v>100000</v>
      </c>
      <c r="F11" s="117">
        <v>0.99984550000000005</v>
      </c>
      <c r="G11" s="366">
        <v>1.5449999999999999E-4</v>
      </c>
      <c r="H11" s="117">
        <v>3.90218E-5</v>
      </c>
      <c r="I11" s="24">
        <v>3718</v>
      </c>
      <c r="J11" s="24">
        <v>1666.76</v>
      </c>
      <c r="K11" s="160">
        <f t="shared" si="2"/>
        <v>1.1547819999999998E-4</v>
      </c>
      <c r="L11" s="374">
        <f>(1-EXP(-2*D11))/(1-EXP(-4*C11*D11))</f>
        <v>1.5659592766384387E-4</v>
      </c>
      <c r="M11" s="53">
        <f t="shared" si="3"/>
        <v>1.9352179999999999E-4</v>
      </c>
      <c r="N11" s="58">
        <f t="shared" si="4"/>
        <v>1.0135658748468859</v>
      </c>
      <c r="O11" s="121" t="b">
        <f t="shared" si="5"/>
        <v>1</v>
      </c>
    </row>
    <row r="12" spans="1:15" x14ac:dyDescent="0.25">
      <c r="A12" s="19">
        <v>20</v>
      </c>
      <c r="B12" s="19">
        <v>29</v>
      </c>
      <c r="C12" s="19">
        <v>1000</v>
      </c>
      <c r="D12" s="348">
        <v>-1E-4</v>
      </c>
      <c r="E12" s="34">
        <v>100000</v>
      </c>
      <c r="F12" s="117">
        <v>0.99958849999999999</v>
      </c>
      <c r="G12" s="366">
        <v>4.1149999999999997E-4</v>
      </c>
      <c r="H12" s="117">
        <v>6.3945100000000005E-5</v>
      </c>
      <c r="I12" s="24">
        <v>4046.7</v>
      </c>
      <c r="J12" s="24">
        <v>2047.87</v>
      </c>
      <c r="K12" s="160">
        <f t="shared" si="2"/>
        <v>3.4755489999999995E-4</v>
      </c>
      <c r="L12" s="374">
        <f>(1-EXP(-2*D12))/(1-EXP(-4*C12*D12))</f>
        <v>4.0668962395082477E-4</v>
      </c>
      <c r="M12" s="53">
        <f t="shared" si="3"/>
        <v>4.7544509999999999E-4</v>
      </c>
      <c r="N12" s="58">
        <f t="shared" si="4"/>
        <v>0.98831014325838351</v>
      </c>
      <c r="O12" s="121" t="b">
        <f t="shared" si="5"/>
        <v>1</v>
      </c>
    </row>
    <row r="13" spans="1:15" x14ac:dyDescent="0.25">
      <c r="A13" s="19">
        <v>20</v>
      </c>
      <c r="B13" s="19">
        <v>31</v>
      </c>
      <c r="C13" s="19">
        <v>1000</v>
      </c>
      <c r="D13" s="348">
        <v>-1.0000000000000001E-5</v>
      </c>
      <c r="E13" s="34">
        <v>100000</v>
      </c>
      <c r="F13" s="117">
        <v>0.99951049999999997</v>
      </c>
      <c r="G13" s="366">
        <v>4.8950000000000003E-4</v>
      </c>
      <c r="H13" s="117">
        <v>6.9809599999999997E-5</v>
      </c>
      <c r="I13" s="24">
        <v>4020.81</v>
      </c>
      <c r="J13" s="24">
        <v>2087.5700000000002</v>
      </c>
      <c r="K13" s="160">
        <f t="shared" si="2"/>
        <v>4.1969040000000004E-4</v>
      </c>
      <c r="L13" s="374">
        <f t="shared" si="1"/>
        <v>4.9007156558642591E-4</v>
      </c>
      <c r="M13" s="53">
        <f t="shared" si="3"/>
        <v>5.5930960000000001E-4</v>
      </c>
      <c r="N13" s="58">
        <f t="shared" si="4"/>
        <v>1.0011676518619528</v>
      </c>
      <c r="O13" s="121" t="b">
        <f t="shared" si="5"/>
        <v>1</v>
      </c>
    </row>
    <row r="14" spans="1:15" x14ac:dyDescent="0.25">
      <c r="A14" s="19">
        <v>20</v>
      </c>
      <c r="B14" s="19">
        <v>32</v>
      </c>
      <c r="C14" s="19">
        <v>1000</v>
      </c>
      <c r="D14" s="348">
        <v>-5.0000000000000002E-5</v>
      </c>
      <c r="E14" s="34">
        <v>100000</v>
      </c>
      <c r="F14" s="117">
        <v>0.99956100000000003</v>
      </c>
      <c r="G14" s="366">
        <v>4.3899999999999999E-4</v>
      </c>
      <c r="H14" s="117">
        <v>6.6069199999999994E-5</v>
      </c>
      <c r="I14" s="24">
        <v>3880.95</v>
      </c>
      <c r="J14" s="24">
        <v>2086.23</v>
      </c>
      <c r="K14" s="160">
        <f t="shared" si="2"/>
        <v>3.729308E-4</v>
      </c>
      <c r="L14" s="374">
        <f>(1-EXP(-2*D14))/(1-EXP(-4*C14*D14))</f>
        <v>4.5168814064352022E-4</v>
      </c>
      <c r="M14" s="53">
        <f t="shared" si="3"/>
        <v>5.0506919999999999E-4</v>
      </c>
      <c r="N14" s="58">
        <f t="shared" si="4"/>
        <v>1.0289023704863787</v>
      </c>
      <c r="O14" s="121" t="b">
        <f t="shared" si="5"/>
        <v>1</v>
      </c>
    </row>
    <row r="15" spans="1:15" x14ac:dyDescent="0.25">
      <c r="A15" s="2">
        <v>20</v>
      </c>
      <c r="B15" s="19">
        <v>1</v>
      </c>
      <c r="C15" s="19">
        <v>1000</v>
      </c>
      <c r="D15" s="348">
        <v>-9.9999999999999995E-7</v>
      </c>
      <c r="E15" s="34">
        <v>100000</v>
      </c>
      <c r="F15" s="117">
        <v>0.99950700000000003</v>
      </c>
      <c r="G15" s="366">
        <v>4.9299999999999995E-4</v>
      </c>
      <c r="H15" s="117">
        <v>7.0088900000000006E-5</v>
      </c>
      <c r="I15" s="24">
        <v>4067.44</v>
      </c>
      <c r="J15" s="24">
        <v>2231.27</v>
      </c>
      <c r="K15" s="160">
        <f t="shared" ref="K15" si="6">G15-H15</f>
        <v>4.2291109999999992E-4</v>
      </c>
      <c r="L15" s="374">
        <f>(1-EXP(-2*D15))/(1-EXP(-4*C15*D15))</f>
        <v>4.9900116567046108E-4</v>
      </c>
      <c r="M15" s="53">
        <f t="shared" ref="M15" si="7">G15+H15</f>
        <v>5.6308889999999998E-4</v>
      </c>
      <c r="N15" s="58">
        <f t="shared" ref="N15" si="8">L15/G15</f>
        <v>1.0121727498386635</v>
      </c>
      <c r="O15" s="121" t="b">
        <f t="shared" ref="O15" si="9">AND(L15&gt;=K15,L15&lt;=M15)</f>
        <v>1</v>
      </c>
    </row>
    <row r="16" spans="1:15" ht="15.75" x14ac:dyDescent="0.25">
      <c r="A16" s="2">
        <v>20</v>
      </c>
      <c r="B16" s="19">
        <v>33</v>
      </c>
      <c r="C16" s="19">
        <v>1000</v>
      </c>
      <c r="D16" s="351">
        <v>0</v>
      </c>
      <c r="E16" s="34">
        <v>100000</v>
      </c>
      <c r="F16" s="117">
        <v>0.99951199999999996</v>
      </c>
      <c r="G16" s="367">
        <v>4.8799999999999999E-4</v>
      </c>
      <c r="H16" s="117">
        <v>6.9722599999999995E-5</v>
      </c>
      <c r="I16" s="352">
        <v>4054.75</v>
      </c>
      <c r="J16" s="24">
        <v>2145.6799999999998</v>
      </c>
      <c r="K16" s="160">
        <f t="shared" ref="K16" si="10">G16-H16</f>
        <v>4.1827740000000002E-4</v>
      </c>
      <c r="L16" s="375"/>
      <c r="M16" s="53"/>
      <c r="N16" s="58"/>
      <c r="O16" s="121"/>
    </row>
    <row r="17" spans="1:15" x14ac:dyDescent="0.25">
      <c r="F17" s="68" t="s">
        <v>54</v>
      </c>
      <c r="G17" s="364">
        <f>1/(2*1000)</f>
        <v>5.0000000000000001E-4</v>
      </c>
      <c r="I17" s="5">
        <v>4000</v>
      </c>
    </row>
    <row r="18" spans="1:15" ht="30" x14ac:dyDescent="0.25">
      <c r="A18" s="11" t="s">
        <v>0</v>
      </c>
      <c r="B18" s="11" t="s">
        <v>10</v>
      </c>
      <c r="C18" s="16" t="s">
        <v>11</v>
      </c>
      <c r="D18" s="11" t="s">
        <v>9</v>
      </c>
      <c r="E18" s="33" t="s">
        <v>3</v>
      </c>
      <c r="F18" s="22" t="s">
        <v>29</v>
      </c>
      <c r="G18" s="365" t="s">
        <v>27</v>
      </c>
      <c r="H18" s="64" t="s">
        <v>28</v>
      </c>
      <c r="I18" s="16" t="s">
        <v>25</v>
      </c>
      <c r="J18" s="16" t="s">
        <v>26</v>
      </c>
      <c r="K18" s="75"/>
      <c r="L18" s="377" t="s">
        <v>153</v>
      </c>
      <c r="M18" s="347"/>
      <c r="N18" s="347"/>
      <c r="O18" s="347"/>
    </row>
    <row r="19" spans="1:15" x14ac:dyDescent="0.25">
      <c r="A19" s="2">
        <v>20</v>
      </c>
      <c r="B19" s="2">
        <v>12</v>
      </c>
      <c r="C19" s="2">
        <v>1000</v>
      </c>
      <c r="D19">
        <v>-0.05</v>
      </c>
      <c r="E19" s="9">
        <v>10000</v>
      </c>
      <c r="F19" s="6">
        <v>1</v>
      </c>
      <c r="G19" s="364">
        <v>0</v>
      </c>
      <c r="H19" s="6">
        <v>0</v>
      </c>
      <c r="I19" s="5" t="s">
        <v>12</v>
      </c>
      <c r="J19" s="5" t="s">
        <v>12</v>
      </c>
      <c r="L19" s="374">
        <f t="shared" ref="L19:L28" si="11">(1-EXP(-2*D19))/(1-EXP(-4*C19*D19))</f>
        <v>1.4554566823860284E-88</v>
      </c>
      <c r="M19" s="59"/>
      <c r="N19" s="59"/>
      <c r="O19" s="59"/>
    </row>
    <row r="20" spans="1:15" x14ac:dyDescent="0.25">
      <c r="A20" s="2">
        <v>20</v>
      </c>
      <c r="B20" s="2">
        <v>13</v>
      </c>
      <c r="C20" s="2">
        <v>1000</v>
      </c>
      <c r="D20">
        <v>-0.01</v>
      </c>
      <c r="E20" s="9">
        <v>1000</v>
      </c>
      <c r="F20" s="6">
        <v>1</v>
      </c>
      <c r="G20" s="364">
        <v>0</v>
      </c>
      <c r="H20" s="6">
        <v>0</v>
      </c>
      <c r="I20" s="5" t="s">
        <v>12</v>
      </c>
      <c r="J20" s="5" t="s">
        <v>12</v>
      </c>
      <c r="L20" s="374">
        <f t="shared" si="11"/>
        <v>8.5822448865260204E-20</v>
      </c>
      <c r="M20" s="59"/>
      <c r="N20" s="59"/>
      <c r="O20" s="59"/>
    </row>
    <row r="21" spans="1:15" x14ac:dyDescent="0.25">
      <c r="A21" s="2">
        <v>20</v>
      </c>
      <c r="B21" s="2">
        <v>14</v>
      </c>
      <c r="C21" s="2">
        <v>1000</v>
      </c>
      <c r="D21">
        <v>-5.0000000000000001E-3</v>
      </c>
      <c r="E21" s="9">
        <v>10000</v>
      </c>
      <c r="F21" s="6">
        <v>1</v>
      </c>
      <c r="G21" s="364">
        <v>0</v>
      </c>
      <c r="H21" s="6">
        <v>0</v>
      </c>
      <c r="I21" s="5" t="s">
        <v>12</v>
      </c>
      <c r="J21" s="5" t="s">
        <v>12</v>
      </c>
      <c r="L21" s="374">
        <f t="shared" si="11"/>
        <v>2.0714938334342196E-11</v>
      </c>
      <c r="M21" s="59"/>
      <c r="N21" s="59"/>
      <c r="O21" s="59"/>
    </row>
    <row r="22" spans="1:15" x14ac:dyDescent="0.25">
      <c r="A22" s="2">
        <v>20</v>
      </c>
      <c r="B22" s="2">
        <v>15</v>
      </c>
      <c r="C22" s="2">
        <v>1000</v>
      </c>
      <c r="D22">
        <v>-1E-3</v>
      </c>
      <c r="E22" s="9">
        <v>10000</v>
      </c>
      <c r="F22" s="6">
        <v>0.99995999999999996</v>
      </c>
      <c r="G22" s="364">
        <v>4.0000000000000003E-5</v>
      </c>
      <c r="H22" s="6">
        <v>3.70689E-5</v>
      </c>
      <c r="I22" s="5" t="s">
        <v>12</v>
      </c>
      <c r="J22" s="5" t="s">
        <v>12</v>
      </c>
      <c r="L22" s="374">
        <f t="shared" si="11"/>
        <v>3.7352060337200023E-5</v>
      </c>
      <c r="M22" s="59"/>
      <c r="N22" s="59"/>
      <c r="O22" s="59"/>
    </row>
    <row r="23" spans="1:15" x14ac:dyDescent="0.25">
      <c r="A23" s="2">
        <v>20</v>
      </c>
      <c r="B23" s="2">
        <v>16</v>
      </c>
      <c r="C23" s="2">
        <v>1000</v>
      </c>
      <c r="D23">
        <v>-5.0000000000000001E-4</v>
      </c>
      <c r="E23" s="9">
        <v>10000</v>
      </c>
      <c r="F23" s="6">
        <v>0.99983</v>
      </c>
      <c r="G23" s="364">
        <v>1.7000000000000001E-4</v>
      </c>
      <c r="H23" s="6">
        <v>1.1998359999999999E-4</v>
      </c>
      <c r="I23" s="5" t="s">
        <v>12</v>
      </c>
      <c r="J23" s="5" t="s">
        <v>12</v>
      </c>
      <c r="L23" s="374">
        <f t="shared" si="11"/>
        <v>1.5659592766384387E-4</v>
      </c>
      <c r="M23" s="59"/>
      <c r="N23" s="59"/>
      <c r="O23" s="59"/>
    </row>
    <row r="24" spans="1:15" x14ac:dyDescent="0.25">
      <c r="A24" s="2">
        <v>20</v>
      </c>
      <c r="B24" s="2">
        <v>17</v>
      </c>
      <c r="C24" s="2">
        <v>1000</v>
      </c>
      <c r="D24">
        <v>-1E-4</v>
      </c>
      <c r="E24" s="9">
        <v>10000</v>
      </c>
      <c r="F24" s="6">
        <v>0.99958000000000002</v>
      </c>
      <c r="G24" s="364">
        <v>4.2000000000000002E-4</v>
      </c>
      <c r="H24" s="6">
        <v>1.98335E-4</v>
      </c>
      <c r="I24" s="5">
        <v>3594.74</v>
      </c>
      <c r="J24" s="5">
        <v>1354.59</v>
      </c>
      <c r="L24" s="374">
        <f t="shared" si="11"/>
        <v>4.0668962395082477E-4</v>
      </c>
      <c r="M24" s="59"/>
      <c r="N24" s="59"/>
      <c r="O24" s="59"/>
    </row>
    <row r="25" spans="1:15" x14ac:dyDescent="0.25">
      <c r="A25" s="2">
        <v>20</v>
      </c>
      <c r="B25" s="2">
        <v>18</v>
      </c>
      <c r="C25" s="2">
        <v>1000</v>
      </c>
      <c r="D25">
        <v>-1E-4</v>
      </c>
      <c r="E25" s="9">
        <v>10000</v>
      </c>
      <c r="F25" s="6">
        <v>0.99963500000000005</v>
      </c>
      <c r="G25" s="364">
        <v>3.6499999999999998E-4</v>
      </c>
      <c r="H25" s="6">
        <v>1.820271E-4</v>
      </c>
      <c r="I25" s="5" t="s">
        <v>12</v>
      </c>
      <c r="J25" s="5" t="s">
        <v>12</v>
      </c>
      <c r="L25" s="374">
        <f t="shared" si="11"/>
        <v>4.0668962395082477E-4</v>
      </c>
      <c r="M25" s="59"/>
      <c r="N25" s="59"/>
      <c r="O25" s="59"/>
    </row>
    <row r="26" spans="1:15" x14ac:dyDescent="0.25">
      <c r="A26" s="2">
        <v>20</v>
      </c>
      <c r="B26" s="2">
        <v>19</v>
      </c>
      <c r="C26" s="2">
        <v>1000</v>
      </c>
      <c r="D26">
        <v>-5.0000000000000001E-4</v>
      </c>
      <c r="E26" s="9">
        <v>10000</v>
      </c>
      <c r="F26" s="6">
        <v>0.99987999999999999</v>
      </c>
      <c r="G26" s="364">
        <v>1.2E-4</v>
      </c>
      <c r="H26" s="6">
        <v>9.1454100000000002E-5</v>
      </c>
      <c r="I26" s="5" t="s">
        <v>12</v>
      </c>
      <c r="J26" s="5" t="s">
        <v>12</v>
      </c>
      <c r="L26" s="374">
        <f t="shared" si="11"/>
        <v>1.5659592766384387E-4</v>
      </c>
      <c r="M26" s="59"/>
      <c r="N26" s="59"/>
      <c r="O26" s="59"/>
    </row>
    <row r="27" spans="1:15" x14ac:dyDescent="0.25">
      <c r="A27" s="2">
        <v>20</v>
      </c>
      <c r="B27" s="2">
        <v>20</v>
      </c>
      <c r="C27" s="2">
        <v>1000</v>
      </c>
      <c r="D27" s="63">
        <v>-1.0000000000000001E-5</v>
      </c>
      <c r="E27" s="9">
        <v>10000</v>
      </c>
      <c r="F27" s="6">
        <v>0.99950499999999998</v>
      </c>
      <c r="G27" s="364">
        <v>4.95E-4</v>
      </c>
      <c r="H27" s="6">
        <v>2.196322E-4</v>
      </c>
      <c r="I27" s="5">
        <v>3768.22</v>
      </c>
      <c r="J27" s="5">
        <v>1771.01</v>
      </c>
      <c r="L27" s="374">
        <f t="shared" si="11"/>
        <v>4.9007156558642591E-4</v>
      </c>
      <c r="M27" s="59"/>
      <c r="N27" s="59"/>
      <c r="O27" s="59"/>
    </row>
    <row r="28" spans="1:15" x14ac:dyDescent="0.25">
      <c r="A28" s="2">
        <v>20</v>
      </c>
      <c r="B28" s="2">
        <v>21</v>
      </c>
      <c r="C28" s="2">
        <v>1000</v>
      </c>
      <c r="D28" s="63">
        <v>-5.0000000000000002E-5</v>
      </c>
      <c r="E28" s="9">
        <v>10000</v>
      </c>
      <c r="F28" s="6">
        <v>0.99954500000000002</v>
      </c>
      <c r="G28" s="364">
        <v>4.55E-4</v>
      </c>
      <c r="H28" s="6">
        <v>2.081056E-4</v>
      </c>
      <c r="I28" s="5">
        <v>3775.17</v>
      </c>
      <c r="J28" s="5">
        <v>1179.02</v>
      </c>
      <c r="L28" s="374">
        <f t="shared" si="11"/>
        <v>4.5168814064352022E-4</v>
      </c>
      <c r="M28" s="59"/>
      <c r="N28" s="59"/>
      <c r="O28" s="59"/>
    </row>
    <row r="29" spans="1:15" x14ac:dyDescent="0.25">
      <c r="F29" s="68" t="s">
        <v>54</v>
      </c>
      <c r="G29" s="364">
        <f>1/(2*1000)</f>
        <v>5.0000000000000001E-4</v>
      </c>
      <c r="I29" s="5">
        <v>4000</v>
      </c>
    </row>
    <row r="30" spans="1:15" ht="43.5" customHeight="1" x14ac:dyDescent="0.25">
      <c r="A30" s="11" t="s">
        <v>0</v>
      </c>
      <c r="B30" s="11" t="s">
        <v>10</v>
      </c>
      <c r="C30" s="16" t="s">
        <v>11</v>
      </c>
      <c r="D30" s="11" t="s">
        <v>9</v>
      </c>
      <c r="E30" s="33" t="s">
        <v>3</v>
      </c>
      <c r="F30" s="22" t="s">
        <v>29</v>
      </c>
      <c r="G30" s="365" t="s">
        <v>27</v>
      </c>
      <c r="H30" s="64" t="s">
        <v>28</v>
      </c>
      <c r="I30" s="16" t="s">
        <v>25</v>
      </c>
      <c r="J30" s="16" t="s">
        <v>26</v>
      </c>
      <c r="K30" s="75"/>
      <c r="L30" s="377" t="s">
        <v>153</v>
      </c>
      <c r="M30" s="347"/>
      <c r="N30" s="347"/>
      <c r="O30" s="347"/>
    </row>
    <row r="31" spans="1:15" x14ac:dyDescent="0.25">
      <c r="A31" s="2">
        <v>20</v>
      </c>
      <c r="B31" s="2">
        <v>1</v>
      </c>
      <c r="C31" s="2">
        <v>1000</v>
      </c>
      <c r="D31">
        <v>-0.05</v>
      </c>
      <c r="E31" s="9">
        <v>1000</v>
      </c>
      <c r="F31" s="6">
        <v>1</v>
      </c>
      <c r="G31" s="364">
        <v>0</v>
      </c>
      <c r="H31" s="6">
        <v>0</v>
      </c>
      <c r="I31" s="5" t="s">
        <v>12</v>
      </c>
      <c r="J31" s="5" t="s">
        <v>12</v>
      </c>
      <c r="L31" s="374">
        <f t="shared" ref="L31:L41" si="12">(1-EXP(-2*D31))/(1-EXP(-4*C31*D31))</f>
        <v>1.4554566823860284E-88</v>
      </c>
      <c r="M31" s="59"/>
      <c r="N31" s="59"/>
      <c r="O31" s="59"/>
    </row>
    <row r="32" spans="1:15" x14ac:dyDescent="0.25">
      <c r="A32" s="2">
        <v>20</v>
      </c>
      <c r="B32" s="2">
        <v>2</v>
      </c>
      <c r="C32" s="2">
        <v>1000</v>
      </c>
      <c r="D32">
        <v>-0.01</v>
      </c>
      <c r="E32" s="9">
        <v>1000</v>
      </c>
      <c r="F32" s="6">
        <v>1</v>
      </c>
      <c r="G32" s="364">
        <v>0</v>
      </c>
      <c r="H32" s="6">
        <v>0</v>
      </c>
      <c r="I32" s="5" t="s">
        <v>12</v>
      </c>
      <c r="J32" s="5" t="s">
        <v>12</v>
      </c>
      <c r="L32" s="374">
        <f t="shared" si="12"/>
        <v>8.5822448865260204E-20</v>
      </c>
      <c r="M32" s="59"/>
      <c r="N32" s="59"/>
      <c r="O32" s="59"/>
    </row>
    <row r="33" spans="1:15" x14ac:dyDescent="0.25">
      <c r="A33" s="2">
        <v>20</v>
      </c>
      <c r="B33" s="2">
        <v>3</v>
      </c>
      <c r="C33" s="2">
        <v>1000</v>
      </c>
      <c r="D33">
        <v>-5.0000000000000001E-3</v>
      </c>
      <c r="E33" s="9">
        <v>1000</v>
      </c>
      <c r="F33" s="6">
        <v>1</v>
      </c>
      <c r="G33" s="364">
        <v>0</v>
      </c>
      <c r="H33" s="6">
        <v>0</v>
      </c>
      <c r="I33" s="5" t="s">
        <v>12</v>
      </c>
      <c r="J33" s="5" t="s">
        <v>12</v>
      </c>
      <c r="L33" s="374">
        <f t="shared" si="12"/>
        <v>2.0714938334342196E-11</v>
      </c>
      <c r="M33" s="59"/>
      <c r="N33" s="59"/>
      <c r="O33" s="59"/>
    </row>
    <row r="34" spans="1:15" x14ac:dyDescent="0.25">
      <c r="A34" s="2">
        <v>20</v>
      </c>
      <c r="B34" s="2">
        <v>4</v>
      </c>
      <c r="C34" s="2">
        <v>1000</v>
      </c>
      <c r="D34">
        <v>-1E-3</v>
      </c>
      <c r="E34" s="9">
        <v>1000</v>
      </c>
      <c r="F34" s="6">
        <v>1</v>
      </c>
      <c r="G34" s="364">
        <v>0</v>
      </c>
      <c r="H34" s="6">
        <v>0</v>
      </c>
      <c r="I34" s="5" t="s">
        <v>12</v>
      </c>
      <c r="J34" s="5" t="s">
        <v>12</v>
      </c>
      <c r="L34" s="374">
        <f t="shared" si="12"/>
        <v>3.7352060337200023E-5</v>
      </c>
      <c r="M34" s="59"/>
      <c r="N34" s="59"/>
      <c r="O34" s="59"/>
    </row>
    <row r="35" spans="1:15" x14ac:dyDescent="0.25">
      <c r="A35" s="2">
        <v>20</v>
      </c>
      <c r="B35" s="2">
        <v>5</v>
      </c>
      <c r="C35" s="2">
        <v>1000</v>
      </c>
      <c r="D35">
        <v>-5.0000000000000001E-4</v>
      </c>
      <c r="E35" s="9">
        <v>1000</v>
      </c>
      <c r="F35" s="6">
        <v>0.99985000000000002</v>
      </c>
      <c r="G35" s="364">
        <v>1.4999999999999999E-4</v>
      </c>
      <c r="H35" s="6">
        <v>1.49925E-4</v>
      </c>
      <c r="I35" s="5" t="s">
        <v>12</v>
      </c>
      <c r="J35" s="5" t="s">
        <v>12</v>
      </c>
      <c r="L35" s="374">
        <f t="shared" si="12"/>
        <v>1.5659592766384387E-4</v>
      </c>
      <c r="M35" s="59"/>
      <c r="N35" s="59"/>
      <c r="O35" s="59"/>
    </row>
    <row r="36" spans="1:15" x14ac:dyDescent="0.25">
      <c r="A36" s="2">
        <v>20</v>
      </c>
      <c r="B36" s="2">
        <v>6</v>
      </c>
      <c r="C36" s="2">
        <v>1000</v>
      </c>
      <c r="D36">
        <v>-1E-4</v>
      </c>
      <c r="E36" s="9">
        <v>1000</v>
      </c>
      <c r="F36" s="6">
        <v>0.99990000000000001</v>
      </c>
      <c r="G36" s="364">
        <v>1E-4</v>
      </c>
      <c r="H36" s="6">
        <v>9.9950000000000004E-5</v>
      </c>
      <c r="I36" s="5" t="s">
        <v>12</v>
      </c>
      <c r="J36" s="5" t="s">
        <v>12</v>
      </c>
      <c r="L36" s="374">
        <f t="shared" si="12"/>
        <v>4.0668962395082477E-4</v>
      </c>
      <c r="M36" s="59"/>
      <c r="N36" s="59"/>
      <c r="O36" s="59"/>
    </row>
    <row r="37" spans="1:15" x14ac:dyDescent="0.25">
      <c r="A37" s="2">
        <v>20</v>
      </c>
      <c r="B37" s="2">
        <v>7</v>
      </c>
      <c r="C37" s="2">
        <v>1000</v>
      </c>
      <c r="D37">
        <v>-1E-4</v>
      </c>
      <c r="E37" s="9">
        <v>1000</v>
      </c>
      <c r="F37" s="6">
        <v>0.99944999999999995</v>
      </c>
      <c r="G37" s="364">
        <v>5.5000000000000003E-4</v>
      </c>
      <c r="H37" s="6">
        <v>5.2041489999999995E-4</v>
      </c>
      <c r="I37" s="5" t="s">
        <v>12</v>
      </c>
      <c r="J37" s="5" t="s">
        <v>12</v>
      </c>
      <c r="L37" s="374">
        <f t="shared" si="12"/>
        <v>4.0668962395082477E-4</v>
      </c>
      <c r="M37" s="59"/>
      <c r="N37" s="59"/>
      <c r="O37" s="59"/>
    </row>
    <row r="38" spans="1:15" x14ac:dyDescent="0.25">
      <c r="A38" s="2">
        <v>20</v>
      </c>
      <c r="B38" s="2">
        <v>8</v>
      </c>
      <c r="C38" s="2">
        <v>1000</v>
      </c>
      <c r="D38">
        <v>-5.0000000000000001E-4</v>
      </c>
      <c r="E38" s="9">
        <v>1000</v>
      </c>
      <c r="F38" s="6">
        <v>0.99985000000000002</v>
      </c>
      <c r="G38" s="364">
        <v>1.4999999999999999E-4</v>
      </c>
      <c r="H38" s="6">
        <v>1.49925E-4</v>
      </c>
      <c r="I38" s="5" t="s">
        <v>12</v>
      </c>
      <c r="J38" s="5" t="s">
        <v>12</v>
      </c>
      <c r="L38" s="374">
        <f t="shared" si="12"/>
        <v>1.5659592766384387E-4</v>
      </c>
      <c r="M38" s="59"/>
      <c r="N38" s="59"/>
      <c r="O38" s="59"/>
    </row>
    <row r="39" spans="1:15" x14ac:dyDescent="0.25">
      <c r="A39" s="2">
        <v>20</v>
      </c>
      <c r="B39" s="2">
        <v>9</v>
      </c>
      <c r="C39" s="2">
        <v>1000</v>
      </c>
      <c r="D39" s="63">
        <v>-1.0000000000000001E-5</v>
      </c>
      <c r="E39" s="9">
        <v>1000</v>
      </c>
      <c r="F39" s="6">
        <v>0.99970000000000003</v>
      </c>
      <c r="G39" s="364">
        <v>2.9999999999999997E-4</v>
      </c>
      <c r="H39" s="6">
        <v>2.7053990000000002E-4</v>
      </c>
      <c r="I39" s="5" t="s">
        <v>12</v>
      </c>
      <c r="J39" s="5" t="s">
        <v>12</v>
      </c>
      <c r="L39" s="374">
        <f t="shared" si="12"/>
        <v>4.9007156558642591E-4</v>
      </c>
      <c r="M39" s="59"/>
      <c r="N39" s="59"/>
      <c r="O39" s="59"/>
    </row>
    <row r="40" spans="1:15" x14ac:dyDescent="0.25">
      <c r="A40" s="2">
        <v>20</v>
      </c>
      <c r="B40" s="2">
        <v>10</v>
      </c>
      <c r="C40" s="2">
        <v>1000</v>
      </c>
      <c r="D40" s="63">
        <v>-5.0000000000000002E-5</v>
      </c>
      <c r="E40" s="9">
        <v>1000</v>
      </c>
      <c r="F40" s="6">
        <v>0.99965000000000004</v>
      </c>
      <c r="G40" s="364">
        <v>3.5E-4</v>
      </c>
      <c r="H40" s="6">
        <v>3.2051490000000002E-4</v>
      </c>
      <c r="I40" s="5" t="s">
        <v>12</v>
      </c>
      <c r="J40" s="5" t="s">
        <v>12</v>
      </c>
      <c r="L40" s="374">
        <f t="shared" si="12"/>
        <v>4.5168814064352022E-4</v>
      </c>
      <c r="M40" s="59"/>
      <c r="N40" s="59"/>
      <c r="O40" s="59"/>
    </row>
    <row r="41" spans="1:15" x14ac:dyDescent="0.25">
      <c r="A41" s="2">
        <v>20</v>
      </c>
      <c r="B41" s="2">
        <v>11</v>
      </c>
      <c r="C41" s="2">
        <v>1000</v>
      </c>
      <c r="D41">
        <v>0</v>
      </c>
      <c r="E41" s="9">
        <v>1000</v>
      </c>
      <c r="F41" s="6">
        <v>0.99944999999999995</v>
      </c>
      <c r="G41" s="364">
        <v>5.5000000000000003E-4</v>
      </c>
      <c r="H41" s="6">
        <v>4.6179480000000002E-4</v>
      </c>
      <c r="I41" s="5" t="s">
        <v>12</v>
      </c>
      <c r="J41" s="5" t="s">
        <v>12</v>
      </c>
      <c r="L41" s="374" t="e">
        <f t="shared" si="12"/>
        <v>#DIV/0!</v>
      </c>
      <c r="M41" s="59"/>
      <c r="N41" s="59"/>
      <c r="O41" s="59"/>
    </row>
    <row r="42" spans="1:15" x14ac:dyDescent="0.25">
      <c r="F42" s="68" t="s">
        <v>54</v>
      </c>
      <c r="G42" s="364">
        <f>1/(2*1000)</f>
        <v>5.0000000000000001E-4</v>
      </c>
      <c r="I42" s="5">
        <v>4000</v>
      </c>
    </row>
    <row r="43" spans="1:15" ht="45" x14ac:dyDescent="0.25">
      <c r="A43" s="11" t="s">
        <v>0</v>
      </c>
      <c r="B43" s="11" t="s">
        <v>10</v>
      </c>
      <c r="C43" s="16" t="s">
        <v>11</v>
      </c>
      <c r="D43" s="11" t="s">
        <v>9</v>
      </c>
      <c r="E43" s="377" t="s">
        <v>3</v>
      </c>
      <c r="F43" s="22" t="s">
        <v>29</v>
      </c>
      <c r="G43" s="365" t="s">
        <v>27</v>
      </c>
      <c r="H43" s="64" t="s">
        <v>28</v>
      </c>
      <c r="I43" s="16" t="s">
        <v>25</v>
      </c>
      <c r="J43" s="16" t="s">
        <v>26</v>
      </c>
      <c r="K43" s="163" t="s">
        <v>151</v>
      </c>
      <c r="L43" s="377" t="s">
        <v>153</v>
      </c>
      <c r="M43" s="163" t="s">
        <v>152</v>
      </c>
      <c r="N43" s="150" t="s">
        <v>187</v>
      </c>
      <c r="O43" s="162" t="s">
        <v>156</v>
      </c>
    </row>
    <row r="44" spans="1:15" x14ac:dyDescent="0.25">
      <c r="E44" s="46"/>
    </row>
    <row r="45" spans="1:15" x14ac:dyDescent="0.25">
      <c r="E45" s="46"/>
    </row>
    <row r="46" spans="1:15" x14ac:dyDescent="0.25">
      <c r="A46" s="8" t="s">
        <v>198</v>
      </c>
      <c r="E46" s="46"/>
    </row>
    <row r="47" spans="1:15" x14ac:dyDescent="0.25">
      <c r="A47" s="19">
        <v>20</v>
      </c>
      <c r="B47" s="105">
        <v>4</v>
      </c>
      <c r="C47" s="105">
        <v>1000</v>
      </c>
      <c r="D47" s="105">
        <v>-5.0000000000000001E-3</v>
      </c>
      <c r="E47" s="369">
        <v>10000000</v>
      </c>
      <c r="F47" s="105">
        <v>1</v>
      </c>
      <c r="G47" s="369">
        <v>0</v>
      </c>
      <c r="H47" s="105">
        <v>0</v>
      </c>
      <c r="I47" s="105" t="s">
        <v>12</v>
      </c>
      <c r="J47" s="105" t="s">
        <v>12</v>
      </c>
      <c r="K47" s="160">
        <f t="shared" ref="K47" si="13">G47-H47</f>
        <v>0</v>
      </c>
      <c r="L47" s="374">
        <f t="shared" ref="L47" si="14">(1-EXP(-2*D47))/(1-EXP(-4*C47*D47))</f>
        <v>2.0714938334342196E-11</v>
      </c>
      <c r="M47" s="53">
        <f t="shared" ref="M47" si="15">G47+H47</f>
        <v>0</v>
      </c>
      <c r="N47" s="58" t="e">
        <f t="shared" ref="N47" si="16">L47/G47</f>
        <v>#DIV/0!</v>
      </c>
      <c r="O47" s="121" t="b">
        <f t="shared" ref="O47" si="17">AND(L47&gt;=K47,L47&lt;=M47)</f>
        <v>0</v>
      </c>
    </row>
    <row r="48" spans="1:15" x14ac:dyDescent="0.25">
      <c r="A48" s="19">
        <v>20</v>
      </c>
      <c r="B48" s="105">
        <v>3</v>
      </c>
      <c r="C48" s="105">
        <v>1000</v>
      </c>
      <c r="D48" s="105">
        <v>-4.0000000000000001E-3</v>
      </c>
      <c r="E48" s="369">
        <v>10000000</v>
      </c>
      <c r="F48" s="105">
        <v>1</v>
      </c>
      <c r="G48" s="369">
        <v>0</v>
      </c>
      <c r="H48" s="105">
        <v>0</v>
      </c>
      <c r="I48" s="105" t="s">
        <v>12</v>
      </c>
      <c r="J48" s="105" t="s">
        <v>12</v>
      </c>
      <c r="K48" s="160">
        <f>G48-H48</f>
        <v>0</v>
      </c>
      <c r="L48" s="374">
        <f>(1-EXP(-2*D48))/(1-EXP(-4*C48*D48))</f>
        <v>9.0389224730311633E-10</v>
      </c>
      <c r="M48" s="53">
        <f>G48+H48</f>
        <v>0</v>
      </c>
      <c r="N48" s="58" t="e">
        <f>L48/G48</f>
        <v>#DIV/0!</v>
      </c>
      <c r="O48" s="121" t="b">
        <f>AND(L48&gt;=K48,L48&lt;=M48)</f>
        <v>0</v>
      </c>
    </row>
    <row r="49" spans="1:15" x14ac:dyDescent="0.25">
      <c r="A49" s="19">
        <v>20</v>
      </c>
      <c r="B49" s="105">
        <v>2</v>
      </c>
      <c r="C49" s="105">
        <v>1000</v>
      </c>
      <c r="D49" s="105">
        <v>-3.0000000000000001E-3</v>
      </c>
      <c r="E49" s="369">
        <v>10000000</v>
      </c>
      <c r="F49" s="105">
        <v>0.99999996000000002</v>
      </c>
      <c r="G49" s="369">
        <v>2.9999999999999997E-8</v>
      </c>
      <c r="H49" s="105">
        <v>3.2100000000000003E-8</v>
      </c>
      <c r="I49" s="105" t="s">
        <v>12</v>
      </c>
      <c r="J49" s="105" t="s">
        <v>12</v>
      </c>
      <c r="K49" s="160">
        <f>G49-H49</f>
        <v>-2.1000000000000056E-9</v>
      </c>
      <c r="L49" s="374">
        <f>(1-EXP(-2*D49))/(1-EXP(-4*C49*D49))</f>
        <v>3.697631865651413E-8</v>
      </c>
      <c r="M49" s="53">
        <f>G49+H49</f>
        <v>6.2100000000000007E-8</v>
      </c>
      <c r="N49" s="58">
        <f>L49/G49</f>
        <v>1.2325439552171378</v>
      </c>
      <c r="O49" s="121" t="b">
        <f>AND(L49&gt;=K49,L49&lt;=M49)</f>
        <v>1</v>
      </c>
    </row>
    <row r="50" spans="1:15" x14ac:dyDescent="0.25">
      <c r="A50" s="19">
        <v>20</v>
      </c>
      <c r="B50" s="105">
        <v>1</v>
      </c>
      <c r="C50" s="105">
        <v>1000</v>
      </c>
      <c r="D50" s="105">
        <v>-2E-3</v>
      </c>
      <c r="E50" s="369">
        <v>10000000</v>
      </c>
      <c r="F50" s="105">
        <v>0.99999848000000002</v>
      </c>
      <c r="G50" s="369">
        <v>1.53E-6</v>
      </c>
      <c r="H50" s="105">
        <v>3.882E-7</v>
      </c>
      <c r="I50" s="105">
        <v>2481.94</v>
      </c>
      <c r="J50" s="105">
        <v>898.59</v>
      </c>
      <c r="K50" s="160">
        <f>G50-H50</f>
        <v>1.1418E-6</v>
      </c>
      <c r="L50" s="374">
        <f t="shared" ref="L50" si="18">(1-EXP(-2*D50))/(1-EXP(-4*C50*D50))</f>
        <v>1.344988988022866E-6</v>
      </c>
      <c r="M50" s="53">
        <f>G50+H50</f>
        <v>1.9182000000000001E-6</v>
      </c>
      <c r="N50" s="58">
        <f>L50/G50</f>
        <v>0.87907776994958564</v>
      </c>
      <c r="O50" s="121" t="b">
        <f>AND(L50&gt;=K50,L50&lt;=M50)</f>
        <v>1</v>
      </c>
    </row>
    <row r="51" spans="1:15" x14ac:dyDescent="0.25">
      <c r="A51" s="19">
        <v>20</v>
      </c>
      <c r="B51" s="19">
        <v>1</v>
      </c>
      <c r="C51" s="19">
        <v>1000</v>
      </c>
      <c r="D51" s="105">
        <v>-1E-3</v>
      </c>
      <c r="E51" s="359">
        <v>10000000</v>
      </c>
      <c r="F51" s="117">
        <v>0.99996357000000002</v>
      </c>
      <c r="G51" s="366">
        <v>3.6430000000000002E-5</v>
      </c>
      <c r="H51" s="117">
        <v>1.9081E-6</v>
      </c>
      <c r="I51" s="24">
        <v>3351.36</v>
      </c>
      <c r="J51" s="24">
        <v>1590.93</v>
      </c>
      <c r="K51" s="160">
        <f t="shared" ref="K51:K52" si="19">G51-H51</f>
        <v>3.4521899999999999E-5</v>
      </c>
      <c r="L51" s="374">
        <f t="shared" ref="L51:L52" si="20">(1-EXP(-2*D51))/(1-EXP(-4*C51*D51))</f>
        <v>3.7352060337200023E-5</v>
      </c>
      <c r="M51" s="53">
        <f t="shared" ref="M51:M52" si="21">G51+H51</f>
        <v>3.8338100000000005E-5</v>
      </c>
      <c r="N51" s="58">
        <f t="shared" ref="N51:N52" si="22">L51/G51</f>
        <v>1.0253104676695037</v>
      </c>
      <c r="O51" s="121" t="b">
        <f t="shared" ref="O51:O52" si="23">AND(L51&gt;=K51,L51&lt;=M51)</f>
        <v>1</v>
      </c>
    </row>
    <row r="52" spans="1:15" x14ac:dyDescent="0.25">
      <c r="A52" s="19">
        <v>20</v>
      </c>
      <c r="B52" s="19">
        <v>2</v>
      </c>
      <c r="C52" s="19">
        <v>1000</v>
      </c>
      <c r="D52" s="105">
        <v>-5.0000000000000001E-4</v>
      </c>
      <c r="E52" s="359">
        <v>10000000</v>
      </c>
      <c r="F52" s="117">
        <v>0.99984523000000003</v>
      </c>
      <c r="G52" s="366">
        <v>1.5475999999999999E-4</v>
      </c>
      <c r="H52" s="117">
        <v>3.9334000000000003E-6</v>
      </c>
      <c r="I52" s="24">
        <v>3803.95</v>
      </c>
      <c r="J52" s="24">
        <v>1973.81</v>
      </c>
      <c r="K52" s="160">
        <f t="shared" si="19"/>
        <v>1.508266E-4</v>
      </c>
      <c r="L52" s="374">
        <f t="shared" si="20"/>
        <v>1.5659592766384387E-4</v>
      </c>
      <c r="M52" s="53">
        <f t="shared" si="21"/>
        <v>1.5869339999999998E-4</v>
      </c>
      <c r="N52" s="58">
        <f t="shared" si="22"/>
        <v>1.0118630632194616</v>
      </c>
      <c r="O52" s="121" t="b">
        <f t="shared" si="23"/>
        <v>1</v>
      </c>
    </row>
    <row r="164" spans="4:4" x14ac:dyDescent="0.25">
      <c r="D164" s="63"/>
    </row>
    <row r="165" spans="4:4" x14ac:dyDescent="0.25">
      <c r="D165" s="63"/>
    </row>
    <row r="166" spans="4:4" x14ac:dyDescent="0.25">
      <c r="D166" s="63"/>
    </row>
    <row r="167" spans="4:4" x14ac:dyDescent="0.25">
      <c r="D167" s="63"/>
    </row>
    <row r="168" spans="4:4" x14ac:dyDescent="0.25">
      <c r="D168" s="63"/>
    </row>
    <row r="169" spans="4:4" x14ac:dyDescent="0.25">
      <c r="D169" s="63"/>
    </row>
    <row r="170" spans="4:4" x14ac:dyDescent="0.25">
      <c r="D170" s="63"/>
    </row>
    <row r="171" spans="4:4" x14ac:dyDescent="0.25">
      <c r="D171" s="63"/>
    </row>
    <row r="172" spans="4:4" x14ac:dyDescent="0.25">
      <c r="D172" s="63"/>
    </row>
    <row r="173" spans="4:4" x14ac:dyDescent="0.25">
      <c r="D173" s="63"/>
    </row>
    <row r="174" spans="4:4" x14ac:dyDescent="0.25">
      <c r="D174" s="63"/>
    </row>
    <row r="175" spans="4:4" x14ac:dyDescent="0.25">
      <c r="D175" s="63"/>
    </row>
    <row r="176" spans="4:4" x14ac:dyDescent="0.25">
      <c r="D176" s="63"/>
    </row>
    <row r="177" spans="4:4" x14ac:dyDescent="0.25">
      <c r="D177" s="63"/>
    </row>
    <row r="178" spans="4:4" x14ac:dyDescent="0.25">
      <c r="D178" s="63"/>
    </row>
    <row r="179" spans="4:4" x14ac:dyDescent="0.25">
      <c r="D179" s="63"/>
    </row>
    <row r="180" spans="4:4" x14ac:dyDescent="0.25">
      <c r="D180" s="63"/>
    </row>
    <row r="181" spans="4:4" x14ac:dyDescent="0.25">
      <c r="D181" s="63"/>
    </row>
    <row r="182" spans="4:4" x14ac:dyDescent="0.25">
      <c r="D182" s="63"/>
    </row>
    <row r="183" spans="4:4" x14ac:dyDescent="0.25">
      <c r="D183" s="63"/>
    </row>
    <row r="184" spans="4:4" x14ac:dyDescent="0.25">
      <c r="D184" s="63"/>
    </row>
    <row r="185" spans="4:4" x14ac:dyDescent="0.25">
      <c r="D185" s="63"/>
    </row>
    <row r="186" spans="4:4" x14ac:dyDescent="0.25">
      <c r="D186" s="63"/>
    </row>
    <row r="187" spans="4:4" x14ac:dyDescent="0.25">
      <c r="D187" s="63"/>
    </row>
    <row r="188" spans="4:4" x14ac:dyDescent="0.25">
      <c r="D188" s="63"/>
    </row>
    <row r="189" spans="4:4" x14ac:dyDescent="0.25">
      <c r="D189" s="63"/>
    </row>
    <row r="190" spans="4:4" x14ac:dyDescent="0.25">
      <c r="D190" s="63"/>
    </row>
    <row r="191" spans="4:4" x14ac:dyDescent="0.25">
      <c r="D191" s="63"/>
    </row>
    <row r="192" spans="4:4" x14ac:dyDescent="0.25">
      <c r="D192" s="63"/>
    </row>
    <row r="193" spans="4:4" x14ac:dyDescent="0.25">
      <c r="D193" s="63"/>
    </row>
    <row r="194" spans="4:4" x14ac:dyDescent="0.25">
      <c r="D194" s="63"/>
    </row>
    <row r="195" spans="4:4" x14ac:dyDescent="0.25">
      <c r="D195" s="63"/>
    </row>
    <row r="196" spans="4:4" x14ac:dyDescent="0.25">
      <c r="D196" s="63"/>
    </row>
    <row r="197" spans="4:4" x14ac:dyDescent="0.25">
      <c r="D197" s="63"/>
    </row>
    <row r="198" spans="4:4" x14ac:dyDescent="0.25">
      <c r="D198" s="63"/>
    </row>
    <row r="199" spans="4:4" x14ac:dyDescent="0.25">
      <c r="D199" s="63"/>
    </row>
    <row r="200" spans="4:4" x14ac:dyDescent="0.25">
      <c r="D200" s="63"/>
    </row>
    <row r="201" spans="4:4" x14ac:dyDescent="0.25">
      <c r="D201" s="63"/>
    </row>
    <row r="202" spans="4:4" x14ac:dyDescent="0.25">
      <c r="D202" s="63"/>
    </row>
    <row r="203" spans="4:4" x14ac:dyDescent="0.25">
      <c r="D203" s="63"/>
    </row>
    <row r="384" spans="4:4" x14ac:dyDescent="0.25">
      <c r="D384" s="63"/>
    </row>
    <row r="385" spans="4:4" x14ac:dyDescent="0.25">
      <c r="D385" s="63"/>
    </row>
    <row r="386" spans="4:4" x14ac:dyDescent="0.25">
      <c r="D386" s="63"/>
    </row>
    <row r="387" spans="4:4" x14ac:dyDescent="0.25">
      <c r="D387" s="63"/>
    </row>
    <row r="388" spans="4:4" x14ac:dyDescent="0.25">
      <c r="D388" s="63"/>
    </row>
    <row r="389" spans="4:4" x14ac:dyDescent="0.25">
      <c r="D389" s="63"/>
    </row>
    <row r="390" spans="4:4" x14ac:dyDescent="0.25">
      <c r="D390" s="63"/>
    </row>
    <row r="391" spans="4:4" x14ac:dyDescent="0.25">
      <c r="D391" s="63"/>
    </row>
    <row r="392" spans="4:4" x14ac:dyDescent="0.25">
      <c r="D392" s="63"/>
    </row>
    <row r="393" spans="4:4" x14ac:dyDescent="0.25">
      <c r="D393" s="63"/>
    </row>
    <row r="394" spans="4:4" x14ac:dyDescent="0.25">
      <c r="D394" s="63"/>
    </row>
    <row r="395" spans="4:4" x14ac:dyDescent="0.25">
      <c r="D395" s="63"/>
    </row>
    <row r="396" spans="4:4" x14ac:dyDescent="0.25">
      <c r="D396" s="63"/>
    </row>
    <row r="397" spans="4:4" x14ac:dyDescent="0.25">
      <c r="D397" s="63"/>
    </row>
    <row r="398" spans="4:4" x14ac:dyDescent="0.25">
      <c r="D398" s="63"/>
    </row>
    <row r="399" spans="4:4" x14ac:dyDescent="0.25">
      <c r="D399" s="63"/>
    </row>
    <row r="400" spans="4:4" x14ac:dyDescent="0.25">
      <c r="D400" s="63"/>
    </row>
    <row r="401" spans="4:4" x14ac:dyDescent="0.25">
      <c r="D401" s="63"/>
    </row>
    <row r="402" spans="4:4" x14ac:dyDescent="0.25">
      <c r="D402" s="63"/>
    </row>
    <row r="403" spans="4:4" x14ac:dyDescent="0.25">
      <c r="D403" s="63"/>
    </row>
    <row r="404" spans="4:4" x14ac:dyDescent="0.25">
      <c r="D404" s="63"/>
    </row>
    <row r="405" spans="4:4" x14ac:dyDescent="0.25">
      <c r="D405" s="63"/>
    </row>
    <row r="406" spans="4:4" x14ac:dyDescent="0.25">
      <c r="D406" s="63"/>
    </row>
    <row r="407" spans="4:4" x14ac:dyDescent="0.25">
      <c r="D407" s="63"/>
    </row>
    <row r="408" spans="4:4" x14ac:dyDescent="0.25">
      <c r="D408" s="63"/>
    </row>
    <row r="409" spans="4:4" x14ac:dyDescent="0.25">
      <c r="D409" s="63"/>
    </row>
    <row r="410" spans="4:4" x14ac:dyDescent="0.25">
      <c r="D410" s="63"/>
    </row>
    <row r="411" spans="4:4" x14ac:dyDescent="0.25">
      <c r="D411" s="63"/>
    </row>
    <row r="412" spans="4:4" x14ac:dyDescent="0.25">
      <c r="D412" s="63"/>
    </row>
    <row r="413" spans="4:4" x14ac:dyDescent="0.25">
      <c r="D413" s="63"/>
    </row>
    <row r="414" spans="4:4" x14ac:dyDescent="0.25">
      <c r="D414" s="63"/>
    </row>
    <row r="415" spans="4:4" x14ac:dyDescent="0.25">
      <c r="D415" s="63"/>
    </row>
    <row r="416" spans="4:4" x14ac:dyDescent="0.25">
      <c r="D416" s="63"/>
    </row>
    <row r="417" spans="4:4" x14ac:dyDescent="0.25">
      <c r="D417" s="63"/>
    </row>
    <row r="418" spans="4:4" x14ac:dyDescent="0.25">
      <c r="D418" s="63"/>
    </row>
    <row r="419" spans="4:4" x14ac:dyDescent="0.25">
      <c r="D419" s="63"/>
    </row>
    <row r="420" spans="4:4" x14ac:dyDescent="0.25">
      <c r="D420" s="63"/>
    </row>
    <row r="421" spans="4:4" x14ac:dyDescent="0.25">
      <c r="D421" s="63"/>
    </row>
    <row r="422" spans="4:4" x14ac:dyDescent="0.25">
      <c r="D422" s="63"/>
    </row>
    <row r="423" spans="4:4" x14ac:dyDescent="0.25">
      <c r="D423" s="63"/>
    </row>
    <row r="604" spans="4:4" x14ac:dyDescent="0.25">
      <c r="D604" s="63"/>
    </row>
    <row r="605" spans="4:4" x14ac:dyDescent="0.25">
      <c r="D605" s="63"/>
    </row>
    <row r="606" spans="4:4" x14ac:dyDescent="0.25">
      <c r="D606" s="63"/>
    </row>
    <row r="607" spans="4:4" x14ac:dyDescent="0.25">
      <c r="D607" s="63"/>
    </row>
    <row r="608" spans="4:4" x14ac:dyDescent="0.25">
      <c r="D608" s="63"/>
    </row>
    <row r="609" spans="4:4" x14ac:dyDescent="0.25">
      <c r="D609" s="63"/>
    </row>
    <row r="610" spans="4:4" x14ac:dyDescent="0.25">
      <c r="D610" s="63"/>
    </row>
    <row r="611" spans="4:4" x14ac:dyDescent="0.25">
      <c r="D611" s="63"/>
    </row>
    <row r="612" spans="4:4" x14ac:dyDescent="0.25">
      <c r="D612" s="63"/>
    </row>
    <row r="613" spans="4:4" x14ac:dyDescent="0.25">
      <c r="D613" s="63"/>
    </row>
    <row r="614" spans="4:4" x14ac:dyDescent="0.25">
      <c r="D614" s="63"/>
    </row>
    <row r="615" spans="4:4" x14ac:dyDescent="0.25">
      <c r="D615" s="63"/>
    </row>
    <row r="616" spans="4:4" x14ac:dyDescent="0.25">
      <c r="D616" s="63"/>
    </row>
    <row r="617" spans="4:4" x14ac:dyDescent="0.25">
      <c r="D617" s="63"/>
    </row>
    <row r="618" spans="4:4" x14ac:dyDescent="0.25">
      <c r="D618" s="63"/>
    </row>
    <row r="619" spans="4:4" x14ac:dyDescent="0.25">
      <c r="D619" s="63"/>
    </row>
    <row r="620" spans="4:4" x14ac:dyDescent="0.25">
      <c r="D620" s="63"/>
    </row>
    <row r="621" spans="4:4" x14ac:dyDescent="0.25">
      <c r="D621" s="63"/>
    </row>
    <row r="622" spans="4:4" x14ac:dyDescent="0.25">
      <c r="D622" s="63"/>
    </row>
    <row r="623" spans="4:4" x14ac:dyDescent="0.25">
      <c r="D623" s="63"/>
    </row>
    <row r="624" spans="4:4" x14ac:dyDescent="0.25">
      <c r="D624" s="63"/>
    </row>
    <row r="625" spans="4:4" x14ac:dyDescent="0.25">
      <c r="D625" s="63"/>
    </row>
    <row r="626" spans="4:4" x14ac:dyDescent="0.25">
      <c r="D626" s="63"/>
    </row>
    <row r="627" spans="4:4" x14ac:dyDescent="0.25">
      <c r="D627" s="63"/>
    </row>
    <row r="628" spans="4:4" x14ac:dyDescent="0.25">
      <c r="D628" s="63"/>
    </row>
    <row r="629" spans="4:4" x14ac:dyDescent="0.25">
      <c r="D629" s="63"/>
    </row>
    <row r="630" spans="4:4" x14ac:dyDescent="0.25">
      <c r="D630" s="63"/>
    </row>
    <row r="631" spans="4:4" x14ac:dyDescent="0.25">
      <c r="D631" s="63"/>
    </row>
    <row r="632" spans="4:4" x14ac:dyDescent="0.25">
      <c r="D632" s="63"/>
    </row>
    <row r="633" spans="4:4" x14ac:dyDescent="0.25">
      <c r="D633" s="63"/>
    </row>
    <row r="634" spans="4:4" x14ac:dyDescent="0.25">
      <c r="D634" s="63"/>
    </row>
    <row r="635" spans="4:4" x14ac:dyDescent="0.25">
      <c r="D635" s="63"/>
    </row>
    <row r="636" spans="4:4" x14ac:dyDescent="0.25">
      <c r="D636" s="63"/>
    </row>
    <row r="637" spans="4:4" x14ac:dyDescent="0.25">
      <c r="D637" s="63"/>
    </row>
    <row r="638" spans="4:4" x14ac:dyDescent="0.25">
      <c r="D638" s="63"/>
    </row>
    <row r="639" spans="4:4" x14ac:dyDescent="0.25">
      <c r="D639" s="63"/>
    </row>
    <row r="640" spans="4:4" x14ac:dyDescent="0.25">
      <c r="D640" s="63"/>
    </row>
    <row r="641" spans="4:4" x14ac:dyDescent="0.25">
      <c r="D641" s="63"/>
    </row>
    <row r="642" spans="4:4" x14ac:dyDescent="0.25">
      <c r="D642" s="63"/>
    </row>
    <row r="643" spans="4:4" x14ac:dyDescent="0.25">
      <c r="D643" s="6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EC5F6-79D3-4E48-9AD1-009943F42676}">
  <dimension ref="A1:O43"/>
  <sheetViews>
    <sheetView showGridLines="0" workbookViewId="0">
      <pane ySplit="2" topLeftCell="A12" activePane="bottomLeft" state="frozen"/>
      <selection pane="bottomLeft" activeCell="L3" sqref="L3"/>
    </sheetView>
  </sheetViews>
  <sheetFormatPr defaultColWidth="9.140625" defaultRowHeight="15" x14ac:dyDescent="0.25"/>
  <cols>
    <col min="1" max="1" width="6" style="2" customWidth="1"/>
    <col min="2" max="2" width="6.140625" style="2" customWidth="1"/>
    <col min="3" max="3" width="8.140625" style="9" customWidth="1"/>
    <col min="4" max="4" width="8.7109375" bestFit="1" customWidth="1"/>
    <col min="5" max="5" width="9.140625" style="9"/>
    <col min="6" max="6" width="12.28515625" style="69" bestFit="1" customWidth="1"/>
    <col min="7" max="7" width="10.28515625" style="46" bestFit="1" customWidth="1"/>
    <col min="8" max="8" width="11.42578125" style="69" customWidth="1"/>
    <col min="9" max="9" width="6.7109375" style="5" bestFit="1" customWidth="1"/>
    <col min="10" max="10" width="6.42578125" style="5" bestFit="1" customWidth="1"/>
    <col min="11" max="11" width="9.140625" style="5"/>
    <col min="12" max="12" width="15.42578125" style="63" customWidth="1"/>
    <col min="13" max="13" width="15.42578125" style="45" customWidth="1"/>
    <col min="14" max="14" width="18.5703125" customWidth="1"/>
    <col min="15" max="15" width="14.42578125" customWidth="1"/>
  </cols>
  <sheetData>
    <row r="1" spans="1:15" ht="37.5" customHeight="1" x14ac:dyDescent="0.25">
      <c r="B1" s="44" t="s">
        <v>56</v>
      </c>
      <c r="D1" s="2"/>
      <c r="G1" s="379" t="s">
        <v>58</v>
      </c>
      <c r="M1" s="195" t="s">
        <v>191</v>
      </c>
    </row>
    <row r="2" spans="1:15" ht="30" x14ac:dyDescent="0.25">
      <c r="A2" s="11" t="s">
        <v>0</v>
      </c>
      <c r="B2" s="11" t="s">
        <v>10</v>
      </c>
      <c r="C2" s="33" t="s">
        <v>11</v>
      </c>
      <c r="D2" s="11" t="s">
        <v>9</v>
      </c>
      <c r="E2" s="33" t="s">
        <v>3</v>
      </c>
      <c r="F2" s="28" t="s">
        <v>29</v>
      </c>
      <c r="G2" s="377" t="s">
        <v>27</v>
      </c>
      <c r="H2" s="28" t="s">
        <v>28</v>
      </c>
      <c r="I2" s="16" t="s">
        <v>25</v>
      </c>
      <c r="J2" s="16" t="s">
        <v>26</v>
      </c>
      <c r="K2" s="163" t="s">
        <v>151</v>
      </c>
      <c r="L2" s="377" t="s">
        <v>153</v>
      </c>
      <c r="M2" s="163" t="s">
        <v>152</v>
      </c>
      <c r="N2" s="150" t="s">
        <v>187</v>
      </c>
      <c r="O2" s="162" t="s">
        <v>156</v>
      </c>
    </row>
    <row r="3" spans="1:15" x14ac:dyDescent="0.25">
      <c r="A3" s="11">
        <v>20</v>
      </c>
      <c r="B3" s="11">
        <v>5</v>
      </c>
      <c r="C3" s="34">
        <v>10000</v>
      </c>
      <c r="D3" s="373">
        <v>-1</v>
      </c>
      <c r="E3" s="34">
        <v>100000</v>
      </c>
      <c r="F3" s="28">
        <v>1</v>
      </c>
      <c r="G3" s="377">
        <v>0</v>
      </c>
      <c r="H3" s="28">
        <v>0</v>
      </c>
      <c r="I3" s="16" t="s">
        <v>12</v>
      </c>
      <c r="J3" s="16" t="s">
        <v>12</v>
      </c>
      <c r="K3" s="160">
        <f>G3-H3</f>
        <v>0</v>
      </c>
      <c r="L3" s="374" t="e">
        <f t="shared" ref="L3:L4" si="0">(1-EXP(-2*D3))/(1-EXP(-4*C3*D3))</f>
        <v>#NUM!</v>
      </c>
      <c r="M3" s="53">
        <f>G3+H3</f>
        <v>0</v>
      </c>
      <c r="N3" s="58" t="e">
        <f>L3/G3</f>
        <v>#NUM!</v>
      </c>
      <c r="O3" s="121" t="e">
        <f>AND(L3&gt;=K3,L3&lt;=M3)</f>
        <v>#NUM!</v>
      </c>
    </row>
    <row r="4" spans="1:15" x14ac:dyDescent="0.25">
      <c r="A4" s="11">
        <v>20</v>
      </c>
      <c r="B4" s="11">
        <v>6</v>
      </c>
      <c r="C4" s="34">
        <v>10000</v>
      </c>
      <c r="D4" s="354">
        <v>-0.1</v>
      </c>
      <c r="E4" s="34">
        <v>100000</v>
      </c>
      <c r="F4" s="28">
        <v>1</v>
      </c>
      <c r="G4" s="377">
        <v>0</v>
      </c>
      <c r="H4" s="28">
        <v>0</v>
      </c>
      <c r="I4" s="16" t="s">
        <v>12</v>
      </c>
      <c r="J4" s="16" t="s">
        <v>12</v>
      </c>
      <c r="K4" s="160">
        <f>G4-H4</f>
        <v>0</v>
      </c>
      <c r="L4" s="374" t="e">
        <f t="shared" si="0"/>
        <v>#NUM!</v>
      </c>
      <c r="M4" s="53">
        <f>G4+H4</f>
        <v>0</v>
      </c>
      <c r="N4" s="58" t="e">
        <f>L4/G4</f>
        <v>#NUM!</v>
      </c>
      <c r="O4" s="121" t="e">
        <f>AND(L4&gt;=K4,L4&lt;=M4)</f>
        <v>#NUM!</v>
      </c>
    </row>
    <row r="5" spans="1:15" x14ac:dyDescent="0.25">
      <c r="A5" s="19">
        <v>20</v>
      </c>
      <c r="B5" s="19">
        <v>23</v>
      </c>
      <c r="C5" s="34">
        <v>10000</v>
      </c>
      <c r="D5" s="348">
        <v>-0.05</v>
      </c>
      <c r="E5" s="34">
        <v>1000000</v>
      </c>
      <c r="F5" s="353">
        <v>1</v>
      </c>
      <c r="G5" s="359">
        <v>0</v>
      </c>
      <c r="H5" s="363">
        <v>0</v>
      </c>
      <c r="I5" s="24" t="s">
        <v>12</v>
      </c>
      <c r="J5" s="24" t="s">
        <v>12</v>
      </c>
      <c r="K5" s="160">
        <f>G5-H5</f>
        <v>0</v>
      </c>
      <c r="L5" s="374" t="e">
        <f t="shared" ref="L5" si="1">(1-EXP(-2*D5))/(1-EXP(-4*C5*D5))</f>
        <v>#NUM!</v>
      </c>
      <c r="M5" s="53">
        <f>G5+H5</f>
        <v>0</v>
      </c>
      <c r="N5" s="58" t="e">
        <f>L5/G5</f>
        <v>#NUM!</v>
      </c>
      <c r="O5" s="121" t="e">
        <f>AND(L5&gt;=K5,L5&lt;=M5)</f>
        <v>#NUM!</v>
      </c>
    </row>
    <row r="6" spans="1:15" x14ac:dyDescent="0.25">
      <c r="A6" s="19">
        <v>20</v>
      </c>
      <c r="B6" s="19">
        <v>24</v>
      </c>
      <c r="C6" s="34">
        <v>10000</v>
      </c>
      <c r="D6" s="361">
        <v>-0.01</v>
      </c>
      <c r="E6" s="34">
        <v>100000</v>
      </c>
      <c r="F6" s="353">
        <v>1</v>
      </c>
      <c r="G6" s="359">
        <v>0</v>
      </c>
      <c r="H6" s="363">
        <v>0</v>
      </c>
      <c r="I6" s="24" t="s">
        <v>12</v>
      </c>
      <c r="J6" s="24" t="s">
        <v>12</v>
      </c>
      <c r="K6" s="160">
        <f t="shared" ref="K6:K11" si="2">G6-H6</f>
        <v>0</v>
      </c>
      <c r="L6" s="374">
        <f t="shared" ref="L6:L11" si="3">(1-EXP(-2*D6))/(1-EXP(-4*C6*D6))</f>
        <v>3.8688992232124356E-176</v>
      </c>
      <c r="M6" s="53">
        <f t="shared" ref="M6:M11" si="4">G6+H6</f>
        <v>0</v>
      </c>
      <c r="N6" s="58" t="e">
        <f t="shared" ref="N6:N11" si="5">L6/G6</f>
        <v>#DIV/0!</v>
      </c>
      <c r="O6" s="362" t="b">
        <f t="shared" ref="O6:O11" si="6">AND(L6&gt;=K6,L6&lt;=M6)</f>
        <v>0</v>
      </c>
    </row>
    <row r="7" spans="1:15" x14ac:dyDescent="0.25">
      <c r="A7" s="19">
        <v>20</v>
      </c>
      <c r="B7" s="19">
        <v>25</v>
      </c>
      <c r="C7" s="34">
        <v>10000</v>
      </c>
      <c r="D7" s="348">
        <v>-5.0000000000000001E-3</v>
      </c>
      <c r="E7" s="34">
        <v>1000000</v>
      </c>
      <c r="F7" s="353">
        <v>1</v>
      </c>
      <c r="G7" s="359">
        <v>0</v>
      </c>
      <c r="H7" s="363">
        <v>0</v>
      </c>
      <c r="I7" s="24" t="s">
        <v>12</v>
      </c>
      <c r="J7" s="24" t="s">
        <v>12</v>
      </c>
      <c r="K7" s="160">
        <f t="shared" si="2"/>
        <v>0</v>
      </c>
      <c r="L7" s="374">
        <f t="shared" si="3"/>
        <v>1.390839132090391E-89</v>
      </c>
      <c r="M7" s="53">
        <f t="shared" si="4"/>
        <v>0</v>
      </c>
      <c r="N7" s="58" t="e">
        <f t="shared" si="5"/>
        <v>#DIV/0!</v>
      </c>
      <c r="O7" s="121" t="b">
        <f t="shared" si="6"/>
        <v>0</v>
      </c>
    </row>
    <row r="8" spans="1:15" x14ac:dyDescent="0.25">
      <c r="A8" s="19">
        <v>20</v>
      </c>
      <c r="B8" s="19">
        <v>26</v>
      </c>
      <c r="C8" s="34">
        <v>10000</v>
      </c>
      <c r="D8" s="348">
        <v>-1E-3</v>
      </c>
      <c r="E8" s="34">
        <v>1000000</v>
      </c>
      <c r="F8" s="353">
        <v>1</v>
      </c>
      <c r="G8" s="359">
        <v>0</v>
      </c>
      <c r="H8" s="363">
        <v>0</v>
      </c>
      <c r="I8" s="24" t="s">
        <v>12</v>
      </c>
      <c r="J8" s="24" t="s">
        <v>12</v>
      </c>
      <c r="K8" s="160">
        <f t="shared" si="2"/>
        <v>0</v>
      </c>
      <c r="L8" s="374">
        <f t="shared" si="3"/>
        <v>8.505210886399624E-21</v>
      </c>
      <c r="M8" s="53">
        <f t="shared" si="4"/>
        <v>0</v>
      </c>
      <c r="N8" s="58" t="e">
        <f t="shared" si="5"/>
        <v>#DIV/0!</v>
      </c>
      <c r="O8" s="121" t="b">
        <f t="shared" si="6"/>
        <v>0</v>
      </c>
    </row>
    <row r="9" spans="1:15" x14ac:dyDescent="0.25">
      <c r="A9" s="19">
        <v>20</v>
      </c>
      <c r="B9" s="19">
        <v>30</v>
      </c>
      <c r="C9" s="34">
        <v>10000</v>
      </c>
      <c r="D9" s="348">
        <v>-5.0000000000000001E-4</v>
      </c>
      <c r="E9" s="34">
        <v>1000000</v>
      </c>
      <c r="F9" s="353">
        <v>1</v>
      </c>
      <c r="G9" s="359">
        <v>0</v>
      </c>
      <c r="H9" s="363">
        <v>0</v>
      </c>
      <c r="I9" s="24" t="s">
        <v>12</v>
      </c>
      <c r="J9" s="24" t="s">
        <v>12</v>
      </c>
      <c r="K9" s="160">
        <f>G9-H9</f>
        <v>0</v>
      </c>
      <c r="L9" s="374">
        <f>(1-EXP(-2*D9))/(1-EXP(-4*C9*D9))</f>
        <v>2.062184547111847E-12</v>
      </c>
      <c r="M9" s="53">
        <f>G9+H9</f>
        <v>0</v>
      </c>
      <c r="N9" s="58" t="e">
        <f>L9/G9</f>
        <v>#DIV/0!</v>
      </c>
      <c r="O9" s="121" t="b">
        <f>AND(L9&gt;=K9,L9&lt;=M9)</f>
        <v>0</v>
      </c>
    </row>
    <row r="10" spans="1:15" x14ac:dyDescent="0.25">
      <c r="A10" s="19">
        <v>20</v>
      </c>
      <c r="B10" s="19">
        <v>28</v>
      </c>
      <c r="C10" s="34">
        <v>10000</v>
      </c>
      <c r="D10" s="348">
        <v>-1E-4</v>
      </c>
      <c r="E10" s="34">
        <v>1000000</v>
      </c>
      <c r="F10" s="353">
        <v>0.99999594999999997</v>
      </c>
      <c r="G10" s="359">
        <v>4.0500000000000002E-6</v>
      </c>
      <c r="H10" s="363">
        <v>1.9609999999999999E-6</v>
      </c>
      <c r="I10" s="24">
        <v>33322.76</v>
      </c>
      <c r="J10" s="24">
        <v>14021.1</v>
      </c>
      <c r="K10" s="160">
        <f t="shared" si="2"/>
        <v>2.0890000000000002E-6</v>
      </c>
      <c r="L10" s="374">
        <f t="shared" si="3"/>
        <v>3.7318452448408604E-6</v>
      </c>
      <c r="M10" s="53">
        <f t="shared" si="4"/>
        <v>6.0110000000000006E-6</v>
      </c>
      <c r="N10" s="58">
        <f t="shared" si="5"/>
        <v>0.92144327033107665</v>
      </c>
      <c r="O10" s="121" t="b">
        <f t="shared" si="6"/>
        <v>1</v>
      </c>
    </row>
    <row r="11" spans="1:15" x14ac:dyDescent="0.25">
      <c r="A11" s="19">
        <v>20</v>
      </c>
      <c r="B11" s="19">
        <v>32</v>
      </c>
      <c r="C11" s="34">
        <v>10000</v>
      </c>
      <c r="D11" s="348">
        <v>-5.0000000000000002E-5</v>
      </c>
      <c r="E11" s="34">
        <v>1000000</v>
      </c>
      <c r="F11" s="353">
        <v>0.99998169999999997</v>
      </c>
      <c r="G11" s="359">
        <v>1.8300000000000001E-5</v>
      </c>
      <c r="H11" s="363">
        <v>4.2521999999999997E-6</v>
      </c>
      <c r="I11" s="24">
        <v>36953.29</v>
      </c>
      <c r="J11" s="24">
        <v>17671.86</v>
      </c>
      <c r="K11" s="160">
        <f t="shared" si="2"/>
        <v>1.4047800000000001E-5</v>
      </c>
      <c r="L11" s="374">
        <f t="shared" si="3"/>
        <v>1.5652546889274012E-5</v>
      </c>
      <c r="M11" s="53">
        <f t="shared" si="4"/>
        <v>2.2552200000000001E-5</v>
      </c>
      <c r="N11" s="58">
        <f t="shared" si="5"/>
        <v>0.85533043110786944</v>
      </c>
      <c r="O11" s="121" t="b">
        <f t="shared" si="6"/>
        <v>1</v>
      </c>
    </row>
    <row r="12" spans="1:15" ht="15.75" x14ac:dyDescent="0.25">
      <c r="A12" s="19">
        <v>20</v>
      </c>
      <c r="B12" s="19">
        <v>31</v>
      </c>
      <c r="C12" s="34">
        <v>10000</v>
      </c>
      <c r="D12" s="349">
        <v>-1.0000000000000001E-5</v>
      </c>
      <c r="E12" s="34">
        <v>1000000</v>
      </c>
      <c r="F12" s="353">
        <v>0.99995990000000001</v>
      </c>
      <c r="G12" s="358">
        <v>4.0099999999999999E-5</v>
      </c>
      <c r="H12" s="363">
        <v>6.3080000000000004E-6</v>
      </c>
      <c r="I12" s="352">
        <v>39535.17</v>
      </c>
      <c r="J12" s="24">
        <v>20098.310000000001</v>
      </c>
      <c r="K12" s="160">
        <f t="shared" ref="K12" si="7">G12-H12</f>
        <v>3.3791999999999998E-5</v>
      </c>
      <c r="L12" s="374">
        <f t="shared" ref="L12" si="8">(1-EXP(-2*D12))/(1-EXP(-4*C12*D12))</f>
        <v>4.0665302285908474E-5</v>
      </c>
      <c r="M12" s="53">
        <f t="shared" ref="M12" si="9">G12+H12</f>
        <v>4.6408E-5</v>
      </c>
      <c r="N12" s="58">
        <f t="shared" ref="N12" si="10">L12/G12</f>
        <v>1.0140973138630542</v>
      </c>
      <c r="O12" s="121" t="b">
        <f t="shared" ref="O12" si="11">AND(L12&gt;=K12,L12&lt;=M12)</f>
        <v>1</v>
      </c>
    </row>
    <row r="13" spans="1:15" x14ac:dyDescent="0.25">
      <c r="A13" s="19">
        <v>20</v>
      </c>
      <c r="B13" s="19">
        <v>1</v>
      </c>
      <c r="C13" s="34">
        <v>10000</v>
      </c>
      <c r="D13" s="348">
        <v>-9.9999999999999995E-7</v>
      </c>
      <c r="E13" s="34">
        <v>1000000</v>
      </c>
      <c r="F13" s="353">
        <v>0.99995195000000003</v>
      </c>
      <c r="G13" s="359">
        <v>4.8050000000000002E-5</v>
      </c>
      <c r="H13" s="363">
        <v>6.9164999999999998E-6</v>
      </c>
      <c r="I13" s="24">
        <v>39644.25</v>
      </c>
      <c r="J13" s="24">
        <v>20210.830000000002</v>
      </c>
      <c r="K13" s="160">
        <f t="shared" ref="K13:K15" si="12">G13-H13</f>
        <v>4.1133500000000002E-5</v>
      </c>
      <c r="L13" s="374">
        <f t="shared" ref="L13:L15" si="13">(1-EXP(-2*D13))/(1-EXP(-4*C13*D13))</f>
        <v>4.9006715495887274E-5</v>
      </c>
      <c r="M13" s="53">
        <f t="shared" ref="M13:M15" si="14">G13+H13</f>
        <v>5.4966500000000003E-5</v>
      </c>
      <c r="N13" s="58">
        <f t="shared" ref="N13:N15" si="15">L13/G13</f>
        <v>1.0199108323805883</v>
      </c>
      <c r="O13" s="121" t="b">
        <f t="shared" ref="O13:O15" si="16">AND(L13&gt;=K13,L13&lt;=M13)</f>
        <v>1</v>
      </c>
    </row>
    <row r="14" spans="1:15" x14ac:dyDescent="0.25">
      <c r="A14" s="19">
        <v>20</v>
      </c>
      <c r="B14" s="19">
        <v>1</v>
      </c>
      <c r="C14" s="34">
        <v>10000</v>
      </c>
      <c r="D14" s="348">
        <v>-9.9999999999999995E-8</v>
      </c>
      <c r="E14" s="34">
        <v>1000000</v>
      </c>
      <c r="F14" s="353">
        <v>0.99994830000000001</v>
      </c>
      <c r="G14" s="359">
        <v>5.1700000000000003E-5</v>
      </c>
      <c r="H14" s="363">
        <v>7.1693000000000001E-6</v>
      </c>
      <c r="I14" s="24">
        <v>40246.28</v>
      </c>
      <c r="J14" s="24">
        <v>20985</v>
      </c>
      <c r="K14" s="160">
        <f t="shared" si="12"/>
        <v>4.4530700000000004E-5</v>
      </c>
      <c r="L14" s="374">
        <f t="shared" si="13"/>
        <v>4.9900071681801682E-5</v>
      </c>
      <c r="M14" s="53">
        <f t="shared" si="14"/>
        <v>5.8869300000000002E-5</v>
      </c>
      <c r="N14" s="58">
        <f t="shared" si="15"/>
        <v>0.96518513891299185</v>
      </c>
      <c r="O14" s="121" t="b">
        <f t="shared" si="16"/>
        <v>1</v>
      </c>
    </row>
    <row r="15" spans="1:15" x14ac:dyDescent="0.25">
      <c r="A15" s="19">
        <v>20</v>
      </c>
      <c r="B15" s="19">
        <v>2</v>
      </c>
      <c r="C15" s="34">
        <v>10000</v>
      </c>
      <c r="D15" s="348">
        <v>-1E-8</v>
      </c>
      <c r="E15" s="34">
        <v>1000000</v>
      </c>
      <c r="F15" s="353">
        <v>0.99995080000000003</v>
      </c>
      <c r="G15" s="359">
        <v>4.9200000000000003E-5</v>
      </c>
      <c r="H15" s="363">
        <v>7.0048999999999996E-6</v>
      </c>
      <c r="I15" s="24">
        <v>39701.32</v>
      </c>
      <c r="J15" s="24">
        <v>20381.95</v>
      </c>
      <c r="K15" s="160">
        <f t="shared" si="12"/>
        <v>4.2195100000000005E-5</v>
      </c>
      <c r="L15" s="374">
        <f t="shared" si="13"/>
        <v>4.9990000917842964E-5</v>
      </c>
      <c r="M15" s="53">
        <f t="shared" si="14"/>
        <v>5.6204900000000001E-5</v>
      </c>
      <c r="N15" s="58">
        <f t="shared" si="15"/>
        <v>1.0160569292244503</v>
      </c>
      <c r="O15" s="121" t="b">
        <f t="shared" si="16"/>
        <v>1</v>
      </c>
    </row>
    <row r="16" spans="1:15" x14ac:dyDescent="0.25">
      <c r="A16" s="19">
        <v>20</v>
      </c>
      <c r="B16" s="19">
        <v>33</v>
      </c>
      <c r="C16" s="34">
        <v>10000</v>
      </c>
      <c r="D16" s="348">
        <v>0</v>
      </c>
      <c r="E16" s="34">
        <v>1000000</v>
      </c>
      <c r="F16" s="353">
        <v>0.99995069999999997</v>
      </c>
      <c r="G16" s="359">
        <v>4.9299999999999999E-5</v>
      </c>
      <c r="H16" s="363">
        <v>6.9963000000000003E-6</v>
      </c>
      <c r="I16" s="24">
        <v>39524.92</v>
      </c>
      <c r="J16" s="24">
        <v>21421.89</v>
      </c>
      <c r="K16" s="160">
        <f t="shared" ref="K16" si="17">G16-H16</f>
        <v>4.23037E-5</v>
      </c>
      <c r="L16" s="374" t="e">
        <f t="shared" ref="L16" si="18">(1-EXP(-2*D16))/(1-EXP(-4*C16*D16))</f>
        <v>#DIV/0!</v>
      </c>
      <c r="M16" s="53">
        <f t="shared" ref="M16" si="19">G16+H16</f>
        <v>5.6296299999999998E-5</v>
      </c>
      <c r="N16" s="58" t="e">
        <f t="shared" ref="N16" si="20">L16/G16</f>
        <v>#DIV/0!</v>
      </c>
      <c r="O16" s="121" t="e">
        <f t="shared" ref="O16" si="21">AND(L16&gt;=K16,L16&lt;=M16)</f>
        <v>#DIV/0!</v>
      </c>
    </row>
    <row r="17" spans="1:14" x14ac:dyDescent="0.25">
      <c r="F17" s="71" t="s">
        <v>57</v>
      </c>
      <c r="G17" s="46">
        <v>5.0000000000000002E-5</v>
      </c>
      <c r="I17" s="5">
        <v>40000</v>
      </c>
    </row>
    <row r="18" spans="1:14" ht="30" x14ac:dyDescent="0.25">
      <c r="A18" s="11" t="s">
        <v>0</v>
      </c>
      <c r="B18" s="11" t="s">
        <v>10</v>
      </c>
      <c r="C18" s="33" t="s">
        <v>11</v>
      </c>
      <c r="D18" s="11" t="s">
        <v>9</v>
      </c>
      <c r="E18" s="33" t="s">
        <v>3</v>
      </c>
      <c r="F18" s="28" t="s">
        <v>29</v>
      </c>
      <c r="G18" s="377" t="s">
        <v>27</v>
      </c>
      <c r="H18" s="28" t="s">
        <v>28</v>
      </c>
      <c r="I18" s="16" t="s">
        <v>25</v>
      </c>
      <c r="J18" s="16" t="s">
        <v>26</v>
      </c>
      <c r="K18" s="75"/>
      <c r="L18" s="377" t="s">
        <v>153</v>
      </c>
      <c r="M18" s="50"/>
    </row>
    <row r="19" spans="1:14" x14ac:dyDescent="0.25">
      <c r="A19" s="2">
        <v>20</v>
      </c>
      <c r="B19" s="2">
        <v>12</v>
      </c>
      <c r="C19" s="9">
        <v>10000</v>
      </c>
      <c r="D19">
        <v>-0.05</v>
      </c>
      <c r="E19" s="70">
        <v>100000</v>
      </c>
      <c r="F19" s="69">
        <v>1</v>
      </c>
      <c r="G19" s="46">
        <v>0</v>
      </c>
      <c r="H19" s="69">
        <v>0</v>
      </c>
      <c r="I19" s="5" t="s">
        <v>12</v>
      </c>
      <c r="J19" s="5" t="s">
        <v>12</v>
      </c>
      <c r="L19" s="375"/>
      <c r="M19" s="29"/>
    </row>
    <row r="20" spans="1:14" x14ac:dyDescent="0.25">
      <c r="A20" s="2">
        <v>20</v>
      </c>
      <c r="B20" s="2">
        <v>13</v>
      </c>
      <c r="C20" s="9">
        <v>10000</v>
      </c>
      <c r="D20">
        <v>-0.01</v>
      </c>
      <c r="E20" s="9">
        <v>10000</v>
      </c>
      <c r="F20" s="69">
        <v>1</v>
      </c>
      <c r="G20" s="46">
        <v>0</v>
      </c>
      <c r="H20" s="69">
        <v>0</v>
      </c>
      <c r="I20" s="5" t="s">
        <v>12</v>
      </c>
      <c r="J20" s="5" t="s">
        <v>12</v>
      </c>
      <c r="L20" s="374">
        <f t="shared" ref="L20:L28" si="22">(1-EXP(-2*D20))/(1-EXP(-4*C20*D20))</f>
        <v>3.8688992232124356E-176</v>
      </c>
      <c r="M20" s="29"/>
    </row>
    <row r="21" spans="1:14" x14ac:dyDescent="0.25">
      <c r="A21" s="2">
        <v>20</v>
      </c>
      <c r="B21" s="2">
        <v>14</v>
      </c>
      <c r="C21" s="9">
        <v>10000</v>
      </c>
      <c r="D21">
        <v>-5.0000000000000001E-3</v>
      </c>
      <c r="E21" s="9">
        <v>100000</v>
      </c>
      <c r="F21" s="69">
        <v>1</v>
      </c>
      <c r="G21" s="46">
        <v>0</v>
      </c>
      <c r="H21" s="69">
        <v>0</v>
      </c>
      <c r="I21" s="5" t="s">
        <v>12</v>
      </c>
      <c r="J21" s="5" t="s">
        <v>12</v>
      </c>
      <c r="L21" s="374">
        <f t="shared" si="22"/>
        <v>1.390839132090391E-89</v>
      </c>
      <c r="M21" s="29"/>
    </row>
    <row r="22" spans="1:14" x14ac:dyDescent="0.25">
      <c r="A22" s="2">
        <v>20</v>
      </c>
      <c r="B22" s="2">
        <v>15</v>
      </c>
      <c r="C22" s="9">
        <v>10000</v>
      </c>
      <c r="D22">
        <v>-1E-3</v>
      </c>
      <c r="E22" s="9">
        <v>100000</v>
      </c>
      <c r="F22" s="69">
        <v>1</v>
      </c>
      <c r="G22" s="46">
        <v>0</v>
      </c>
      <c r="H22" s="69">
        <v>0</v>
      </c>
      <c r="I22" s="5" t="s">
        <v>12</v>
      </c>
      <c r="J22" s="5" t="s">
        <v>12</v>
      </c>
      <c r="L22" s="374">
        <f t="shared" si="22"/>
        <v>8.505210886399624E-21</v>
      </c>
      <c r="M22" s="29"/>
    </row>
    <row r="23" spans="1:14" x14ac:dyDescent="0.25">
      <c r="A23" s="2">
        <v>20</v>
      </c>
      <c r="B23" s="2">
        <v>16</v>
      </c>
      <c r="C23" s="9">
        <v>10000</v>
      </c>
      <c r="D23">
        <v>-5.0000000000000001E-4</v>
      </c>
      <c r="E23" s="9">
        <v>100000</v>
      </c>
      <c r="F23" s="69">
        <v>1</v>
      </c>
      <c r="G23" s="46">
        <v>0</v>
      </c>
      <c r="H23" s="69">
        <v>0</v>
      </c>
      <c r="I23" s="5" t="s">
        <v>12</v>
      </c>
      <c r="J23" s="5" t="s">
        <v>12</v>
      </c>
      <c r="L23" s="374">
        <f>(1-EXP(-2*D23))/(1-EXP(-4*C23*D23))</f>
        <v>2.062184547111847E-12</v>
      </c>
      <c r="M23" s="29"/>
    </row>
    <row r="24" spans="1:14" x14ac:dyDescent="0.25">
      <c r="A24" s="2">
        <v>20</v>
      </c>
      <c r="B24" s="2">
        <v>17</v>
      </c>
      <c r="C24" s="9">
        <v>10000</v>
      </c>
      <c r="D24">
        <v>-1E-4</v>
      </c>
      <c r="E24" s="9">
        <v>100000</v>
      </c>
      <c r="F24" s="69">
        <v>0.99999450000000001</v>
      </c>
      <c r="G24" s="46">
        <v>5.4999999999999999E-6</v>
      </c>
      <c r="H24" s="69">
        <v>4.2802000000000001E-6</v>
      </c>
      <c r="I24" s="5" t="s">
        <v>12</v>
      </c>
      <c r="J24" s="5" t="s">
        <v>12</v>
      </c>
      <c r="L24" s="374">
        <f>(1-EXP(-2*D24))/(1-EXP(-4*C24*D24))</f>
        <v>3.7318452448408604E-6</v>
      </c>
      <c r="M24" s="29"/>
      <c r="N24" t="s">
        <v>9</v>
      </c>
    </row>
    <row r="25" spans="1:14" x14ac:dyDescent="0.25">
      <c r="A25" s="2">
        <v>20</v>
      </c>
      <c r="B25" s="2">
        <v>19</v>
      </c>
      <c r="C25" s="9">
        <v>10000</v>
      </c>
      <c r="D25">
        <v>-5.0000000000000001E-4</v>
      </c>
      <c r="E25" s="9">
        <v>100000</v>
      </c>
      <c r="F25" s="69">
        <v>1</v>
      </c>
      <c r="G25" s="46">
        <v>0</v>
      </c>
      <c r="H25" s="69">
        <v>0</v>
      </c>
      <c r="I25" s="5" t="s">
        <v>12</v>
      </c>
      <c r="J25" s="5" t="s">
        <v>12</v>
      </c>
      <c r="L25" s="374">
        <f>(1-EXP(-2*D25))/(1-EXP(-4*C25*D25))</f>
        <v>2.062184547111847E-12</v>
      </c>
      <c r="M25" s="29"/>
    </row>
    <row r="26" spans="1:14" x14ac:dyDescent="0.25">
      <c r="A26" s="2">
        <v>20</v>
      </c>
      <c r="B26" s="2">
        <v>18</v>
      </c>
      <c r="C26" s="9">
        <v>10000</v>
      </c>
      <c r="D26">
        <v>-1E-4</v>
      </c>
      <c r="E26" s="9">
        <v>100000</v>
      </c>
      <c r="F26" s="69">
        <v>0.99999499999999997</v>
      </c>
      <c r="G26" s="46">
        <v>5.0000000000000004E-6</v>
      </c>
      <c r="H26" s="69">
        <v>4.4142E-6</v>
      </c>
      <c r="I26" s="5" t="s">
        <v>12</v>
      </c>
      <c r="J26" s="5" t="s">
        <v>12</v>
      </c>
      <c r="L26" s="374">
        <f t="shared" si="22"/>
        <v>3.7318452448408604E-6</v>
      </c>
      <c r="M26" s="29"/>
    </row>
    <row r="27" spans="1:14" x14ac:dyDescent="0.25">
      <c r="A27" s="2">
        <v>20</v>
      </c>
      <c r="B27" s="2">
        <v>21</v>
      </c>
      <c r="C27" s="9">
        <v>10000</v>
      </c>
      <c r="D27" s="6">
        <v>-5.0000000000000002E-5</v>
      </c>
      <c r="E27" s="9">
        <v>100000</v>
      </c>
      <c r="F27" s="69">
        <v>0.99998100000000001</v>
      </c>
      <c r="G27" s="380">
        <v>1.9000000000000001E-5</v>
      </c>
      <c r="H27" s="69">
        <v>1.2779700000000001E-5</v>
      </c>
      <c r="I27" s="5" t="s">
        <v>12</v>
      </c>
      <c r="J27" s="5" t="s">
        <v>12</v>
      </c>
      <c r="L27" s="374">
        <f>(1-EXP(-2*D27))/(1-EXP(-4*C27*D27))</f>
        <v>1.5652546889274012E-5</v>
      </c>
      <c r="M27" s="59"/>
    </row>
    <row r="28" spans="1:14" x14ac:dyDescent="0.25">
      <c r="A28" s="2">
        <v>20</v>
      </c>
      <c r="B28" s="2">
        <v>20</v>
      </c>
      <c r="C28" s="9">
        <v>10000</v>
      </c>
      <c r="D28" s="6">
        <v>-1.0000000000000001E-5</v>
      </c>
      <c r="E28" s="9">
        <v>100000</v>
      </c>
      <c r="F28" s="69">
        <v>0.99995699999999998</v>
      </c>
      <c r="G28" s="380">
        <v>4.3000000000000002E-5</v>
      </c>
      <c r="H28" s="69">
        <v>2.0200500000000001E-5</v>
      </c>
      <c r="I28" s="5">
        <v>40966.35</v>
      </c>
      <c r="J28" s="5">
        <v>17504.07</v>
      </c>
      <c r="L28" s="374">
        <f t="shared" si="22"/>
        <v>4.0665302285908474E-5</v>
      </c>
      <c r="M28" s="59"/>
    </row>
    <row r="29" spans="1:14" x14ac:dyDescent="0.25">
      <c r="A29" s="2">
        <v>20</v>
      </c>
      <c r="B29" s="2">
        <v>22</v>
      </c>
      <c r="C29" s="9">
        <v>10000</v>
      </c>
      <c r="D29">
        <v>0</v>
      </c>
      <c r="E29" s="9">
        <v>100000</v>
      </c>
      <c r="F29" s="69">
        <v>0.99994700000000003</v>
      </c>
      <c r="G29" s="46">
        <v>5.3000000000000001E-5</v>
      </c>
      <c r="H29" s="69">
        <v>2.2518500000000001E-5</v>
      </c>
      <c r="I29" s="5">
        <v>39175.21</v>
      </c>
      <c r="J29" s="5">
        <v>13078.68</v>
      </c>
      <c r="L29" s="375"/>
      <c r="M29" s="29"/>
    </row>
    <row r="30" spans="1:14" x14ac:dyDescent="0.25">
      <c r="F30" s="71" t="s">
        <v>57</v>
      </c>
      <c r="G30" s="46">
        <v>5.0000000000000002E-5</v>
      </c>
      <c r="I30" s="5">
        <v>40000</v>
      </c>
    </row>
    <row r="31" spans="1:14" ht="30" x14ac:dyDescent="0.25">
      <c r="A31" s="11" t="s">
        <v>0</v>
      </c>
      <c r="B31" s="11" t="s">
        <v>10</v>
      </c>
      <c r="C31" s="33" t="s">
        <v>11</v>
      </c>
      <c r="D31" s="11" t="s">
        <v>9</v>
      </c>
      <c r="E31" s="33" t="s">
        <v>3</v>
      </c>
      <c r="F31" s="28" t="s">
        <v>29</v>
      </c>
      <c r="G31" s="377" t="s">
        <v>27</v>
      </c>
      <c r="H31" s="28" t="s">
        <v>28</v>
      </c>
      <c r="I31" s="16" t="s">
        <v>25</v>
      </c>
      <c r="J31" s="16" t="s">
        <v>26</v>
      </c>
      <c r="K31" s="75"/>
      <c r="L31" s="377" t="s">
        <v>153</v>
      </c>
      <c r="M31" s="50"/>
    </row>
    <row r="32" spans="1:14" x14ac:dyDescent="0.25">
      <c r="A32" s="2">
        <v>20</v>
      </c>
      <c r="B32" s="2">
        <v>1</v>
      </c>
      <c r="C32" s="9">
        <v>10000</v>
      </c>
      <c r="D32">
        <v>-0.05</v>
      </c>
      <c r="E32" s="70">
        <v>10000</v>
      </c>
      <c r="F32" s="69">
        <v>1</v>
      </c>
      <c r="G32" s="46">
        <v>0</v>
      </c>
      <c r="H32" s="69">
        <v>0</v>
      </c>
      <c r="I32" s="5" t="s">
        <v>12</v>
      </c>
      <c r="J32" s="5" t="s">
        <v>12</v>
      </c>
      <c r="L32" s="375"/>
      <c r="M32" s="29"/>
    </row>
    <row r="33" spans="1:13" x14ac:dyDescent="0.25">
      <c r="A33" s="2">
        <v>20</v>
      </c>
      <c r="B33" s="2">
        <v>2</v>
      </c>
      <c r="C33" s="9">
        <v>10000</v>
      </c>
      <c r="D33">
        <v>-0.01</v>
      </c>
      <c r="E33" s="9">
        <v>10000</v>
      </c>
      <c r="F33" s="69">
        <v>1</v>
      </c>
      <c r="G33" s="46">
        <v>0</v>
      </c>
      <c r="H33" s="69">
        <v>0</v>
      </c>
      <c r="I33" s="5" t="s">
        <v>12</v>
      </c>
      <c r="J33" s="5" t="s">
        <v>12</v>
      </c>
      <c r="L33" s="374">
        <f t="shared" ref="L33:L41" si="23">(1-EXP(-2*D33))/(1-EXP(-4*C33*D33))</f>
        <v>3.8688992232124356E-176</v>
      </c>
      <c r="M33" s="29"/>
    </row>
    <row r="34" spans="1:13" x14ac:dyDescent="0.25">
      <c r="A34" s="2">
        <v>20</v>
      </c>
      <c r="B34" s="2">
        <v>3</v>
      </c>
      <c r="C34" s="9">
        <v>10000</v>
      </c>
      <c r="D34">
        <v>-5.0000000000000001E-3</v>
      </c>
      <c r="E34" s="9">
        <v>10000</v>
      </c>
      <c r="F34" s="69">
        <v>1</v>
      </c>
      <c r="G34" s="46">
        <v>0</v>
      </c>
      <c r="H34" s="69">
        <v>0</v>
      </c>
      <c r="I34" s="5" t="s">
        <v>12</v>
      </c>
      <c r="J34" s="5" t="s">
        <v>12</v>
      </c>
      <c r="L34" s="374">
        <f t="shared" si="23"/>
        <v>1.390839132090391E-89</v>
      </c>
      <c r="M34" s="29"/>
    </row>
    <row r="35" spans="1:13" x14ac:dyDescent="0.25">
      <c r="A35" s="2">
        <v>20</v>
      </c>
      <c r="B35" s="2">
        <v>4</v>
      </c>
      <c r="C35" s="9">
        <v>10000</v>
      </c>
      <c r="D35">
        <v>-1E-3</v>
      </c>
      <c r="E35" s="9">
        <v>10000</v>
      </c>
      <c r="F35" s="69">
        <v>1</v>
      </c>
      <c r="G35" s="46">
        <v>0</v>
      </c>
      <c r="H35" s="69">
        <v>0</v>
      </c>
      <c r="I35" s="5" t="s">
        <v>12</v>
      </c>
      <c r="J35" s="5" t="s">
        <v>12</v>
      </c>
      <c r="L35" s="374">
        <f t="shared" si="23"/>
        <v>8.505210886399624E-21</v>
      </c>
      <c r="M35" s="29"/>
    </row>
    <row r="36" spans="1:13" x14ac:dyDescent="0.25">
      <c r="A36" s="2">
        <v>20</v>
      </c>
      <c r="B36" s="2">
        <v>5</v>
      </c>
      <c r="C36" s="9">
        <v>10000</v>
      </c>
      <c r="D36">
        <v>-5.0000000000000001E-4</v>
      </c>
      <c r="E36" s="9">
        <v>10000</v>
      </c>
      <c r="F36" s="69">
        <v>1</v>
      </c>
      <c r="G36" s="46">
        <v>0</v>
      </c>
      <c r="H36" s="69">
        <v>0</v>
      </c>
      <c r="I36" s="5" t="s">
        <v>12</v>
      </c>
      <c r="J36" s="5" t="s">
        <v>12</v>
      </c>
      <c r="L36" s="374">
        <f t="shared" si="23"/>
        <v>2.062184547111847E-12</v>
      </c>
      <c r="M36" s="29"/>
    </row>
    <row r="37" spans="1:13" x14ac:dyDescent="0.25">
      <c r="A37" s="2">
        <v>20</v>
      </c>
      <c r="B37" s="2">
        <v>6</v>
      </c>
      <c r="C37" s="9">
        <v>10000</v>
      </c>
      <c r="D37">
        <v>-1E-4</v>
      </c>
      <c r="E37" s="9">
        <v>10000</v>
      </c>
      <c r="F37" s="69">
        <v>1</v>
      </c>
      <c r="G37" s="46">
        <v>0</v>
      </c>
      <c r="H37" s="69">
        <v>0</v>
      </c>
      <c r="I37" s="5" t="s">
        <v>12</v>
      </c>
      <c r="J37" s="5" t="s">
        <v>12</v>
      </c>
      <c r="L37" s="374">
        <f t="shared" si="23"/>
        <v>3.7318452448408604E-6</v>
      </c>
      <c r="M37" s="29"/>
    </row>
    <row r="38" spans="1:13" x14ac:dyDescent="0.25">
      <c r="A38" s="2">
        <v>20</v>
      </c>
      <c r="B38" s="2">
        <v>8</v>
      </c>
      <c r="C38" s="9">
        <v>10000</v>
      </c>
      <c r="D38">
        <v>-5.0000000000000001E-4</v>
      </c>
      <c r="E38" s="9">
        <v>10000</v>
      </c>
      <c r="F38" s="69">
        <v>1</v>
      </c>
      <c r="G38" s="46">
        <v>0</v>
      </c>
      <c r="H38" s="69">
        <v>0</v>
      </c>
      <c r="I38" s="5" t="s">
        <v>12</v>
      </c>
      <c r="J38" s="5" t="s">
        <v>12</v>
      </c>
      <c r="L38" s="374">
        <f>(1-EXP(-2*D38))/(1-EXP(-4*C38*D38))</f>
        <v>2.062184547111847E-12</v>
      </c>
      <c r="M38" s="29"/>
    </row>
    <row r="39" spans="1:13" x14ac:dyDescent="0.25">
      <c r="A39" s="2">
        <v>20</v>
      </c>
      <c r="B39" s="2">
        <v>7</v>
      </c>
      <c r="C39" s="9">
        <v>10000</v>
      </c>
      <c r="D39">
        <v>-1E-4</v>
      </c>
      <c r="E39" s="9">
        <v>10000</v>
      </c>
      <c r="F39" s="69">
        <v>1</v>
      </c>
      <c r="G39" s="46">
        <v>0</v>
      </c>
      <c r="H39" s="69">
        <v>0</v>
      </c>
      <c r="I39" s="5" t="s">
        <v>12</v>
      </c>
      <c r="J39" s="5" t="s">
        <v>12</v>
      </c>
      <c r="L39" s="374">
        <f>(1-EXP(-2*D39))/(1-EXP(-4*C39*D39))</f>
        <v>3.7318452448408604E-6</v>
      </c>
      <c r="M39" s="29"/>
    </row>
    <row r="40" spans="1:13" x14ac:dyDescent="0.25">
      <c r="A40" s="2">
        <v>20</v>
      </c>
      <c r="B40" s="2">
        <v>10</v>
      </c>
      <c r="C40" s="9">
        <v>10000</v>
      </c>
      <c r="D40" s="6">
        <v>-5.0000000000000002E-5</v>
      </c>
      <c r="E40" s="9">
        <v>10000</v>
      </c>
      <c r="F40" s="69">
        <v>0.99997499999999995</v>
      </c>
      <c r="G40" s="380">
        <v>2.5000000000000001E-5</v>
      </c>
      <c r="H40" s="69">
        <v>2.20696E-5</v>
      </c>
      <c r="I40" s="5" t="s">
        <v>12</v>
      </c>
      <c r="J40" s="5" t="s">
        <v>12</v>
      </c>
      <c r="L40" s="374">
        <f>(1-EXP(-2*D40))/(1-EXP(-4*C40*D40))</f>
        <v>1.5652546889274012E-5</v>
      </c>
      <c r="M40" s="59"/>
    </row>
    <row r="41" spans="1:13" x14ac:dyDescent="0.25">
      <c r="A41" s="2">
        <v>20</v>
      </c>
      <c r="B41" s="2">
        <v>9</v>
      </c>
      <c r="C41" s="9">
        <v>10000</v>
      </c>
      <c r="D41" s="6">
        <v>-1.0000000000000001E-5</v>
      </c>
      <c r="E41" s="9">
        <v>10000</v>
      </c>
      <c r="F41" s="69">
        <v>0.99997499999999995</v>
      </c>
      <c r="G41" s="380">
        <v>2.5000000000000001E-5</v>
      </c>
      <c r="H41" s="69">
        <v>2.4998699999999998E-5</v>
      </c>
      <c r="I41" s="5" t="s">
        <v>12</v>
      </c>
      <c r="J41" s="5" t="s">
        <v>12</v>
      </c>
      <c r="L41" s="374">
        <f t="shared" si="23"/>
        <v>4.0665302285908474E-5</v>
      </c>
      <c r="M41" s="59"/>
    </row>
    <row r="42" spans="1:13" x14ac:dyDescent="0.25">
      <c r="A42" s="2">
        <v>20</v>
      </c>
      <c r="B42" s="2">
        <v>11</v>
      </c>
      <c r="C42" s="9">
        <v>10000</v>
      </c>
      <c r="D42">
        <v>0</v>
      </c>
      <c r="E42" s="9">
        <v>10000</v>
      </c>
      <c r="F42" s="69">
        <v>0.99995999999999996</v>
      </c>
      <c r="G42" s="46">
        <v>4.0000000000000003E-5</v>
      </c>
      <c r="H42" s="69">
        <v>3.4139700000000001E-5</v>
      </c>
      <c r="I42" s="5" t="s">
        <v>12</v>
      </c>
      <c r="J42" s="5" t="s">
        <v>12</v>
      </c>
      <c r="L42" s="375"/>
      <c r="M42" s="29"/>
    </row>
    <row r="43" spans="1:13" x14ac:dyDescent="0.25">
      <c r="F43" s="71" t="s">
        <v>57</v>
      </c>
      <c r="G43" s="46">
        <v>5.0000000000000002E-5</v>
      </c>
      <c r="I43" s="5">
        <v>40000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0570D-4318-481B-BF69-60FF02AFA72B}">
  <dimension ref="A1:O634"/>
  <sheetViews>
    <sheetView showGridLines="0" workbookViewId="0">
      <selection activeCell="A17" sqref="A17"/>
    </sheetView>
  </sheetViews>
  <sheetFormatPr defaultColWidth="9.140625" defaultRowHeight="15" x14ac:dyDescent="0.25"/>
  <cols>
    <col min="1" max="1" width="6" style="2" customWidth="1"/>
    <col min="2" max="2" width="5.7109375" style="2" customWidth="1"/>
    <col min="3" max="3" width="7.5703125" style="9" customWidth="1"/>
    <col min="4" max="4" width="8.7109375" bestFit="1" customWidth="1"/>
    <col min="5" max="5" width="10.28515625" style="9" customWidth="1"/>
    <col min="6" max="6" width="10.85546875" style="69" customWidth="1"/>
    <col min="7" max="7" width="11.140625" style="46" customWidth="1"/>
    <col min="8" max="8" width="11.28515625" style="69" customWidth="1"/>
    <col min="9" max="10" width="9.140625" style="65"/>
    <col min="11" max="11" width="12" customWidth="1"/>
    <col min="12" max="12" width="18.42578125" style="63" customWidth="1"/>
    <col min="13" max="13" width="10.28515625" bestFit="1" customWidth="1"/>
    <col min="14" max="14" width="18.5703125" customWidth="1"/>
    <col min="15" max="15" width="14.85546875" customWidth="1"/>
  </cols>
  <sheetData>
    <row r="1" spans="1:15" ht="34.5" customHeight="1" x14ac:dyDescent="0.25">
      <c r="B1" s="44" t="s">
        <v>188</v>
      </c>
      <c r="D1" s="2"/>
      <c r="G1" s="379"/>
      <c r="M1" s="195" t="s">
        <v>192</v>
      </c>
    </row>
    <row r="2" spans="1:15" ht="30" x14ac:dyDescent="0.25">
      <c r="A2" s="11" t="s">
        <v>0</v>
      </c>
      <c r="B2" s="11" t="s">
        <v>10</v>
      </c>
      <c r="C2" s="33" t="s">
        <v>11</v>
      </c>
      <c r="D2" s="11" t="s">
        <v>9</v>
      </c>
      <c r="E2" s="33" t="s">
        <v>3</v>
      </c>
      <c r="F2" s="28" t="s">
        <v>29</v>
      </c>
      <c r="G2" s="377" t="s">
        <v>27</v>
      </c>
      <c r="H2" s="28" t="s">
        <v>28</v>
      </c>
      <c r="I2" s="66" t="s">
        <v>25</v>
      </c>
      <c r="J2" s="66" t="s">
        <v>26</v>
      </c>
      <c r="K2" s="163" t="s">
        <v>151</v>
      </c>
      <c r="L2" s="377" t="s">
        <v>153</v>
      </c>
      <c r="M2" s="163" t="s">
        <v>152</v>
      </c>
      <c r="N2" s="150" t="s">
        <v>187</v>
      </c>
      <c r="O2" s="162" t="s">
        <v>156</v>
      </c>
    </row>
    <row r="3" spans="1:15" x14ac:dyDescent="0.25">
      <c r="A3" s="11">
        <v>20</v>
      </c>
      <c r="B3" s="11">
        <v>8</v>
      </c>
      <c r="C3" s="34">
        <v>100000</v>
      </c>
      <c r="D3" s="7">
        <v>-1</v>
      </c>
      <c r="E3" s="34">
        <v>1000000</v>
      </c>
      <c r="F3" s="28">
        <v>1</v>
      </c>
      <c r="G3" s="377">
        <v>0</v>
      </c>
      <c r="H3" s="28">
        <v>0</v>
      </c>
      <c r="I3" s="66" t="s">
        <v>12</v>
      </c>
      <c r="J3" s="66" t="s">
        <v>12</v>
      </c>
      <c r="K3" s="160">
        <f t="shared" ref="K3" si="0">G3-H3</f>
        <v>0</v>
      </c>
      <c r="L3" s="374" t="e">
        <f t="shared" ref="L3" si="1">(1-EXP(-2*D3))/(1-EXP(-4*C3*D3))</f>
        <v>#NUM!</v>
      </c>
      <c r="M3" s="53">
        <f t="shared" ref="M3" si="2">G3+H3</f>
        <v>0</v>
      </c>
      <c r="N3" s="58" t="e">
        <f t="shared" ref="N3" si="3">L3/G3</f>
        <v>#NUM!</v>
      </c>
      <c r="O3" s="121" t="e">
        <f t="shared" ref="O3" si="4">AND(L3&gt;=K3,L3&lt;=M3)</f>
        <v>#NUM!</v>
      </c>
    </row>
    <row r="4" spans="1:15" x14ac:dyDescent="0.25">
      <c r="A4" s="19">
        <v>20</v>
      </c>
      <c r="B4" s="19">
        <v>1</v>
      </c>
      <c r="C4" s="34">
        <v>100000</v>
      </c>
      <c r="D4" s="348">
        <v>-0.1</v>
      </c>
      <c r="E4" s="34">
        <v>1000000</v>
      </c>
      <c r="F4" s="353">
        <v>1</v>
      </c>
      <c r="G4" s="359">
        <v>0</v>
      </c>
      <c r="H4" s="353">
        <v>0</v>
      </c>
      <c r="I4" s="356" t="s">
        <v>12</v>
      </c>
      <c r="J4" s="356" t="s">
        <v>12</v>
      </c>
      <c r="K4" s="160">
        <f>G4-H4</f>
        <v>0</v>
      </c>
      <c r="L4" s="374" t="e">
        <f t="shared" ref="L4" si="5">(1-EXP(-2*D4))/(1-EXP(-4*C4*D4))</f>
        <v>#NUM!</v>
      </c>
      <c r="M4" s="53">
        <f>G4+H4</f>
        <v>0</v>
      </c>
      <c r="N4" s="58" t="e">
        <f>L4/G4</f>
        <v>#NUM!</v>
      </c>
      <c r="O4" s="121" t="e">
        <f>AND(L4&gt;=K4,L4&lt;=M4)</f>
        <v>#NUM!</v>
      </c>
    </row>
    <row r="5" spans="1:15" x14ac:dyDescent="0.25">
      <c r="A5" s="19">
        <v>20</v>
      </c>
      <c r="B5" s="19">
        <v>2</v>
      </c>
      <c r="C5" s="34">
        <v>100000</v>
      </c>
      <c r="D5" s="361">
        <v>-0.01</v>
      </c>
      <c r="E5" s="34">
        <v>1000000</v>
      </c>
      <c r="F5" s="353">
        <v>1</v>
      </c>
      <c r="G5" s="359">
        <v>0</v>
      </c>
      <c r="H5" s="353">
        <v>0</v>
      </c>
      <c r="I5" s="356" t="s">
        <v>12</v>
      </c>
      <c r="J5" s="356" t="s">
        <v>12</v>
      </c>
      <c r="K5" s="160">
        <f t="shared" ref="K5:K12" si="6">G5-H5</f>
        <v>0</v>
      </c>
      <c r="L5" s="374" t="e">
        <f t="shared" ref="L5:L12" si="7">(1-EXP(-2*D5))/(1-EXP(-4*C5*D5))</f>
        <v>#NUM!</v>
      </c>
      <c r="M5" s="53">
        <f t="shared" ref="M5:M12" si="8">G5+H5</f>
        <v>0</v>
      </c>
      <c r="N5" s="58" t="e">
        <f t="shared" ref="N5:N12" si="9">L5/G5</f>
        <v>#NUM!</v>
      </c>
      <c r="O5" s="362" t="e">
        <f t="shared" ref="O5:O12" si="10">AND(L5&gt;=K5,L5&lt;=M5)</f>
        <v>#NUM!</v>
      </c>
    </row>
    <row r="6" spans="1:15" x14ac:dyDescent="0.25">
      <c r="A6" s="19">
        <v>20</v>
      </c>
      <c r="B6" s="19">
        <v>3</v>
      </c>
      <c r="C6" s="34">
        <v>100000</v>
      </c>
      <c r="D6" s="348">
        <v>-1E-3</v>
      </c>
      <c r="E6" s="34">
        <v>1000000</v>
      </c>
      <c r="F6" s="353">
        <v>1</v>
      </c>
      <c r="G6" s="359">
        <v>0</v>
      </c>
      <c r="H6" s="353">
        <v>0</v>
      </c>
      <c r="I6" s="356" t="s">
        <v>12</v>
      </c>
      <c r="J6" s="356" t="s">
        <v>12</v>
      </c>
      <c r="K6" s="160">
        <f t="shared" si="6"/>
        <v>0</v>
      </c>
      <c r="L6" s="374">
        <f t="shared" si="7"/>
        <v>3.8341720874582615E-177</v>
      </c>
      <c r="M6" s="53">
        <f t="shared" si="8"/>
        <v>0</v>
      </c>
      <c r="N6" s="58" t="e">
        <f t="shared" si="9"/>
        <v>#DIV/0!</v>
      </c>
      <c r="O6" s="121" t="b">
        <f t="shared" si="10"/>
        <v>0</v>
      </c>
    </row>
    <row r="7" spans="1:15" x14ac:dyDescent="0.25">
      <c r="A7" s="19">
        <v>20</v>
      </c>
      <c r="B7" s="19">
        <v>4</v>
      </c>
      <c r="C7" s="34">
        <v>100000</v>
      </c>
      <c r="D7" s="348">
        <v>-1E-4</v>
      </c>
      <c r="E7" s="34">
        <v>1000000</v>
      </c>
      <c r="F7" s="353">
        <v>1</v>
      </c>
      <c r="G7" s="359">
        <v>0</v>
      </c>
      <c r="H7" s="353">
        <v>0</v>
      </c>
      <c r="I7" s="356" t="s">
        <v>12</v>
      </c>
      <c r="J7" s="356" t="s">
        <v>12</v>
      </c>
      <c r="K7" s="160">
        <f t="shared" si="6"/>
        <v>0</v>
      </c>
      <c r="L7" s="374">
        <f t="shared" si="7"/>
        <v>8.4975582380841833E-22</v>
      </c>
      <c r="M7" s="53">
        <f t="shared" si="8"/>
        <v>0</v>
      </c>
      <c r="N7" s="58" t="e">
        <f t="shared" si="9"/>
        <v>#DIV/0!</v>
      </c>
      <c r="O7" s="121" t="b">
        <f t="shared" si="10"/>
        <v>0</v>
      </c>
    </row>
    <row r="8" spans="1:15" ht="15.75" x14ac:dyDescent="0.25">
      <c r="A8" s="19">
        <v>20</v>
      </c>
      <c r="B8" s="19">
        <v>5</v>
      </c>
      <c r="C8" s="34">
        <v>100000</v>
      </c>
      <c r="D8" s="357">
        <v>-1.0000000000000001E-5</v>
      </c>
      <c r="E8" s="34">
        <v>1000000</v>
      </c>
      <c r="F8" s="353">
        <v>0.99999990000000005</v>
      </c>
      <c r="G8" s="359">
        <v>9.9999999999999995E-8</v>
      </c>
      <c r="H8" s="353">
        <v>9.9999999999999995E-8</v>
      </c>
      <c r="I8" s="356" t="s">
        <v>12</v>
      </c>
      <c r="J8" s="356" t="s">
        <v>12</v>
      </c>
      <c r="K8" s="366">
        <f t="shared" si="6"/>
        <v>0</v>
      </c>
      <c r="L8" s="374">
        <f t="shared" si="7"/>
        <v>3.7315093877102089E-7</v>
      </c>
      <c r="M8" s="375">
        <f t="shared" si="8"/>
        <v>1.9999999999999999E-7</v>
      </c>
      <c r="N8" s="58">
        <f t="shared" si="9"/>
        <v>3.7315093877102092</v>
      </c>
      <c r="O8" s="121" t="b">
        <f t="shared" si="10"/>
        <v>0</v>
      </c>
    </row>
    <row r="9" spans="1:15" ht="15.75" x14ac:dyDescent="0.25">
      <c r="A9" s="19">
        <v>20</v>
      </c>
      <c r="B9" s="19">
        <v>6</v>
      </c>
      <c r="C9" s="34">
        <v>100000</v>
      </c>
      <c r="D9" s="349">
        <v>-9.9999999999999995E-7</v>
      </c>
      <c r="E9" s="34">
        <v>1000000</v>
      </c>
      <c r="F9" s="353">
        <v>0.999996</v>
      </c>
      <c r="G9" s="358">
        <v>3.9999999999999998E-6</v>
      </c>
      <c r="H9" s="353">
        <v>1.8914E-6</v>
      </c>
      <c r="I9" s="360" t="s">
        <v>12</v>
      </c>
      <c r="J9" s="356" t="s">
        <v>12</v>
      </c>
      <c r="K9" s="160">
        <f t="shared" si="6"/>
        <v>2.1085999999999996E-6</v>
      </c>
      <c r="L9" s="374">
        <f t="shared" si="7"/>
        <v>4.0664936299560127E-6</v>
      </c>
      <c r="M9" s="53">
        <f t="shared" si="8"/>
        <v>5.8914E-6</v>
      </c>
      <c r="N9" s="58">
        <f t="shared" si="9"/>
        <v>1.0166234074890033</v>
      </c>
      <c r="O9" s="121" t="b">
        <f t="shared" si="10"/>
        <v>1</v>
      </c>
    </row>
    <row r="10" spans="1:15" x14ac:dyDescent="0.25">
      <c r="A10" s="19">
        <v>20</v>
      </c>
      <c r="B10" s="19">
        <v>7</v>
      </c>
      <c r="C10" s="34">
        <v>100000</v>
      </c>
      <c r="D10" s="348">
        <v>-9.9999999999999995E-8</v>
      </c>
      <c r="E10" s="34">
        <v>1000000</v>
      </c>
      <c r="F10" s="353">
        <v>0.99999525</v>
      </c>
      <c r="G10" s="359">
        <v>4.7500000000000003E-6</v>
      </c>
      <c r="H10" s="353">
        <v>2.1194E-6</v>
      </c>
      <c r="I10" s="356">
        <v>410992.34</v>
      </c>
      <c r="J10" s="356">
        <v>159082.22</v>
      </c>
      <c r="K10" s="160">
        <f t="shared" si="6"/>
        <v>2.6306000000000003E-6</v>
      </c>
      <c r="L10" s="374">
        <f t="shared" si="7"/>
        <v>4.9006671414258717E-6</v>
      </c>
      <c r="M10" s="53">
        <f t="shared" si="8"/>
        <v>6.8694000000000007E-6</v>
      </c>
      <c r="N10" s="58">
        <f t="shared" si="9"/>
        <v>1.0317193981949202</v>
      </c>
      <c r="O10" s="121" t="b">
        <f t="shared" si="10"/>
        <v>1</v>
      </c>
    </row>
    <row r="11" spans="1:15" x14ac:dyDescent="0.25">
      <c r="A11" s="19">
        <v>20</v>
      </c>
      <c r="B11" s="19">
        <v>8</v>
      </c>
      <c r="C11" s="34">
        <v>100000</v>
      </c>
      <c r="D11" s="348">
        <v>-1E-8</v>
      </c>
      <c r="E11" s="34">
        <v>1000000</v>
      </c>
      <c r="F11" s="353">
        <v>0.99999594999999997</v>
      </c>
      <c r="G11" s="359">
        <v>4.0500000000000002E-6</v>
      </c>
      <c r="H11" s="353">
        <v>1.9369E-6</v>
      </c>
      <c r="I11" s="356">
        <v>415473.47</v>
      </c>
      <c r="J11" s="356">
        <v>145762.17000000001</v>
      </c>
      <c r="K11" s="160">
        <f t="shared" si="6"/>
        <v>2.1131000000000001E-6</v>
      </c>
      <c r="L11" s="374">
        <f t="shared" si="7"/>
        <v>4.9900066917384233E-6</v>
      </c>
      <c r="M11" s="53">
        <f t="shared" si="8"/>
        <v>5.9869000000000002E-6</v>
      </c>
      <c r="N11" s="58">
        <f t="shared" si="9"/>
        <v>1.2321004177131909</v>
      </c>
      <c r="O11" s="121" t="b">
        <f t="shared" si="10"/>
        <v>1</v>
      </c>
    </row>
    <row r="12" spans="1:15" ht="15.75" x14ac:dyDescent="0.25">
      <c r="A12" s="19">
        <v>20</v>
      </c>
      <c r="B12" s="19">
        <v>9</v>
      </c>
      <c r="C12" s="34">
        <v>100000</v>
      </c>
      <c r="D12" s="351">
        <v>0</v>
      </c>
      <c r="E12" s="34">
        <v>1000000</v>
      </c>
      <c r="F12" s="353">
        <v>0.99999479999999996</v>
      </c>
      <c r="G12" s="358">
        <v>5.2000000000000002E-6</v>
      </c>
      <c r="H12" s="353">
        <v>2.1973000000000001E-6</v>
      </c>
      <c r="I12" s="356">
        <v>417880.06</v>
      </c>
      <c r="J12" s="356">
        <v>176248.82</v>
      </c>
      <c r="K12" s="160">
        <f t="shared" si="6"/>
        <v>3.0027000000000001E-6</v>
      </c>
      <c r="L12" s="374" t="e">
        <f t="shared" si="7"/>
        <v>#DIV/0!</v>
      </c>
      <c r="M12" s="53">
        <f t="shared" si="8"/>
        <v>7.3973000000000003E-6</v>
      </c>
      <c r="N12" s="58" t="e">
        <f t="shared" si="9"/>
        <v>#DIV/0!</v>
      </c>
      <c r="O12" s="121" t="e">
        <f t="shared" si="10"/>
        <v>#DIV/0!</v>
      </c>
    </row>
    <row r="13" spans="1:15" x14ac:dyDescent="0.25">
      <c r="F13" s="69" t="s">
        <v>60</v>
      </c>
      <c r="G13" s="46">
        <v>5.0000000000000004E-6</v>
      </c>
      <c r="I13" s="65">
        <v>400000</v>
      </c>
    </row>
    <row r="15" spans="1:15" x14ac:dyDescent="0.25">
      <c r="A15" s="2">
        <v>20</v>
      </c>
      <c r="B15" s="2">
        <v>1</v>
      </c>
      <c r="C15" s="9">
        <v>100000</v>
      </c>
      <c r="D15" s="63">
        <v>-5.0000000000000002E-5</v>
      </c>
      <c r="E15" s="9">
        <v>10000000</v>
      </c>
      <c r="F15" s="69">
        <v>1</v>
      </c>
      <c r="G15" s="46">
        <v>0</v>
      </c>
      <c r="H15" s="69">
        <v>0</v>
      </c>
      <c r="I15" s="65" t="s">
        <v>12</v>
      </c>
      <c r="J15" s="65" t="s">
        <v>12</v>
      </c>
    </row>
    <row r="155" spans="4:4" x14ac:dyDescent="0.25">
      <c r="D155" s="63"/>
    </row>
    <row r="156" spans="4:4" x14ac:dyDescent="0.25">
      <c r="D156" s="63"/>
    </row>
    <row r="157" spans="4:4" x14ac:dyDescent="0.25">
      <c r="D157" s="63"/>
    </row>
    <row r="158" spans="4:4" x14ac:dyDescent="0.25">
      <c r="D158" s="63"/>
    </row>
    <row r="159" spans="4:4" x14ac:dyDescent="0.25">
      <c r="D159" s="63"/>
    </row>
    <row r="160" spans="4:4" x14ac:dyDescent="0.25">
      <c r="D160" s="63"/>
    </row>
    <row r="161" spans="4:4" x14ac:dyDescent="0.25">
      <c r="D161" s="63"/>
    </row>
    <row r="162" spans="4:4" x14ac:dyDescent="0.25">
      <c r="D162" s="63"/>
    </row>
    <row r="163" spans="4:4" x14ac:dyDescent="0.25">
      <c r="D163" s="63"/>
    </row>
    <row r="164" spans="4:4" x14ac:dyDescent="0.25">
      <c r="D164" s="63"/>
    </row>
    <row r="165" spans="4:4" x14ac:dyDescent="0.25">
      <c r="D165" s="63"/>
    </row>
    <row r="166" spans="4:4" x14ac:dyDescent="0.25">
      <c r="D166" s="63"/>
    </row>
    <row r="167" spans="4:4" x14ac:dyDescent="0.25">
      <c r="D167" s="63"/>
    </row>
    <row r="168" spans="4:4" x14ac:dyDescent="0.25">
      <c r="D168" s="63"/>
    </row>
    <row r="169" spans="4:4" x14ac:dyDescent="0.25">
      <c r="D169" s="63"/>
    </row>
    <row r="170" spans="4:4" x14ac:dyDescent="0.25">
      <c r="D170" s="63"/>
    </row>
    <row r="171" spans="4:4" x14ac:dyDescent="0.25">
      <c r="D171" s="63"/>
    </row>
    <row r="172" spans="4:4" x14ac:dyDescent="0.25">
      <c r="D172" s="63"/>
    </row>
    <row r="173" spans="4:4" x14ac:dyDescent="0.25">
      <c r="D173" s="63"/>
    </row>
    <row r="174" spans="4:4" x14ac:dyDescent="0.25">
      <c r="D174" s="63"/>
    </row>
    <row r="175" spans="4:4" x14ac:dyDescent="0.25">
      <c r="D175" s="63"/>
    </row>
    <row r="176" spans="4:4" x14ac:dyDescent="0.25">
      <c r="D176" s="63"/>
    </row>
    <row r="177" spans="4:4" x14ac:dyDescent="0.25">
      <c r="D177" s="63"/>
    </row>
    <row r="178" spans="4:4" x14ac:dyDescent="0.25">
      <c r="D178" s="63"/>
    </row>
    <row r="179" spans="4:4" x14ac:dyDescent="0.25">
      <c r="D179" s="63"/>
    </row>
    <row r="180" spans="4:4" x14ac:dyDescent="0.25">
      <c r="D180" s="63"/>
    </row>
    <row r="181" spans="4:4" x14ac:dyDescent="0.25">
      <c r="D181" s="63"/>
    </row>
    <row r="182" spans="4:4" x14ac:dyDescent="0.25">
      <c r="D182" s="63"/>
    </row>
    <row r="183" spans="4:4" x14ac:dyDescent="0.25">
      <c r="D183" s="63"/>
    </row>
    <row r="184" spans="4:4" x14ac:dyDescent="0.25">
      <c r="D184" s="63"/>
    </row>
    <row r="185" spans="4:4" x14ac:dyDescent="0.25">
      <c r="D185" s="63"/>
    </row>
    <row r="186" spans="4:4" x14ac:dyDescent="0.25">
      <c r="D186" s="63"/>
    </row>
    <row r="187" spans="4:4" x14ac:dyDescent="0.25">
      <c r="D187" s="63"/>
    </row>
    <row r="188" spans="4:4" x14ac:dyDescent="0.25">
      <c r="D188" s="63"/>
    </row>
    <row r="189" spans="4:4" x14ac:dyDescent="0.25">
      <c r="D189" s="63"/>
    </row>
    <row r="190" spans="4:4" x14ac:dyDescent="0.25">
      <c r="D190" s="63"/>
    </row>
    <row r="191" spans="4:4" x14ac:dyDescent="0.25">
      <c r="D191" s="63"/>
    </row>
    <row r="192" spans="4:4" x14ac:dyDescent="0.25">
      <c r="D192" s="63"/>
    </row>
    <row r="193" spans="4:4" x14ac:dyDescent="0.25">
      <c r="D193" s="63"/>
    </row>
    <row r="194" spans="4:4" x14ac:dyDescent="0.25">
      <c r="D194" s="63"/>
    </row>
    <row r="375" spans="4:4" x14ac:dyDescent="0.25">
      <c r="D375" s="63"/>
    </row>
    <row r="376" spans="4:4" x14ac:dyDescent="0.25">
      <c r="D376" s="63"/>
    </row>
    <row r="377" spans="4:4" x14ac:dyDescent="0.25">
      <c r="D377" s="63"/>
    </row>
    <row r="378" spans="4:4" x14ac:dyDescent="0.25">
      <c r="D378" s="63"/>
    </row>
    <row r="379" spans="4:4" x14ac:dyDescent="0.25">
      <c r="D379" s="63"/>
    </row>
    <row r="380" spans="4:4" x14ac:dyDescent="0.25">
      <c r="D380" s="63"/>
    </row>
    <row r="381" spans="4:4" x14ac:dyDescent="0.25">
      <c r="D381" s="63"/>
    </row>
    <row r="382" spans="4:4" x14ac:dyDescent="0.25">
      <c r="D382" s="63"/>
    </row>
    <row r="383" spans="4:4" x14ac:dyDescent="0.25">
      <c r="D383" s="63"/>
    </row>
    <row r="384" spans="4:4" x14ac:dyDescent="0.25">
      <c r="D384" s="63"/>
    </row>
    <row r="385" spans="4:4" x14ac:dyDescent="0.25">
      <c r="D385" s="63"/>
    </row>
    <row r="386" spans="4:4" x14ac:dyDescent="0.25">
      <c r="D386" s="63"/>
    </row>
    <row r="387" spans="4:4" x14ac:dyDescent="0.25">
      <c r="D387" s="63"/>
    </row>
    <row r="388" spans="4:4" x14ac:dyDescent="0.25">
      <c r="D388" s="63"/>
    </row>
    <row r="389" spans="4:4" x14ac:dyDescent="0.25">
      <c r="D389" s="63"/>
    </row>
    <row r="390" spans="4:4" x14ac:dyDescent="0.25">
      <c r="D390" s="63"/>
    </row>
    <row r="391" spans="4:4" x14ac:dyDescent="0.25">
      <c r="D391" s="63"/>
    </row>
    <row r="392" spans="4:4" x14ac:dyDescent="0.25">
      <c r="D392" s="63"/>
    </row>
    <row r="393" spans="4:4" x14ac:dyDescent="0.25">
      <c r="D393" s="63"/>
    </row>
    <row r="394" spans="4:4" x14ac:dyDescent="0.25">
      <c r="D394" s="63"/>
    </row>
    <row r="395" spans="4:4" x14ac:dyDescent="0.25">
      <c r="D395" s="63"/>
    </row>
    <row r="396" spans="4:4" x14ac:dyDescent="0.25">
      <c r="D396" s="63"/>
    </row>
    <row r="397" spans="4:4" x14ac:dyDescent="0.25">
      <c r="D397" s="63"/>
    </row>
    <row r="398" spans="4:4" x14ac:dyDescent="0.25">
      <c r="D398" s="63"/>
    </row>
    <row r="399" spans="4:4" x14ac:dyDescent="0.25">
      <c r="D399" s="63"/>
    </row>
    <row r="400" spans="4:4" x14ac:dyDescent="0.25">
      <c r="D400" s="63"/>
    </row>
    <row r="401" spans="4:4" x14ac:dyDescent="0.25">
      <c r="D401" s="63"/>
    </row>
    <row r="402" spans="4:4" x14ac:dyDescent="0.25">
      <c r="D402" s="63"/>
    </row>
    <row r="403" spans="4:4" x14ac:dyDescent="0.25">
      <c r="D403" s="63"/>
    </row>
    <row r="404" spans="4:4" x14ac:dyDescent="0.25">
      <c r="D404" s="63"/>
    </row>
    <row r="405" spans="4:4" x14ac:dyDescent="0.25">
      <c r="D405" s="63"/>
    </row>
    <row r="406" spans="4:4" x14ac:dyDescent="0.25">
      <c r="D406" s="63"/>
    </row>
    <row r="407" spans="4:4" x14ac:dyDescent="0.25">
      <c r="D407" s="63"/>
    </row>
    <row r="408" spans="4:4" x14ac:dyDescent="0.25">
      <c r="D408" s="63"/>
    </row>
    <row r="409" spans="4:4" x14ac:dyDescent="0.25">
      <c r="D409" s="63"/>
    </row>
    <row r="410" spans="4:4" x14ac:dyDescent="0.25">
      <c r="D410" s="63"/>
    </row>
    <row r="411" spans="4:4" x14ac:dyDescent="0.25">
      <c r="D411" s="63"/>
    </row>
    <row r="412" spans="4:4" x14ac:dyDescent="0.25">
      <c r="D412" s="63"/>
    </row>
    <row r="413" spans="4:4" x14ac:dyDescent="0.25">
      <c r="D413" s="63"/>
    </row>
    <row r="414" spans="4:4" x14ac:dyDescent="0.25">
      <c r="D414" s="63"/>
    </row>
    <row r="595" spans="4:4" x14ac:dyDescent="0.25">
      <c r="D595" s="63"/>
    </row>
    <row r="596" spans="4:4" x14ac:dyDescent="0.25">
      <c r="D596" s="63"/>
    </row>
    <row r="597" spans="4:4" x14ac:dyDescent="0.25">
      <c r="D597" s="63"/>
    </row>
    <row r="598" spans="4:4" x14ac:dyDescent="0.25">
      <c r="D598" s="63"/>
    </row>
    <row r="599" spans="4:4" x14ac:dyDescent="0.25">
      <c r="D599" s="63"/>
    </row>
    <row r="600" spans="4:4" x14ac:dyDescent="0.25">
      <c r="D600" s="63"/>
    </row>
    <row r="601" spans="4:4" x14ac:dyDescent="0.25">
      <c r="D601" s="63"/>
    </row>
    <row r="602" spans="4:4" x14ac:dyDescent="0.25">
      <c r="D602" s="63"/>
    </row>
    <row r="603" spans="4:4" x14ac:dyDescent="0.25">
      <c r="D603" s="63"/>
    </row>
    <row r="604" spans="4:4" x14ac:dyDescent="0.25">
      <c r="D604" s="63"/>
    </row>
    <row r="605" spans="4:4" x14ac:dyDescent="0.25">
      <c r="D605" s="63"/>
    </row>
    <row r="606" spans="4:4" x14ac:dyDescent="0.25">
      <c r="D606" s="63"/>
    </row>
    <row r="607" spans="4:4" x14ac:dyDescent="0.25">
      <c r="D607" s="63"/>
    </row>
    <row r="608" spans="4:4" x14ac:dyDescent="0.25">
      <c r="D608" s="63"/>
    </row>
    <row r="609" spans="4:4" x14ac:dyDescent="0.25">
      <c r="D609" s="63"/>
    </row>
    <row r="610" spans="4:4" x14ac:dyDescent="0.25">
      <c r="D610" s="63"/>
    </row>
    <row r="611" spans="4:4" x14ac:dyDescent="0.25">
      <c r="D611" s="63"/>
    </row>
    <row r="612" spans="4:4" x14ac:dyDescent="0.25">
      <c r="D612" s="63"/>
    </row>
    <row r="613" spans="4:4" x14ac:dyDescent="0.25">
      <c r="D613" s="63"/>
    </row>
    <row r="614" spans="4:4" x14ac:dyDescent="0.25">
      <c r="D614" s="63"/>
    </row>
    <row r="615" spans="4:4" x14ac:dyDescent="0.25">
      <c r="D615" s="63"/>
    </row>
    <row r="616" spans="4:4" x14ac:dyDescent="0.25">
      <c r="D616" s="63"/>
    </row>
    <row r="617" spans="4:4" x14ac:dyDescent="0.25">
      <c r="D617" s="63"/>
    </row>
    <row r="618" spans="4:4" x14ac:dyDescent="0.25">
      <c r="D618" s="63"/>
    </row>
    <row r="619" spans="4:4" x14ac:dyDescent="0.25">
      <c r="D619" s="63"/>
    </row>
    <row r="620" spans="4:4" x14ac:dyDescent="0.25">
      <c r="D620" s="63"/>
    </row>
    <row r="621" spans="4:4" x14ac:dyDescent="0.25">
      <c r="D621" s="63"/>
    </row>
    <row r="622" spans="4:4" x14ac:dyDescent="0.25">
      <c r="D622" s="63"/>
    </row>
    <row r="623" spans="4:4" x14ac:dyDescent="0.25">
      <c r="D623" s="63"/>
    </row>
    <row r="624" spans="4:4" x14ac:dyDescent="0.25">
      <c r="D624" s="63"/>
    </row>
    <row r="625" spans="4:4" x14ac:dyDescent="0.25">
      <c r="D625" s="63"/>
    </row>
    <row r="626" spans="4:4" x14ac:dyDescent="0.25">
      <c r="D626" s="63"/>
    </row>
    <row r="627" spans="4:4" x14ac:dyDescent="0.25">
      <c r="D627" s="63"/>
    </row>
    <row r="628" spans="4:4" x14ac:dyDescent="0.25">
      <c r="D628" s="63"/>
    </row>
    <row r="629" spans="4:4" x14ac:dyDescent="0.25">
      <c r="D629" s="63"/>
    </row>
    <row r="630" spans="4:4" x14ac:dyDescent="0.25">
      <c r="D630" s="63"/>
    </row>
    <row r="631" spans="4:4" x14ac:dyDescent="0.25">
      <c r="D631" s="63"/>
    </row>
    <row r="632" spans="4:4" x14ac:dyDescent="0.25">
      <c r="D632" s="63"/>
    </row>
    <row r="633" spans="4:4" x14ac:dyDescent="0.25">
      <c r="D633" s="63"/>
    </row>
    <row r="634" spans="4:4" x14ac:dyDescent="0.25">
      <c r="D634" s="63"/>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1D448-D538-45F2-97B2-ADA6C4314C26}">
  <dimension ref="A1:M28"/>
  <sheetViews>
    <sheetView workbookViewId="0">
      <selection activeCell="Q3" sqref="Q3"/>
    </sheetView>
  </sheetViews>
  <sheetFormatPr defaultColWidth="9.140625" defaultRowHeight="15" x14ac:dyDescent="0.25"/>
  <cols>
    <col min="1" max="1" width="7.85546875" style="2" customWidth="1"/>
    <col min="2" max="2" width="11.28515625" style="9" customWidth="1"/>
    <col min="3" max="4" width="9.140625" style="2"/>
    <col min="5" max="5" width="10.5703125" style="18" customWidth="1"/>
    <col min="6" max="6" width="9.140625" style="18"/>
    <col min="7" max="7" width="9.140625" style="17"/>
    <col min="8" max="8" width="9.140625" style="5"/>
    <col min="9" max="9" width="9.140625" style="15"/>
    <col min="10" max="10" width="9.140625" style="13"/>
    <col min="11" max="11" width="14" customWidth="1"/>
    <col min="13" max="13" width="10.140625" style="9" customWidth="1"/>
  </cols>
  <sheetData>
    <row r="1" spans="1:13" x14ac:dyDescent="0.25">
      <c r="A1" t="s">
        <v>14</v>
      </c>
      <c r="K1" t="s">
        <v>15</v>
      </c>
    </row>
    <row r="2" spans="1:13" s="1" customFormat="1" ht="32.25" customHeight="1" x14ac:dyDescent="0.25">
      <c r="A2" s="40" t="s">
        <v>0</v>
      </c>
      <c r="B2" s="33" t="s">
        <v>1</v>
      </c>
      <c r="C2" s="11" t="s">
        <v>2</v>
      </c>
      <c r="D2" s="11" t="s">
        <v>3</v>
      </c>
      <c r="E2" s="22" t="s">
        <v>4</v>
      </c>
      <c r="F2" s="22" t="s">
        <v>5</v>
      </c>
      <c r="G2" s="20" t="s">
        <v>7</v>
      </c>
      <c r="H2" s="16" t="s">
        <v>6</v>
      </c>
      <c r="I2" s="25" t="s">
        <v>8</v>
      </c>
      <c r="J2" s="26" t="s">
        <v>13</v>
      </c>
      <c r="K2" s="40" t="s">
        <v>20</v>
      </c>
      <c r="M2" s="33" t="s">
        <v>21</v>
      </c>
    </row>
    <row r="3" spans="1:13" x14ac:dyDescent="0.25">
      <c r="A3" s="35">
        <v>1</v>
      </c>
      <c r="B3" s="34">
        <v>10000</v>
      </c>
      <c r="C3" s="19">
        <v>0.01</v>
      </c>
      <c r="D3" s="19">
        <v>1000000</v>
      </c>
      <c r="E3" s="23">
        <v>0.98020499999999999</v>
      </c>
      <c r="F3" s="23">
        <v>1.9795E-2</v>
      </c>
      <c r="G3" s="21">
        <v>1.3929519999999999E-4</v>
      </c>
      <c r="H3" s="24">
        <v>1343.73</v>
      </c>
      <c r="I3" s="7">
        <v>186.36</v>
      </c>
      <c r="J3" s="27">
        <v>240.94</v>
      </c>
      <c r="K3" s="41">
        <f>$J$3/J3</f>
        <v>1</v>
      </c>
      <c r="M3" s="34">
        <f>A3*D3</f>
        <v>1000000</v>
      </c>
    </row>
    <row r="4" spans="1:13" x14ac:dyDescent="0.25">
      <c r="A4" s="35">
        <v>2</v>
      </c>
      <c r="B4" s="34">
        <v>10000</v>
      </c>
      <c r="C4" s="19">
        <v>0.01</v>
      </c>
      <c r="D4" s="19">
        <v>500000</v>
      </c>
      <c r="E4" s="23">
        <v>0.97999899999999995</v>
      </c>
      <c r="F4" s="23">
        <v>2.0001000000000001E-2</v>
      </c>
      <c r="G4" s="21">
        <v>1.979924E-4</v>
      </c>
      <c r="H4" s="24">
        <v>1342.4</v>
      </c>
      <c r="I4" s="7">
        <v>184.29</v>
      </c>
      <c r="J4" s="27">
        <v>122.98</v>
      </c>
      <c r="K4" s="41">
        <f t="shared" ref="K4:K7" si="0">$J$3/J4</f>
        <v>1.9591803545291917</v>
      </c>
      <c r="M4" s="34">
        <f t="shared" ref="M4:M7" si="1">A4*D4</f>
        <v>1000000</v>
      </c>
    </row>
    <row r="5" spans="1:13" x14ac:dyDescent="0.25">
      <c r="A5" s="35">
        <v>5</v>
      </c>
      <c r="B5" s="34">
        <v>10000</v>
      </c>
      <c r="C5" s="19">
        <v>0.01</v>
      </c>
      <c r="D5" s="19">
        <v>200000</v>
      </c>
      <c r="E5" s="23">
        <v>0.98044900000000001</v>
      </c>
      <c r="F5" s="23">
        <v>1.9550999999999999E-2</v>
      </c>
      <c r="G5" s="21">
        <v>3.0956879999999998E-4</v>
      </c>
      <c r="H5" s="24">
        <v>1340.86</v>
      </c>
      <c r="I5" s="7">
        <v>185.06</v>
      </c>
      <c r="J5" s="27">
        <v>51.24</v>
      </c>
      <c r="K5" s="41">
        <f t="shared" si="0"/>
        <v>4.7021857923497263</v>
      </c>
      <c r="M5" s="34">
        <f t="shared" si="1"/>
        <v>1000000</v>
      </c>
    </row>
    <row r="6" spans="1:13" x14ac:dyDescent="0.25">
      <c r="A6" s="35">
        <v>10</v>
      </c>
      <c r="B6" s="34">
        <v>10000</v>
      </c>
      <c r="C6" s="19">
        <v>0.01</v>
      </c>
      <c r="D6" s="19">
        <v>100000</v>
      </c>
      <c r="E6" s="23">
        <v>0.97997999999999996</v>
      </c>
      <c r="F6" s="23">
        <v>2.002E-2</v>
      </c>
      <c r="G6" s="21">
        <v>4.4290680000000002E-4</v>
      </c>
      <c r="H6" s="24">
        <v>1341.69</v>
      </c>
      <c r="I6" s="7">
        <v>185.31</v>
      </c>
      <c r="J6" s="27">
        <v>29.26</v>
      </c>
      <c r="K6" s="41">
        <f t="shared" si="0"/>
        <v>8.2344497607655498</v>
      </c>
      <c r="M6" s="34">
        <f t="shared" si="1"/>
        <v>1000000</v>
      </c>
    </row>
    <row r="7" spans="1:13" x14ac:dyDescent="0.25">
      <c r="A7" s="35">
        <v>20</v>
      </c>
      <c r="B7" s="34">
        <v>10000</v>
      </c>
      <c r="C7" s="19">
        <v>0.01</v>
      </c>
      <c r="D7" s="19">
        <v>50000</v>
      </c>
      <c r="E7" s="23">
        <v>0.98010600000000003</v>
      </c>
      <c r="F7" s="23">
        <v>1.9893999999999998E-2</v>
      </c>
      <c r="G7" s="21">
        <v>6.2442200000000002E-4</v>
      </c>
      <c r="H7" s="24">
        <v>1341.53</v>
      </c>
      <c r="I7" s="7">
        <v>186.12</v>
      </c>
      <c r="J7" s="27">
        <v>18.52</v>
      </c>
      <c r="K7" s="41">
        <f t="shared" si="0"/>
        <v>13.009719222462204</v>
      </c>
      <c r="M7" s="34">
        <f t="shared" si="1"/>
        <v>1000000</v>
      </c>
    </row>
    <row r="9" spans="1:13" x14ac:dyDescent="0.25">
      <c r="K9" t="s">
        <v>16</v>
      </c>
    </row>
    <row r="10" spans="1:13" ht="33.75" customHeight="1" x14ac:dyDescent="0.25">
      <c r="A10" s="40" t="s">
        <v>0</v>
      </c>
      <c r="B10" s="33" t="s">
        <v>1</v>
      </c>
      <c r="C10" s="11" t="s">
        <v>2</v>
      </c>
      <c r="D10" s="11" t="s">
        <v>3</v>
      </c>
      <c r="E10" s="22" t="s">
        <v>4</v>
      </c>
      <c r="F10" s="22" t="s">
        <v>5</v>
      </c>
      <c r="G10" s="20" t="s">
        <v>7</v>
      </c>
      <c r="H10" s="16" t="s">
        <v>6</v>
      </c>
      <c r="I10" s="25" t="s">
        <v>8</v>
      </c>
      <c r="J10" s="26" t="s">
        <v>13</v>
      </c>
      <c r="K10" s="12" t="s">
        <v>17</v>
      </c>
      <c r="L10" s="14">
        <f>18.52/20</f>
        <v>0.92599999999999993</v>
      </c>
    </row>
    <row r="11" spans="1:13" x14ac:dyDescent="0.25">
      <c r="A11" s="35">
        <v>20</v>
      </c>
      <c r="B11" s="34">
        <v>10000</v>
      </c>
      <c r="C11" s="19">
        <v>0.01</v>
      </c>
      <c r="D11" s="19">
        <v>50000</v>
      </c>
      <c r="E11" s="23">
        <v>0.98010600000000003</v>
      </c>
      <c r="F11" s="23">
        <v>1.9893999999999998E-2</v>
      </c>
      <c r="G11" s="21">
        <v>6.2442200000000002E-4</v>
      </c>
      <c r="H11" s="24">
        <v>1341.53</v>
      </c>
      <c r="I11" s="7">
        <v>186.12</v>
      </c>
      <c r="J11" s="27">
        <v>18.52</v>
      </c>
      <c r="K11" s="7">
        <f>A11*$L$10</f>
        <v>18.52</v>
      </c>
    </row>
    <row r="12" spans="1:13" x14ac:dyDescent="0.25">
      <c r="A12" s="35">
        <v>40</v>
      </c>
      <c r="B12" s="34">
        <v>10000</v>
      </c>
      <c r="C12" s="19">
        <v>0.01</v>
      </c>
      <c r="D12" s="19">
        <v>50000</v>
      </c>
      <c r="E12" s="23">
        <v>0.98025399999999996</v>
      </c>
      <c r="F12" s="23">
        <v>1.9746E-2</v>
      </c>
      <c r="G12" s="21">
        <v>6.2209389999999998E-4</v>
      </c>
      <c r="H12" s="24">
        <v>1343.1</v>
      </c>
      <c r="I12" s="7">
        <v>186.48</v>
      </c>
      <c r="J12" s="27">
        <v>34.520000000000003</v>
      </c>
      <c r="K12" s="7">
        <f t="shared" ref="K12:K20" si="2">A12*$L$10</f>
        <v>37.04</v>
      </c>
    </row>
    <row r="13" spans="1:13" x14ac:dyDescent="0.25">
      <c r="A13" s="35">
        <v>60</v>
      </c>
      <c r="B13" s="34">
        <v>10000</v>
      </c>
      <c r="C13" s="19">
        <v>0.01</v>
      </c>
      <c r="D13" s="19">
        <v>50000</v>
      </c>
      <c r="E13" s="23">
        <v>0.98019332999999997</v>
      </c>
      <c r="F13" s="23">
        <v>1.9806669999999998E-2</v>
      </c>
      <c r="G13" s="21">
        <v>6.2306120000000002E-4</v>
      </c>
      <c r="H13" s="24">
        <v>1341.17</v>
      </c>
      <c r="I13" s="7">
        <v>184.32</v>
      </c>
      <c r="J13" s="27">
        <v>51.28</v>
      </c>
      <c r="K13" s="7">
        <f t="shared" si="2"/>
        <v>55.559999999999995</v>
      </c>
    </row>
    <row r="14" spans="1:13" x14ac:dyDescent="0.25">
      <c r="A14" s="35">
        <v>80</v>
      </c>
      <c r="B14" s="34">
        <v>10000</v>
      </c>
      <c r="C14" s="19">
        <v>0.01</v>
      </c>
      <c r="D14" s="19">
        <v>50000</v>
      </c>
      <c r="E14" s="23">
        <v>0.98027549999999997</v>
      </c>
      <c r="F14" s="23">
        <v>1.9724499999999999E-2</v>
      </c>
      <c r="G14" s="21">
        <v>6.2178220000000005E-4</v>
      </c>
      <c r="H14" s="24">
        <v>1341.14</v>
      </c>
      <c r="I14" s="7">
        <v>186.08</v>
      </c>
      <c r="J14" s="27">
        <v>68.8</v>
      </c>
      <c r="K14" s="7">
        <f t="shared" si="2"/>
        <v>74.08</v>
      </c>
    </row>
    <row r="15" spans="1:13" x14ac:dyDescent="0.25">
      <c r="A15" s="35">
        <v>100</v>
      </c>
      <c r="B15" s="34">
        <v>10000</v>
      </c>
      <c r="C15" s="19">
        <v>0.01</v>
      </c>
      <c r="D15" s="19">
        <v>50000</v>
      </c>
      <c r="E15" s="23">
        <v>0.98024460000000002</v>
      </c>
      <c r="F15" s="23">
        <v>1.9755399999999999E-2</v>
      </c>
      <c r="G15" s="21">
        <v>6.2226849999999999E-4</v>
      </c>
      <c r="H15" s="24">
        <v>1340.62</v>
      </c>
      <c r="I15" s="7">
        <v>184.5</v>
      </c>
      <c r="J15" s="27">
        <v>88.57</v>
      </c>
      <c r="K15" s="7">
        <f t="shared" si="2"/>
        <v>92.6</v>
      </c>
    </row>
    <row r="16" spans="1:13" x14ac:dyDescent="0.25">
      <c r="A16" s="35">
        <v>120</v>
      </c>
      <c r="B16" s="34">
        <v>10000</v>
      </c>
      <c r="C16" s="19">
        <v>0.01</v>
      </c>
      <c r="D16" s="19">
        <v>50000</v>
      </c>
      <c r="E16" s="23">
        <v>0.98019617000000003</v>
      </c>
      <c r="F16" s="23">
        <v>1.9803830000000001E-2</v>
      </c>
      <c r="G16" s="21">
        <v>6.2301279999999999E-4</v>
      </c>
      <c r="H16" s="24">
        <v>1342.35</v>
      </c>
      <c r="I16" s="7">
        <v>185.29</v>
      </c>
      <c r="J16" s="27">
        <v>103.21</v>
      </c>
      <c r="K16" s="7">
        <f t="shared" si="2"/>
        <v>111.11999999999999</v>
      </c>
    </row>
    <row r="17" spans="1:11" x14ac:dyDescent="0.25">
      <c r="A17" s="35">
        <v>140</v>
      </c>
      <c r="B17" s="34">
        <v>10000</v>
      </c>
      <c r="C17" s="19">
        <v>0.01</v>
      </c>
      <c r="D17" s="19">
        <v>50000</v>
      </c>
      <c r="E17" s="23">
        <v>0.98022429</v>
      </c>
      <c r="F17" s="23">
        <v>1.9775709999999998E-2</v>
      </c>
      <c r="G17" s="21">
        <v>6.2255959999999995E-4</v>
      </c>
      <c r="H17" s="24">
        <v>1340.28</v>
      </c>
      <c r="I17" s="7">
        <v>185.22</v>
      </c>
      <c r="J17" s="27">
        <v>119.62</v>
      </c>
      <c r="K17" s="7">
        <f t="shared" si="2"/>
        <v>129.63999999999999</v>
      </c>
    </row>
    <row r="18" spans="1:11" x14ac:dyDescent="0.25">
      <c r="A18" s="35">
        <v>160</v>
      </c>
      <c r="B18" s="34">
        <v>10000</v>
      </c>
      <c r="C18" s="19">
        <v>0.01</v>
      </c>
      <c r="D18" s="19">
        <v>50000</v>
      </c>
      <c r="E18" s="23">
        <v>0.98025311999999998</v>
      </c>
      <c r="F18" s="23">
        <v>1.9746880000000001E-2</v>
      </c>
      <c r="G18" s="21">
        <v>6.2212159999999999E-4</v>
      </c>
      <c r="H18" s="24">
        <v>1341.12</v>
      </c>
      <c r="I18" s="7">
        <v>184.98</v>
      </c>
      <c r="J18" s="27">
        <v>131.06</v>
      </c>
      <c r="K18" s="7">
        <f t="shared" si="2"/>
        <v>148.16</v>
      </c>
    </row>
    <row r="19" spans="1:11" x14ac:dyDescent="0.25">
      <c r="A19" s="35">
        <v>180</v>
      </c>
      <c r="B19" s="34">
        <v>10000</v>
      </c>
      <c r="C19" s="19">
        <v>0.01</v>
      </c>
      <c r="D19" s="19">
        <v>50000</v>
      </c>
      <c r="E19" s="23">
        <v>0.98025410999999996</v>
      </c>
      <c r="F19" s="23">
        <v>1.9745889999999999E-2</v>
      </c>
      <c r="G19" s="21">
        <v>6.221051E-4</v>
      </c>
      <c r="H19" s="24">
        <v>1341.9</v>
      </c>
      <c r="I19" s="7">
        <v>185.44</v>
      </c>
      <c r="J19" s="27">
        <v>155.83000000000001</v>
      </c>
      <c r="K19" s="7">
        <f t="shared" si="2"/>
        <v>166.67999999999998</v>
      </c>
    </row>
    <row r="20" spans="1:11" x14ac:dyDescent="0.25">
      <c r="A20" s="35">
        <v>200</v>
      </c>
      <c r="B20" s="34">
        <v>10000</v>
      </c>
      <c r="C20" s="19">
        <v>0.01</v>
      </c>
      <c r="D20" s="19">
        <v>50000</v>
      </c>
      <c r="E20" s="23">
        <v>0.98027120000000001</v>
      </c>
      <c r="F20" s="23">
        <v>1.9728800000000001E-2</v>
      </c>
      <c r="G20" s="21">
        <v>6.2184890000000002E-4</v>
      </c>
      <c r="H20" s="24">
        <v>1340.86</v>
      </c>
      <c r="I20" s="7">
        <v>185.24</v>
      </c>
      <c r="J20" s="27">
        <v>173.88</v>
      </c>
      <c r="K20" s="7">
        <f t="shared" si="2"/>
        <v>185.2</v>
      </c>
    </row>
    <row r="22" spans="1:11" x14ac:dyDescent="0.25">
      <c r="A22" s="8" t="s">
        <v>18</v>
      </c>
    </row>
    <row r="23" spans="1:11" x14ac:dyDescent="0.25">
      <c r="A23" s="8" t="s">
        <v>19</v>
      </c>
    </row>
    <row r="24" spans="1:11" x14ac:dyDescent="0.25">
      <c r="A24" s="8" t="s">
        <v>22</v>
      </c>
    </row>
    <row r="25" spans="1:11" x14ac:dyDescent="0.25">
      <c r="A25" s="8" t="s">
        <v>23</v>
      </c>
    </row>
    <row r="26" spans="1:11" x14ac:dyDescent="0.25">
      <c r="A26" s="8" t="s">
        <v>24</v>
      </c>
    </row>
    <row r="27" spans="1:11" x14ac:dyDescent="0.25">
      <c r="A27" s="8"/>
    </row>
    <row r="28" spans="1:11" x14ac:dyDescent="0.25">
      <c r="A28"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0A72-8E8C-40AD-A0D0-0386C9965347}">
  <dimension ref="A1:O45"/>
  <sheetViews>
    <sheetView showGridLines="0" zoomScale="120" zoomScaleNormal="120" workbookViewId="0">
      <pane ySplit="9" topLeftCell="A25" activePane="bottomLeft" state="frozen"/>
      <selection pane="bottomLeft" activeCell="W2" sqref="W2"/>
    </sheetView>
  </sheetViews>
  <sheetFormatPr defaultColWidth="9.140625" defaultRowHeight="15" x14ac:dyDescent="0.25"/>
  <cols>
    <col min="1" max="1" width="10" style="9" customWidth="1"/>
    <col min="2" max="2" width="11.5703125" style="9" customWidth="1"/>
    <col min="3" max="3" width="4.85546875" style="2" bestFit="1" customWidth="1"/>
    <col min="4" max="4" width="12" style="2" customWidth="1"/>
    <col min="5" max="5" width="33.7109375" bestFit="1" customWidth="1"/>
    <col min="6" max="6" width="7.5703125" style="2" customWidth="1"/>
    <col min="7" max="7" width="10.5703125" customWidth="1"/>
    <col min="9" max="9" width="10.42578125" customWidth="1"/>
    <col min="10" max="10" width="11.42578125" customWidth="1"/>
    <col min="11" max="11" width="12.85546875" customWidth="1"/>
    <col min="13" max="13" width="13.28515625" customWidth="1"/>
    <col min="14" max="14" width="11.140625" customWidth="1"/>
  </cols>
  <sheetData>
    <row r="1" spans="1:15" ht="15.75" x14ac:dyDescent="0.25">
      <c r="A1" s="107" t="s">
        <v>11</v>
      </c>
      <c r="B1" s="107" t="s">
        <v>3</v>
      </c>
      <c r="C1" s="104" t="s">
        <v>0</v>
      </c>
      <c r="D1" s="104" t="s">
        <v>9</v>
      </c>
      <c r="E1" s="104" t="s">
        <v>138</v>
      </c>
      <c r="F1" s="104" t="s">
        <v>50</v>
      </c>
      <c r="G1" s="104" t="s">
        <v>94</v>
      </c>
      <c r="I1" s="463" t="s">
        <v>11</v>
      </c>
      <c r="J1" s="464" t="s">
        <v>3</v>
      </c>
      <c r="K1" s="463" t="s">
        <v>162</v>
      </c>
      <c r="L1" s="463" t="s">
        <v>215</v>
      </c>
      <c r="M1" s="464" t="s">
        <v>216</v>
      </c>
      <c r="N1" s="464" t="s">
        <v>211</v>
      </c>
      <c r="O1" s="465" t="s">
        <v>94</v>
      </c>
    </row>
    <row r="2" spans="1:15" ht="15.75" x14ac:dyDescent="0.25">
      <c r="A2" s="34">
        <v>10</v>
      </c>
      <c r="B2" s="34">
        <v>1000</v>
      </c>
      <c r="C2" s="19">
        <v>20</v>
      </c>
      <c r="D2" s="19" t="s">
        <v>44</v>
      </c>
      <c r="E2" s="105" t="s">
        <v>141</v>
      </c>
      <c r="F2" s="19">
        <v>0.7288</v>
      </c>
      <c r="G2" s="105" t="s">
        <v>139</v>
      </c>
      <c r="I2" s="466">
        <v>10</v>
      </c>
      <c r="J2" s="467">
        <v>10000000</v>
      </c>
      <c r="K2" s="466">
        <v>37</v>
      </c>
      <c r="L2" s="466">
        <f t="shared" ref="L2:L7" si="0">4*I2</f>
        <v>40</v>
      </c>
      <c r="M2" s="466">
        <v>20.9</v>
      </c>
      <c r="N2" s="466">
        <v>21.5</v>
      </c>
      <c r="O2" s="465" t="s">
        <v>139</v>
      </c>
    </row>
    <row r="3" spans="1:15" ht="15.75" x14ac:dyDescent="0.25">
      <c r="A3" s="34">
        <v>10</v>
      </c>
      <c r="B3" s="34">
        <v>1000</v>
      </c>
      <c r="C3" s="19">
        <v>20</v>
      </c>
      <c r="D3" s="19" t="s">
        <v>131</v>
      </c>
      <c r="E3" s="105" t="s">
        <v>140</v>
      </c>
      <c r="F3" s="19">
        <v>0.99160000000000004</v>
      </c>
      <c r="G3" s="105" t="s">
        <v>139</v>
      </c>
      <c r="I3" s="466">
        <v>100</v>
      </c>
      <c r="J3" s="467">
        <v>10000</v>
      </c>
      <c r="K3" s="466">
        <v>396</v>
      </c>
      <c r="L3" s="466">
        <f t="shared" si="0"/>
        <v>400</v>
      </c>
      <c r="M3" s="466">
        <v>210</v>
      </c>
      <c r="N3" s="466">
        <v>215</v>
      </c>
      <c r="O3" s="465" t="s">
        <v>135</v>
      </c>
    </row>
    <row r="4" spans="1:15" ht="15.75" x14ac:dyDescent="0.25">
      <c r="A4" s="34">
        <v>10</v>
      </c>
      <c r="B4" s="34">
        <v>1000</v>
      </c>
      <c r="C4" s="19">
        <v>20</v>
      </c>
      <c r="D4" s="19" t="s">
        <v>132</v>
      </c>
      <c r="E4" s="105" t="s">
        <v>142</v>
      </c>
      <c r="F4" s="19">
        <v>0.99919999999999998</v>
      </c>
      <c r="G4" s="105" t="s">
        <v>139</v>
      </c>
      <c r="I4" s="466">
        <v>1000</v>
      </c>
      <c r="J4" s="467">
        <v>100000</v>
      </c>
      <c r="K4" s="466">
        <v>4017</v>
      </c>
      <c r="L4" s="466">
        <f t="shared" si="0"/>
        <v>4000</v>
      </c>
      <c r="M4" s="466">
        <v>2130</v>
      </c>
      <c r="N4" s="466">
        <v>2150</v>
      </c>
      <c r="O4" s="465" t="s">
        <v>95</v>
      </c>
    </row>
    <row r="5" spans="1:15" ht="15.75" x14ac:dyDescent="0.25">
      <c r="I5" s="466">
        <v>10000</v>
      </c>
      <c r="J5" s="467">
        <v>1000000</v>
      </c>
      <c r="K5" s="466">
        <v>39104</v>
      </c>
      <c r="L5" s="466">
        <f t="shared" si="0"/>
        <v>40000</v>
      </c>
      <c r="M5" s="466">
        <v>20700</v>
      </c>
      <c r="N5" s="466">
        <v>21500</v>
      </c>
      <c r="O5" s="465" t="s">
        <v>109</v>
      </c>
    </row>
    <row r="6" spans="1:15" ht="15.75" x14ac:dyDescent="0.25">
      <c r="A6" s="34">
        <v>100</v>
      </c>
      <c r="B6" s="34">
        <v>10000</v>
      </c>
      <c r="C6" s="19">
        <v>20</v>
      </c>
      <c r="D6" s="19" t="s">
        <v>44</v>
      </c>
      <c r="E6" s="105" t="s">
        <v>133</v>
      </c>
      <c r="F6" s="19">
        <v>0.99150000000000005</v>
      </c>
      <c r="G6" s="105" t="s">
        <v>135</v>
      </c>
      <c r="I6" s="466">
        <v>100000</v>
      </c>
      <c r="J6" s="467">
        <v>10000000</v>
      </c>
      <c r="K6" s="466">
        <v>396827</v>
      </c>
      <c r="L6" s="466">
        <f t="shared" si="0"/>
        <v>400000</v>
      </c>
      <c r="M6" s="466">
        <v>195000</v>
      </c>
      <c r="N6" s="466">
        <v>215000</v>
      </c>
      <c r="O6" s="465" t="s">
        <v>110</v>
      </c>
    </row>
    <row r="7" spans="1:15" ht="15.75" x14ac:dyDescent="0.25">
      <c r="A7" s="34">
        <v>100</v>
      </c>
      <c r="B7" s="34">
        <v>10000</v>
      </c>
      <c r="C7" s="19">
        <v>20</v>
      </c>
      <c r="D7" s="19" t="s">
        <v>131</v>
      </c>
      <c r="E7" s="105" t="s">
        <v>134</v>
      </c>
      <c r="F7" s="19">
        <v>0.99950000000000006</v>
      </c>
      <c r="G7" s="105" t="s">
        <v>135</v>
      </c>
      <c r="I7" s="466">
        <v>1000000</v>
      </c>
      <c r="J7" s="467">
        <v>10000000</v>
      </c>
      <c r="K7" s="466">
        <v>4030862</v>
      </c>
      <c r="L7" s="466">
        <f t="shared" si="0"/>
        <v>4000000</v>
      </c>
      <c r="M7" s="466">
        <v>1880000</v>
      </c>
      <c r="N7" s="466">
        <v>2150000</v>
      </c>
      <c r="O7" s="465" t="s">
        <v>124</v>
      </c>
    </row>
    <row r="8" spans="1:15" x14ac:dyDescent="0.25">
      <c r="A8" s="34">
        <v>100</v>
      </c>
      <c r="B8" s="34">
        <v>10000</v>
      </c>
      <c r="C8" s="19">
        <v>20</v>
      </c>
      <c r="D8" s="19" t="s">
        <v>132</v>
      </c>
      <c r="E8" s="105" t="s">
        <v>136</v>
      </c>
      <c r="F8" s="19">
        <v>1</v>
      </c>
      <c r="G8" s="105" t="s">
        <v>135</v>
      </c>
    </row>
    <row r="10" spans="1:15" x14ac:dyDescent="0.25">
      <c r="A10" s="34">
        <v>1000</v>
      </c>
      <c r="B10" s="34">
        <v>100000</v>
      </c>
      <c r="C10" s="19">
        <v>20</v>
      </c>
      <c r="D10" s="19" t="s">
        <v>44</v>
      </c>
      <c r="E10" s="105" t="s">
        <v>88</v>
      </c>
      <c r="F10" s="19">
        <v>0.99939999999999996</v>
      </c>
      <c r="G10" s="105" t="s">
        <v>95</v>
      </c>
    </row>
    <row r="11" spans="1:15" x14ac:dyDescent="0.25">
      <c r="A11" s="34">
        <v>1000</v>
      </c>
      <c r="B11" s="34">
        <v>100000</v>
      </c>
      <c r="C11" s="19">
        <v>20</v>
      </c>
      <c r="D11" s="19" t="s">
        <v>45</v>
      </c>
      <c r="E11" s="105" t="s">
        <v>89</v>
      </c>
      <c r="F11" s="19">
        <v>0.99919999999999998</v>
      </c>
      <c r="G11" s="105" t="s">
        <v>95</v>
      </c>
    </row>
    <row r="12" spans="1:15" ht="17.25" x14ac:dyDescent="0.25">
      <c r="A12" s="34">
        <v>1000</v>
      </c>
      <c r="B12" s="34">
        <v>100000</v>
      </c>
      <c r="C12" s="19">
        <v>20</v>
      </c>
      <c r="D12" s="19" t="s">
        <v>46</v>
      </c>
      <c r="E12" s="106" t="s">
        <v>90</v>
      </c>
      <c r="F12" s="19">
        <v>0.99980000000000002</v>
      </c>
      <c r="G12" s="105" t="s">
        <v>95</v>
      </c>
    </row>
    <row r="13" spans="1:15" x14ac:dyDescent="0.25">
      <c r="A13" s="34">
        <v>1000</v>
      </c>
      <c r="B13" s="34">
        <f>10000</f>
        <v>10000</v>
      </c>
      <c r="C13" s="19">
        <v>20</v>
      </c>
      <c r="D13" s="19" t="s">
        <v>44</v>
      </c>
      <c r="E13" s="105" t="s">
        <v>85</v>
      </c>
      <c r="F13" s="19">
        <v>0.99929999999999997</v>
      </c>
      <c r="G13" s="105" t="s">
        <v>95</v>
      </c>
    </row>
    <row r="14" spans="1:15" x14ac:dyDescent="0.25">
      <c r="A14" s="34">
        <v>1000</v>
      </c>
      <c r="B14" s="34">
        <f>10000</f>
        <v>10000</v>
      </c>
      <c r="C14" s="19">
        <v>20</v>
      </c>
      <c r="D14" s="19" t="s">
        <v>45</v>
      </c>
      <c r="E14" s="105" t="s">
        <v>86</v>
      </c>
      <c r="F14" s="19">
        <v>0.99909999999999999</v>
      </c>
      <c r="G14" s="105" t="s">
        <v>95</v>
      </c>
    </row>
    <row r="15" spans="1:15" ht="17.25" x14ac:dyDescent="0.25">
      <c r="A15" s="34">
        <v>1000</v>
      </c>
      <c r="B15" s="34">
        <f>10000</f>
        <v>10000</v>
      </c>
      <c r="C15" s="19">
        <v>20</v>
      </c>
      <c r="D15" s="19" t="s">
        <v>46</v>
      </c>
      <c r="E15" s="106" t="s">
        <v>87</v>
      </c>
      <c r="F15" s="19">
        <v>0.99980000000000002</v>
      </c>
      <c r="G15" s="105" t="s">
        <v>95</v>
      </c>
    </row>
    <row r="16" spans="1:15" x14ac:dyDescent="0.25">
      <c r="A16" s="34">
        <v>1000</v>
      </c>
      <c r="B16" s="34">
        <f>1000</f>
        <v>1000</v>
      </c>
      <c r="C16" s="19">
        <v>20</v>
      </c>
      <c r="D16" s="19" t="s">
        <v>44</v>
      </c>
      <c r="E16" s="105" t="s">
        <v>91</v>
      </c>
      <c r="F16" s="19">
        <v>0.99609999999999999</v>
      </c>
      <c r="G16" s="105" t="s">
        <v>95</v>
      </c>
    </row>
    <row r="17" spans="1:7" x14ac:dyDescent="0.25">
      <c r="A17" s="34">
        <v>1000</v>
      </c>
      <c r="B17" s="34">
        <f>1000</f>
        <v>1000</v>
      </c>
      <c r="C17" s="19">
        <v>20</v>
      </c>
      <c r="D17" s="19" t="s">
        <v>45</v>
      </c>
      <c r="E17" s="105" t="s">
        <v>92</v>
      </c>
      <c r="F17" s="19">
        <v>0.99970000000000003</v>
      </c>
      <c r="G17" s="105" t="s">
        <v>95</v>
      </c>
    </row>
    <row r="18" spans="1:7" ht="17.25" x14ac:dyDescent="0.25">
      <c r="A18" s="34">
        <v>1000</v>
      </c>
      <c r="B18" s="34">
        <f>1000</f>
        <v>1000</v>
      </c>
      <c r="C18" s="19">
        <v>20</v>
      </c>
      <c r="D18" s="19" t="s">
        <v>46</v>
      </c>
      <c r="E18" s="106" t="s">
        <v>93</v>
      </c>
      <c r="F18" s="19">
        <v>0.99960000000000004</v>
      </c>
      <c r="G18" s="105" t="s">
        <v>95</v>
      </c>
    </row>
    <row r="20" spans="1:7" x14ac:dyDescent="0.25">
      <c r="A20" s="34">
        <v>10000</v>
      </c>
      <c r="B20" s="34">
        <f>100000</f>
        <v>100000</v>
      </c>
      <c r="C20" s="19">
        <v>20</v>
      </c>
      <c r="D20" s="19" t="s">
        <v>44</v>
      </c>
      <c r="E20" s="105" t="s">
        <v>104</v>
      </c>
      <c r="F20" s="19">
        <v>1</v>
      </c>
      <c r="G20" s="105" t="s">
        <v>109</v>
      </c>
    </row>
    <row r="21" spans="1:7" x14ac:dyDescent="0.25">
      <c r="A21" s="34">
        <v>10000</v>
      </c>
      <c r="B21" s="34">
        <f>100000</f>
        <v>100000</v>
      </c>
      <c r="C21" s="19">
        <v>20</v>
      </c>
      <c r="D21" s="19" t="s">
        <v>45</v>
      </c>
      <c r="E21" s="105" t="s">
        <v>105</v>
      </c>
      <c r="F21" s="19">
        <v>0.99919999999999998</v>
      </c>
      <c r="G21" s="105" t="s">
        <v>109</v>
      </c>
    </row>
    <row r="22" spans="1:7" ht="17.25" x14ac:dyDescent="0.25">
      <c r="A22" s="34">
        <v>10000</v>
      </c>
      <c r="B22" s="34">
        <f>100000</f>
        <v>100000</v>
      </c>
      <c r="C22" s="19">
        <v>20</v>
      </c>
      <c r="D22" s="19" t="s">
        <v>46</v>
      </c>
      <c r="E22" s="106" t="s">
        <v>120</v>
      </c>
      <c r="F22" s="19">
        <v>0.99980000000000002</v>
      </c>
      <c r="G22" s="105" t="s">
        <v>109</v>
      </c>
    </row>
    <row r="23" spans="1:7" x14ac:dyDescent="0.25">
      <c r="A23" s="34">
        <v>10000</v>
      </c>
      <c r="B23" s="34">
        <f>10000</f>
        <v>10000</v>
      </c>
      <c r="C23" s="19">
        <v>20</v>
      </c>
      <c r="D23" s="19" t="s">
        <v>44</v>
      </c>
      <c r="E23" s="105" t="s">
        <v>106</v>
      </c>
      <c r="F23" s="19">
        <v>0.99990000000000001</v>
      </c>
      <c r="G23" s="105" t="s">
        <v>109</v>
      </c>
    </row>
    <row r="24" spans="1:7" x14ac:dyDescent="0.25">
      <c r="A24" s="34">
        <v>10000</v>
      </c>
      <c r="B24" s="34">
        <f>10000</f>
        <v>10000</v>
      </c>
      <c r="C24" s="19">
        <v>20</v>
      </c>
      <c r="D24" s="19" t="s">
        <v>45</v>
      </c>
      <c r="E24" s="105" t="s">
        <v>107</v>
      </c>
      <c r="F24" s="19">
        <v>0.99929999999999997</v>
      </c>
      <c r="G24" s="105" t="s">
        <v>109</v>
      </c>
    </row>
    <row r="25" spans="1:7" ht="17.25" x14ac:dyDescent="0.25">
      <c r="A25" s="34">
        <v>10000</v>
      </c>
      <c r="B25" s="34">
        <f>10000</f>
        <v>10000</v>
      </c>
      <c r="C25" s="19">
        <v>20</v>
      </c>
      <c r="D25" s="19" t="s">
        <v>46</v>
      </c>
      <c r="E25" s="106" t="s">
        <v>121</v>
      </c>
      <c r="F25" s="19">
        <v>0.99980000000000002</v>
      </c>
      <c r="G25" s="105" t="s">
        <v>109</v>
      </c>
    </row>
    <row r="26" spans="1:7" x14ac:dyDescent="0.25">
      <c r="A26" s="34">
        <v>10000</v>
      </c>
      <c r="B26" s="34">
        <f>1000</f>
        <v>1000</v>
      </c>
      <c r="C26" s="19">
        <v>20</v>
      </c>
      <c r="D26" s="19" t="s">
        <v>44</v>
      </c>
      <c r="E26" s="105" t="s">
        <v>108</v>
      </c>
      <c r="F26" s="19">
        <v>0.99990000000000001</v>
      </c>
      <c r="G26" s="105" t="s">
        <v>109</v>
      </c>
    </row>
    <row r="27" spans="1:7" x14ac:dyDescent="0.25">
      <c r="A27" s="34">
        <v>10000</v>
      </c>
      <c r="B27" s="34">
        <f>1000</f>
        <v>1000</v>
      </c>
      <c r="C27" s="19">
        <v>20</v>
      </c>
      <c r="D27" s="19" t="s">
        <v>45</v>
      </c>
      <c r="E27" s="105" t="s">
        <v>122</v>
      </c>
      <c r="F27" s="19">
        <v>0.99919999999999998</v>
      </c>
      <c r="G27" s="105" t="s">
        <v>109</v>
      </c>
    </row>
    <row r="28" spans="1:7" ht="17.25" x14ac:dyDescent="0.25">
      <c r="A28" s="34">
        <v>10000</v>
      </c>
      <c r="B28" s="34">
        <f>1000</f>
        <v>1000</v>
      </c>
      <c r="C28" s="19">
        <v>20</v>
      </c>
      <c r="D28" s="19" t="s">
        <v>46</v>
      </c>
      <c r="E28" s="106" t="s">
        <v>123</v>
      </c>
      <c r="F28" s="19">
        <v>0.99980000000000002</v>
      </c>
      <c r="G28" s="105" t="s">
        <v>109</v>
      </c>
    </row>
    <row r="30" spans="1:7" x14ac:dyDescent="0.25">
      <c r="A30" s="34">
        <v>100000</v>
      </c>
      <c r="B30" s="34">
        <f>10000000</f>
        <v>10000000</v>
      </c>
      <c r="C30" s="19">
        <v>20</v>
      </c>
      <c r="D30" s="19" t="s">
        <v>47</v>
      </c>
      <c r="E30" s="105" t="s">
        <v>111</v>
      </c>
      <c r="F30" s="19">
        <v>1</v>
      </c>
      <c r="G30" s="105" t="s">
        <v>110</v>
      </c>
    </row>
    <row r="31" spans="1:7" x14ac:dyDescent="0.25">
      <c r="A31" s="34">
        <v>100000</v>
      </c>
      <c r="B31" s="34">
        <f>10000000</f>
        <v>10000000</v>
      </c>
      <c r="C31" s="19">
        <v>20</v>
      </c>
      <c r="D31" s="19" t="s">
        <v>48</v>
      </c>
      <c r="E31" s="105" t="s">
        <v>112</v>
      </c>
      <c r="F31" s="19">
        <v>0.99909999999999999</v>
      </c>
      <c r="G31" s="105" t="s">
        <v>110</v>
      </c>
    </row>
    <row r="32" spans="1:7" x14ac:dyDescent="0.25">
      <c r="A32" s="34">
        <v>100000</v>
      </c>
      <c r="B32" s="34">
        <f>10000000</f>
        <v>10000000</v>
      </c>
      <c r="C32" s="19">
        <v>20</v>
      </c>
      <c r="D32" s="19" t="s">
        <v>49</v>
      </c>
      <c r="E32" s="106" t="s">
        <v>118</v>
      </c>
      <c r="F32" s="19">
        <v>0.99980000000000002</v>
      </c>
      <c r="G32" s="105" t="s">
        <v>110</v>
      </c>
    </row>
    <row r="33" spans="1:7" x14ac:dyDescent="0.25">
      <c r="A33" s="34">
        <v>100000</v>
      </c>
      <c r="B33" s="34">
        <f>1000000</f>
        <v>1000000</v>
      </c>
      <c r="C33" s="19">
        <v>20</v>
      </c>
      <c r="D33" s="19" t="s">
        <v>44</v>
      </c>
      <c r="E33" s="105" t="s">
        <v>113</v>
      </c>
      <c r="F33" s="19">
        <v>1</v>
      </c>
      <c r="G33" s="105" t="s">
        <v>110</v>
      </c>
    </row>
    <row r="34" spans="1:7" x14ac:dyDescent="0.25">
      <c r="A34" s="34">
        <v>100000</v>
      </c>
      <c r="B34" s="34">
        <f>1000000</f>
        <v>1000000</v>
      </c>
      <c r="C34" s="19">
        <v>20</v>
      </c>
      <c r="D34" s="19" t="s">
        <v>45</v>
      </c>
      <c r="E34" s="105" t="s">
        <v>114</v>
      </c>
      <c r="F34" s="19">
        <v>0.99909999999999999</v>
      </c>
      <c r="G34" s="105" t="s">
        <v>110</v>
      </c>
    </row>
    <row r="35" spans="1:7" x14ac:dyDescent="0.25">
      <c r="A35" s="34">
        <v>100000</v>
      </c>
      <c r="B35" s="34">
        <f>1000000</f>
        <v>1000000</v>
      </c>
      <c r="C35" s="19">
        <v>20</v>
      </c>
      <c r="D35" s="19" t="s">
        <v>46</v>
      </c>
      <c r="E35" s="106" t="s">
        <v>119</v>
      </c>
      <c r="F35" s="19">
        <v>0.99980000000000002</v>
      </c>
      <c r="G35" s="105" t="s">
        <v>110</v>
      </c>
    </row>
    <row r="36" spans="1:7" x14ac:dyDescent="0.25">
      <c r="A36" s="34">
        <v>100000</v>
      </c>
      <c r="B36" s="34">
        <f t="shared" ref="B36:B38" si="1">100000</f>
        <v>100000</v>
      </c>
      <c r="C36" s="19">
        <v>20</v>
      </c>
      <c r="D36" s="19" t="s">
        <v>44</v>
      </c>
      <c r="E36" s="105" t="s">
        <v>115</v>
      </c>
      <c r="F36" s="19">
        <v>0.99990000000000001</v>
      </c>
      <c r="G36" s="105" t="s">
        <v>110</v>
      </c>
    </row>
    <row r="37" spans="1:7" x14ac:dyDescent="0.25">
      <c r="A37" s="34">
        <v>100000</v>
      </c>
      <c r="B37" s="34">
        <f t="shared" si="1"/>
        <v>100000</v>
      </c>
      <c r="C37" s="19">
        <v>20</v>
      </c>
      <c r="D37" s="19" t="s">
        <v>45</v>
      </c>
      <c r="E37" s="105" t="s">
        <v>116</v>
      </c>
      <c r="F37" s="19">
        <v>0.99970000000000003</v>
      </c>
      <c r="G37" s="105" t="s">
        <v>110</v>
      </c>
    </row>
    <row r="38" spans="1:7" ht="18" x14ac:dyDescent="0.35">
      <c r="A38" s="34">
        <v>100000</v>
      </c>
      <c r="B38" s="34">
        <f t="shared" si="1"/>
        <v>100000</v>
      </c>
      <c r="C38" s="19">
        <v>20</v>
      </c>
      <c r="D38" s="19" t="s">
        <v>46</v>
      </c>
      <c r="E38" s="106" t="s">
        <v>117</v>
      </c>
      <c r="F38" s="19">
        <v>0.99980000000000002</v>
      </c>
      <c r="G38" s="105" t="s">
        <v>110</v>
      </c>
    </row>
    <row r="40" spans="1:7" x14ac:dyDescent="0.25">
      <c r="A40" s="34">
        <v>1000000</v>
      </c>
      <c r="B40" s="34">
        <f>10000000</f>
        <v>10000000</v>
      </c>
      <c r="C40" s="19">
        <v>20</v>
      </c>
      <c r="D40" s="19" t="s">
        <v>47</v>
      </c>
      <c r="E40" s="105" t="s">
        <v>125</v>
      </c>
      <c r="F40" s="19">
        <v>1</v>
      </c>
      <c r="G40" s="105" t="s">
        <v>124</v>
      </c>
    </row>
    <row r="41" spans="1:7" x14ac:dyDescent="0.25">
      <c r="A41" s="34">
        <v>1000000</v>
      </c>
      <c r="B41" s="34">
        <f>10000000</f>
        <v>10000000</v>
      </c>
      <c r="C41" s="19">
        <v>20</v>
      </c>
      <c r="D41" s="19" t="s">
        <v>48</v>
      </c>
      <c r="E41" s="105" t="s">
        <v>126</v>
      </c>
      <c r="F41" s="19">
        <v>0.99909999999999999</v>
      </c>
      <c r="G41" s="105" t="s">
        <v>124</v>
      </c>
    </row>
    <row r="42" spans="1:7" ht="17.25" x14ac:dyDescent="0.25">
      <c r="A42" s="34">
        <v>1000000</v>
      </c>
      <c r="B42" s="34">
        <f>10000000</f>
        <v>10000000</v>
      </c>
      <c r="C42" s="19">
        <v>20</v>
      </c>
      <c r="D42" s="19" t="s">
        <v>49</v>
      </c>
      <c r="E42" s="106" t="s">
        <v>130</v>
      </c>
      <c r="F42" s="19">
        <v>0.99980000000000002</v>
      </c>
      <c r="G42" s="105" t="s">
        <v>124</v>
      </c>
    </row>
    <row r="43" spans="1:7" x14ac:dyDescent="0.25">
      <c r="A43" s="34">
        <v>1000000</v>
      </c>
      <c r="B43" s="34">
        <f>1000000</f>
        <v>1000000</v>
      </c>
      <c r="C43" s="19">
        <v>20</v>
      </c>
      <c r="D43" s="19" t="s">
        <v>47</v>
      </c>
      <c r="E43" s="105" t="s">
        <v>127</v>
      </c>
      <c r="F43" s="19">
        <v>1</v>
      </c>
      <c r="G43" s="105" t="s">
        <v>124</v>
      </c>
    </row>
    <row r="44" spans="1:7" x14ac:dyDescent="0.25">
      <c r="A44" s="34">
        <v>1000000</v>
      </c>
      <c r="B44" s="34">
        <f>1000000</f>
        <v>1000000</v>
      </c>
      <c r="C44" s="19">
        <v>20</v>
      </c>
      <c r="D44" s="19" t="s">
        <v>48</v>
      </c>
      <c r="E44" s="105" t="s">
        <v>128</v>
      </c>
      <c r="F44" s="19">
        <v>0.99909999999999999</v>
      </c>
      <c r="G44" s="105" t="s">
        <v>124</v>
      </c>
    </row>
    <row r="45" spans="1:7" ht="17.25" x14ac:dyDescent="0.25">
      <c r="A45" s="34">
        <v>1000000</v>
      </c>
      <c r="B45" s="34">
        <f>1000000</f>
        <v>1000000</v>
      </c>
      <c r="C45" s="19">
        <v>20</v>
      </c>
      <c r="D45" s="19" t="s">
        <v>49</v>
      </c>
      <c r="E45" s="106" t="s">
        <v>129</v>
      </c>
      <c r="F45" s="19"/>
      <c r="G45" s="105"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974E1-3435-468C-B5C4-832DC55B010F}">
  <dimension ref="B1:O32"/>
  <sheetViews>
    <sheetView showGridLines="0" zoomScale="120" zoomScaleNormal="120" workbookViewId="0">
      <pane ySplit="2" topLeftCell="A3" activePane="bottomLeft" state="frozen"/>
      <selection pane="bottomLeft" activeCell="P23" sqref="P23"/>
    </sheetView>
  </sheetViews>
  <sheetFormatPr defaultColWidth="9.140625" defaultRowHeight="15" x14ac:dyDescent="0.25"/>
  <cols>
    <col min="2" max="2" width="10.28515625" style="2" bestFit="1" customWidth="1"/>
    <col min="3" max="3" width="11" style="10" customWidth="1"/>
    <col min="4" max="4" width="11.5703125" style="10" customWidth="1"/>
    <col min="5" max="5" width="8.140625" style="2" bestFit="1" customWidth="1"/>
    <col min="6" max="6" width="1.85546875" style="45" customWidth="1"/>
    <col min="7" max="7" width="10.28515625" customWidth="1"/>
    <col min="8" max="9" width="10.28515625" bestFit="1" customWidth="1"/>
    <col min="10" max="10" width="8.140625" style="2" bestFit="1" customWidth="1"/>
    <col min="11" max="11" width="1.7109375" customWidth="1"/>
    <col min="13" max="14" width="10.28515625" bestFit="1" customWidth="1"/>
    <col min="15" max="15" width="8.140625" style="2" bestFit="1" customWidth="1"/>
  </cols>
  <sheetData>
    <row r="1" spans="2:15" x14ac:dyDescent="0.25">
      <c r="B1" s="2" t="s">
        <v>147</v>
      </c>
      <c r="G1" s="2" t="s">
        <v>147</v>
      </c>
      <c r="L1" s="2" t="s">
        <v>147</v>
      </c>
    </row>
    <row r="2" spans="2:15" x14ac:dyDescent="0.25">
      <c r="B2" s="8" t="s">
        <v>146</v>
      </c>
      <c r="G2" s="8" t="s">
        <v>148</v>
      </c>
      <c r="L2" s="8" t="s">
        <v>149</v>
      </c>
    </row>
    <row r="3" spans="2:15" ht="30" x14ac:dyDescent="0.25">
      <c r="B3" s="148" t="s">
        <v>150</v>
      </c>
      <c r="C3" s="98" t="s">
        <v>143</v>
      </c>
      <c r="D3" s="98" t="s">
        <v>144</v>
      </c>
      <c r="E3" s="11" t="s">
        <v>145</v>
      </c>
      <c r="F3" s="48"/>
      <c r="G3" s="148" t="s">
        <v>150</v>
      </c>
      <c r="H3" s="127" t="s">
        <v>143</v>
      </c>
      <c r="I3" s="127" t="s">
        <v>144</v>
      </c>
      <c r="J3" s="11" t="s">
        <v>145</v>
      </c>
      <c r="K3" s="48"/>
      <c r="L3" s="148" t="s">
        <v>150</v>
      </c>
      <c r="M3" s="127" t="s">
        <v>143</v>
      </c>
      <c r="N3" s="127" t="s">
        <v>144</v>
      </c>
      <c r="O3" s="11" t="s">
        <v>145</v>
      </c>
    </row>
    <row r="4" spans="2:15" x14ac:dyDescent="0.25">
      <c r="B4" s="19">
        <v>1</v>
      </c>
      <c r="C4" s="141">
        <v>0.79688000000000003</v>
      </c>
      <c r="D4" s="141">
        <v>0.8646647167633873</v>
      </c>
      <c r="E4" s="138">
        <v>1.0850626402512138</v>
      </c>
      <c r="G4" s="105">
        <v>0.5</v>
      </c>
      <c r="H4" s="141">
        <v>0.58279119999999995</v>
      </c>
      <c r="I4" s="141">
        <v>0.63212055882855767</v>
      </c>
      <c r="J4" s="138">
        <v>1.084643280180891</v>
      </c>
      <c r="K4" s="45"/>
      <c r="L4" s="105">
        <v>0.5</v>
      </c>
      <c r="M4" s="141">
        <v>0.58283949999999995</v>
      </c>
      <c r="N4" s="141">
        <v>0.63212055882855767</v>
      </c>
      <c r="O4" s="138">
        <v>1.084553395623594</v>
      </c>
    </row>
    <row r="5" spans="2:15" x14ac:dyDescent="0.25">
      <c r="B5" s="19">
        <v>0.9</v>
      </c>
      <c r="C5" s="141">
        <v>0.76605000000000001</v>
      </c>
      <c r="D5" s="141">
        <v>0.83470111177841344</v>
      </c>
      <c r="E5" s="138">
        <v>1.0896170116551314</v>
      </c>
      <c r="G5" s="105">
        <v>0.45</v>
      </c>
      <c r="H5" s="141">
        <v>0.54867895</v>
      </c>
      <c r="I5" s="141">
        <v>0.59343034025940089</v>
      </c>
      <c r="J5" s="138">
        <v>1.0815620687824836</v>
      </c>
      <c r="K5" s="45"/>
      <c r="L5" s="105">
        <v>0.4</v>
      </c>
      <c r="M5" s="141">
        <v>0.51100480000000004</v>
      </c>
      <c r="N5" s="141">
        <v>0.55067103588277844</v>
      </c>
      <c r="O5" s="138">
        <v>1.0776239986058416</v>
      </c>
    </row>
    <row r="6" spans="2:15" x14ac:dyDescent="0.25">
      <c r="B6" s="19">
        <v>0.8</v>
      </c>
      <c r="C6" s="141">
        <v>0.72902500000000003</v>
      </c>
      <c r="D6" s="141">
        <v>0.79810348200534464</v>
      </c>
      <c r="E6" s="138">
        <v>1.0947546133607826</v>
      </c>
      <c r="G6" s="105">
        <v>0.4</v>
      </c>
      <c r="H6" s="141">
        <v>0.51115730000000004</v>
      </c>
      <c r="I6" s="141">
        <v>0.55067103588277844</v>
      </c>
      <c r="J6" s="138">
        <v>1.077302497455829</v>
      </c>
      <c r="K6" s="45"/>
      <c r="L6" s="105">
        <v>0.3</v>
      </c>
      <c r="M6" s="141">
        <v>0.42292204999999999</v>
      </c>
      <c r="N6" s="141">
        <v>0.45118836390597361</v>
      </c>
      <c r="O6" s="138">
        <v>1.0668357535531041</v>
      </c>
    </row>
    <row r="7" spans="2:15" x14ac:dyDescent="0.25">
      <c r="B7" s="19">
        <v>0.7</v>
      </c>
      <c r="C7" s="141">
        <v>0.69006999999999996</v>
      </c>
      <c r="D7" s="141">
        <v>0.75340303605839354</v>
      </c>
      <c r="E7" s="138">
        <v>1.0917776979993241</v>
      </c>
      <c r="G7" s="105">
        <v>0.35</v>
      </c>
      <c r="H7" s="141">
        <v>0.46936359999999999</v>
      </c>
      <c r="I7" s="141">
        <v>0.50341469620859047</v>
      </c>
      <c r="J7" s="138">
        <v>1.0725473730996407</v>
      </c>
      <c r="K7" s="45"/>
      <c r="L7" s="105">
        <v>0.2</v>
      </c>
      <c r="M7" s="141">
        <v>0.31369340000000001</v>
      </c>
      <c r="N7" s="141">
        <v>0.32967995396436067</v>
      </c>
      <c r="O7" s="138">
        <v>1.0509623535731407</v>
      </c>
    </row>
    <row r="8" spans="2:15" x14ac:dyDescent="0.25">
      <c r="B8" s="19">
        <v>0.6</v>
      </c>
      <c r="C8" s="141">
        <v>0.64305000000000001</v>
      </c>
      <c r="D8" s="141">
        <v>0.69880578808779781</v>
      </c>
      <c r="E8" s="138">
        <v>1.0867052143500471</v>
      </c>
      <c r="G8" s="105">
        <v>0.3</v>
      </c>
      <c r="H8" s="141">
        <v>0.42288920000000002</v>
      </c>
      <c r="I8" s="141">
        <v>0.45118836390597361</v>
      </c>
      <c r="J8" s="138">
        <v>1.0669186252710487</v>
      </c>
      <c r="K8" s="45"/>
      <c r="L8" s="118">
        <v>0.1</v>
      </c>
      <c r="M8" s="119">
        <v>0.17611080000000001</v>
      </c>
      <c r="N8" s="119">
        <v>0.18126924692201818</v>
      </c>
      <c r="O8" s="139">
        <v>1.0292909175474654</v>
      </c>
    </row>
    <row r="9" spans="2:15" x14ac:dyDescent="0.25">
      <c r="B9" s="19">
        <v>0.5</v>
      </c>
      <c r="C9" s="141">
        <v>0.58319500000000002</v>
      </c>
      <c r="D9" s="141">
        <v>0.63212055882855767</v>
      </c>
      <c r="E9" s="138">
        <v>1.0838922810184546</v>
      </c>
      <c r="G9" s="105">
        <v>0.25</v>
      </c>
      <c r="H9" s="141">
        <v>0.37138775000000002</v>
      </c>
      <c r="I9" s="141">
        <v>0.39346934028736658</v>
      </c>
      <c r="J9" s="138">
        <v>1.0594569699387408</v>
      </c>
      <c r="K9" s="45"/>
      <c r="L9" s="118">
        <v>0.05</v>
      </c>
      <c r="M9" s="119">
        <v>9.3665819999999997E-2</v>
      </c>
      <c r="N9" s="119">
        <v>9.5162581964040482E-2</v>
      </c>
      <c r="O9" s="139">
        <v>1.0159798095403476</v>
      </c>
    </row>
    <row r="10" spans="2:15" x14ac:dyDescent="0.25">
      <c r="B10" s="19">
        <v>0.4</v>
      </c>
      <c r="C10" s="141">
        <v>0.51131000000000004</v>
      </c>
      <c r="D10" s="141">
        <v>0.55067103588277844</v>
      </c>
      <c r="E10" s="138">
        <v>1.0769807668200864</v>
      </c>
      <c r="G10" s="105">
        <v>0.2</v>
      </c>
      <c r="H10" s="141">
        <v>0.31389735000000002</v>
      </c>
      <c r="I10" s="141">
        <v>0.32967995396436067</v>
      </c>
      <c r="J10" s="138">
        <v>1.0502795068654152</v>
      </c>
      <c r="K10" s="45"/>
      <c r="L10" s="129">
        <v>0.01</v>
      </c>
      <c r="M10" s="142">
        <v>1.9747009999999999E-2</v>
      </c>
      <c r="N10" s="142">
        <v>1.9801326693244747E-2</v>
      </c>
      <c r="O10" s="140">
        <v>1.0027506287404901</v>
      </c>
    </row>
    <row r="11" spans="2:15" x14ac:dyDescent="0.25">
      <c r="B11" s="19">
        <v>0.3</v>
      </c>
      <c r="C11" s="141">
        <v>0.42327500000000001</v>
      </c>
      <c r="D11" s="141">
        <v>0.45118836390597361</v>
      </c>
      <c r="E11" s="138">
        <v>1.0659461671631294</v>
      </c>
      <c r="G11" s="105">
        <v>0.15</v>
      </c>
      <c r="H11" s="141">
        <v>0.24885784999999999</v>
      </c>
      <c r="I11" s="141">
        <v>0.25918177931828212</v>
      </c>
      <c r="J11" s="138">
        <v>1.041485246771529</v>
      </c>
      <c r="K11" s="45"/>
      <c r="L11" s="129">
        <v>8.0000000000000002E-3</v>
      </c>
      <c r="M11" s="142">
        <v>1.5831310000000001E-2</v>
      </c>
      <c r="N11" s="142">
        <v>1.5872679944714863E-2</v>
      </c>
      <c r="O11" s="140">
        <v>1.0026131725495149</v>
      </c>
    </row>
    <row r="12" spans="2:15" x14ac:dyDescent="0.25">
      <c r="B12" s="19">
        <v>0.2</v>
      </c>
      <c r="C12" s="141">
        <v>0.31474999999999997</v>
      </c>
      <c r="D12" s="141">
        <v>0.32967995396436067</v>
      </c>
      <c r="E12" s="138">
        <v>1.0474343255420515</v>
      </c>
      <c r="G12" s="118">
        <v>0.1</v>
      </c>
      <c r="H12" s="119">
        <v>0.17616285000000001</v>
      </c>
      <c r="I12" s="119">
        <v>0.18126924692201818</v>
      </c>
      <c r="J12" s="139">
        <v>1.0289867978522043</v>
      </c>
      <c r="K12" s="45"/>
      <c r="L12" s="129">
        <v>6.0000000000000001E-3</v>
      </c>
      <c r="M12" s="142">
        <v>1.190359E-2</v>
      </c>
      <c r="N12" s="142">
        <v>1.1928287138069482E-2</v>
      </c>
      <c r="O12" s="140">
        <v>1.0020747638375886</v>
      </c>
    </row>
    <row r="13" spans="2:15" x14ac:dyDescent="0.25">
      <c r="B13" s="136">
        <v>0.1</v>
      </c>
      <c r="C13" s="119">
        <v>0.17630999999999999</v>
      </c>
      <c r="D13" s="119">
        <v>0.18126924692201818</v>
      </c>
      <c r="E13" s="139">
        <v>1.0281279957008576</v>
      </c>
      <c r="G13" s="118">
        <v>0.05</v>
      </c>
      <c r="H13" s="119">
        <v>9.3663499999999997E-2</v>
      </c>
      <c r="I13" s="119">
        <v>9.5162581964040482E-2</v>
      </c>
      <c r="J13" s="139">
        <v>1.0160049748732483</v>
      </c>
      <c r="K13" s="45"/>
      <c r="L13" s="129">
        <v>4.0000000000000001E-3</v>
      </c>
      <c r="M13" s="143">
        <v>7.9620799999999999E-3</v>
      </c>
      <c r="N13" s="143">
        <v>7.9680851629393423E-3</v>
      </c>
      <c r="O13" s="140">
        <v>1.000754220371981</v>
      </c>
    </row>
    <row r="14" spans="2:15" x14ac:dyDescent="0.25">
      <c r="B14" s="136">
        <v>0.05</v>
      </c>
      <c r="C14" s="119">
        <v>9.3625E-2</v>
      </c>
      <c r="D14" s="119">
        <v>9.516258216018518E-2</v>
      </c>
      <c r="E14" s="139">
        <v>1.0164227734065172</v>
      </c>
      <c r="G14" s="129">
        <v>0.01</v>
      </c>
      <c r="H14" s="142">
        <v>1.97156E-2</v>
      </c>
      <c r="I14" s="142">
        <v>1.9801326693244747E-2</v>
      </c>
      <c r="J14" s="140">
        <v>1.0043481655767386</v>
      </c>
      <c r="K14" s="45"/>
      <c r="L14" s="129">
        <v>2E-3</v>
      </c>
      <c r="M14" s="143">
        <v>3.9818800000000001E-3</v>
      </c>
      <c r="N14" s="143">
        <v>3.9920106560085156E-3</v>
      </c>
      <c r="O14" s="140">
        <v>1.0025441891791103</v>
      </c>
    </row>
    <row r="15" spans="2:15" x14ac:dyDescent="0.25">
      <c r="B15" s="137">
        <v>0.01</v>
      </c>
      <c r="C15" s="142">
        <v>2.0424999999999999E-2</v>
      </c>
      <c r="D15" s="142">
        <v>2.0170767181041434E-2</v>
      </c>
      <c r="E15" s="140">
        <v>0.98755286076090265</v>
      </c>
      <c r="G15" s="129">
        <v>8.9999999999999993E-3</v>
      </c>
      <c r="H15" s="142">
        <v>1.7790400000000001E-2</v>
      </c>
      <c r="I15" s="142">
        <v>1.7838967641699233E-2</v>
      </c>
      <c r="J15" s="140">
        <v>1.0027299915515802</v>
      </c>
      <c r="K15" s="45"/>
      <c r="L15" s="129">
        <v>1E-3</v>
      </c>
      <c r="M15" s="143">
        <v>1.9924399999999998E-3</v>
      </c>
      <c r="N15" s="143">
        <v>1.998001332666921E-3</v>
      </c>
      <c r="O15" s="140">
        <v>1.0027912171342279</v>
      </c>
    </row>
    <row r="16" spans="2:15" x14ac:dyDescent="0.25">
      <c r="B16" s="132">
        <v>5.0000000000000001E-3</v>
      </c>
      <c r="C16" s="142">
        <v>1.1325E-2</v>
      </c>
      <c r="D16" s="142">
        <v>1.150754281737938E-2</v>
      </c>
      <c r="E16" s="140">
        <v>1.016118571071027</v>
      </c>
      <c r="G16" s="129">
        <v>8.0000000000000002E-3</v>
      </c>
      <c r="H16" s="142">
        <v>1.580295E-2</v>
      </c>
      <c r="I16" s="142">
        <v>1.5872679944714863E-2</v>
      </c>
      <c r="J16" s="140">
        <v>1.004412463794093</v>
      </c>
      <c r="K16" s="45"/>
      <c r="L16" s="129">
        <v>1E-4</v>
      </c>
      <c r="M16" s="144">
        <v>2.0053000000000001E-4</v>
      </c>
      <c r="N16" s="144">
        <v>1.9998000133325533E-4</v>
      </c>
      <c r="O16" s="140">
        <v>0.9972572748878239</v>
      </c>
    </row>
    <row r="17" spans="2:15" x14ac:dyDescent="0.25">
      <c r="B17" s="132">
        <v>1E-3</v>
      </c>
      <c r="C17" s="142">
        <v>6.2500000000000003E-3</v>
      </c>
      <c r="D17" s="142">
        <v>6.0604271161810181E-3</v>
      </c>
      <c r="E17" s="140">
        <v>0.96966833858896284</v>
      </c>
      <c r="G17" s="129">
        <v>7.0000000000000001E-3</v>
      </c>
      <c r="H17" s="142">
        <v>1.39011E-2</v>
      </c>
      <c r="I17" s="142">
        <v>1.3902455737138109E-2</v>
      </c>
      <c r="J17" s="140">
        <v>1.0000975273279171</v>
      </c>
      <c r="K17" s="45"/>
      <c r="L17" s="129">
        <v>1.0000000000000001E-5</v>
      </c>
      <c r="M17" s="145">
        <v>1.9850000000000001E-5</v>
      </c>
      <c r="N17" s="145">
        <v>1.9999800001335721E-5</v>
      </c>
      <c r="O17" s="140">
        <v>1.0075465995635124</v>
      </c>
    </row>
    <row r="18" spans="2:15" x14ac:dyDescent="0.25">
      <c r="B18" s="132">
        <v>5.0000000000000001E-4</v>
      </c>
      <c r="C18" s="142">
        <v>5.2449999999999997E-3</v>
      </c>
      <c r="D18" s="142">
        <v>5.513898157556543E-3</v>
      </c>
      <c r="E18" s="140">
        <v>1.0512675228897128</v>
      </c>
      <c r="G18" s="129">
        <v>6.0000000000000001E-3</v>
      </c>
      <c r="H18" s="142">
        <v>1.191395E-2</v>
      </c>
      <c r="I18" s="142">
        <v>1.1928287138069482E-2</v>
      </c>
      <c r="J18" s="140">
        <v>1.0012033908208011</v>
      </c>
      <c r="K18" s="45"/>
      <c r="L18" s="129">
        <v>0</v>
      </c>
      <c r="M18" s="145">
        <v>4.9999999999999998E-7</v>
      </c>
      <c r="N18" s="145">
        <v>4.9999999999999998E-7</v>
      </c>
      <c r="O18" s="140">
        <v>1</v>
      </c>
    </row>
    <row r="19" spans="2:15" x14ac:dyDescent="0.25">
      <c r="B19" s="132">
        <v>1E-4</v>
      </c>
      <c r="C19" s="143">
        <v>5.2649999999999997E-3</v>
      </c>
      <c r="D19" s="143">
        <v>5.1001566162271281E-3</v>
      </c>
      <c r="E19" s="140">
        <v>0.96869071533278794</v>
      </c>
      <c r="G19" s="129">
        <v>5.0000000000000001E-3</v>
      </c>
      <c r="H19" s="142">
        <v>9.92525E-3</v>
      </c>
      <c r="I19" s="142">
        <v>9.9501662508318933E-3</v>
      </c>
      <c r="J19" s="140">
        <v>1.0025103902503103</v>
      </c>
      <c r="K19" s="45"/>
    </row>
    <row r="20" spans="2:15" x14ac:dyDescent="0.25">
      <c r="B20" s="133">
        <v>5.0000000000000002E-5</v>
      </c>
      <c r="C20" s="143">
        <v>5.3049999999999998E-3</v>
      </c>
      <c r="D20" s="143">
        <v>5.0499141656390779E-3</v>
      </c>
      <c r="E20" s="140">
        <v>0.95191595959266317</v>
      </c>
      <c r="G20" s="129">
        <v>4.0000000000000001E-3</v>
      </c>
      <c r="H20" s="142">
        <v>7.9745500000000004E-3</v>
      </c>
      <c r="I20" s="142">
        <v>7.9680851629393423E-3</v>
      </c>
      <c r="J20" s="140">
        <v>0.99918931638015207</v>
      </c>
      <c r="K20" s="45"/>
    </row>
    <row r="21" spans="2:15" x14ac:dyDescent="0.25">
      <c r="B21" s="133">
        <v>1.0000000000000001E-5</v>
      </c>
      <c r="C21" s="143">
        <v>5.0600000000000003E-3</v>
      </c>
      <c r="D21" s="143">
        <v>5.0099565669328361E-3</v>
      </c>
      <c r="E21" s="140">
        <v>0.99010999346498729</v>
      </c>
      <c r="G21" s="129">
        <v>3.0000000000000001E-3</v>
      </c>
      <c r="H21" s="142">
        <v>5.9617999999999997E-3</v>
      </c>
      <c r="I21" s="142">
        <v>5.9820359460647232E-3</v>
      </c>
      <c r="J21" s="140">
        <v>1.0033942678494285</v>
      </c>
      <c r="K21" s="45"/>
    </row>
    <row r="22" spans="2:15" x14ac:dyDescent="0.25">
      <c r="B22" s="134">
        <v>5.0000000000000004E-6</v>
      </c>
      <c r="C22" s="143">
        <v>5.1399999999999996E-3</v>
      </c>
      <c r="D22" s="143">
        <v>5.0049766417445381E-3</v>
      </c>
      <c r="E22" s="140">
        <v>0.97373086415263399</v>
      </c>
      <c r="G22" s="129">
        <v>2E-3</v>
      </c>
      <c r="H22" s="142">
        <v>3.9671000000000003E-3</v>
      </c>
      <c r="I22" s="142">
        <v>3.9920106560085156E-3</v>
      </c>
      <c r="J22" s="140">
        <v>1.006279311337883</v>
      </c>
      <c r="K22" s="45"/>
    </row>
    <row r="23" spans="2:15" x14ac:dyDescent="0.25">
      <c r="B23" s="134">
        <v>9.9999999999999995E-7</v>
      </c>
      <c r="C23" s="144">
        <v>5.0099999999999997E-3</v>
      </c>
      <c r="D23" s="144">
        <v>5.0009950656437078E-3</v>
      </c>
      <c r="E23" s="140">
        <v>0.99820260791291582</v>
      </c>
      <c r="G23" s="129">
        <v>1E-3</v>
      </c>
      <c r="H23" s="143">
        <v>2.0051499999999998E-3</v>
      </c>
      <c r="I23" s="143">
        <v>1.998001332666921E-3</v>
      </c>
      <c r="J23" s="140">
        <v>0.99643484660345671</v>
      </c>
      <c r="K23" s="45"/>
    </row>
    <row r="24" spans="2:15" x14ac:dyDescent="0.25">
      <c r="B24" s="135">
        <v>4.9999999999999998E-7</v>
      </c>
      <c r="C24" s="144">
        <v>5.1850000000000004E-3</v>
      </c>
      <c r="D24" s="144">
        <v>5.0004975163384612E-3</v>
      </c>
      <c r="E24" s="140">
        <v>0.96441610729767802</v>
      </c>
      <c r="G24" s="129">
        <v>1E-4</v>
      </c>
      <c r="H24" s="144">
        <v>2.106E-4</v>
      </c>
      <c r="I24" s="144">
        <v>2.037111002836779E-4</v>
      </c>
      <c r="J24" s="140">
        <v>0.96728917513617241</v>
      </c>
      <c r="K24" s="45"/>
    </row>
    <row r="25" spans="2:15" x14ac:dyDescent="0.25">
      <c r="B25" s="135">
        <v>9.9999999999999995E-8</v>
      </c>
      <c r="C25" s="144">
        <v>5.025E-3</v>
      </c>
      <c r="D25" s="144">
        <v>5.0000995012044209E-3</v>
      </c>
      <c r="E25" s="140">
        <v>0.99504467685660114</v>
      </c>
      <c r="G25" s="129">
        <v>1.0000000000000001E-5</v>
      </c>
      <c r="H25" s="145">
        <v>6.1849999999999999E-5</v>
      </c>
      <c r="I25" s="145">
        <v>6.0664288989489959E-5</v>
      </c>
      <c r="J25" s="140">
        <v>0.98082924801115534</v>
      </c>
      <c r="K25" s="45"/>
    </row>
    <row r="26" spans="2:15" x14ac:dyDescent="0.25">
      <c r="B26" s="130">
        <v>0</v>
      </c>
      <c r="C26" s="144">
        <v>5.0899999999999999E-3</v>
      </c>
      <c r="D26" s="144">
        <v>5.0000000000000001E-3</v>
      </c>
      <c r="E26" s="140">
        <v>0.98231827111984282</v>
      </c>
      <c r="G26" s="129">
        <v>0</v>
      </c>
      <c r="H26" s="145">
        <v>4.9200000000000003E-5</v>
      </c>
      <c r="I26" s="145">
        <v>5.0000000000000002E-5</v>
      </c>
      <c r="J26" s="140">
        <v>1.0162601626016261</v>
      </c>
      <c r="K26" s="45"/>
    </row>
    <row r="31" spans="2:15" ht="15.75" thickBot="1" x14ac:dyDescent="0.3">
      <c r="H31" s="146"/>
    </row>
    <row r="32" spans="2:15" ht="15.75" thickBot="1" x14ac:dyDescent="0.3">
      <c r="H32" s="1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61233-D858-4F65-92B7-9150EF590722}">
  <dimension ref="A1:M57"/>
  <sheetViews>
    <sheetView showGridLines="0" zoomScaleNormal="100" workbookViewId="0">
      <selection activeCell="O5" sqref="O5"/>
    </sheetView>
  </sheetViews>
  <sheetFormatPr defaultColWidth="9.140625" defaultRowHeight="15" x14ac:dyDescent="0.25"/>
  <cols>
    <col min="1" max="1" width="4.42578125" style="2" customWidth="1"/>
    <col min="2" max="2" width="11.7109375" customWidth="1"/>
    <col min="3" max="3" width="10.85546875" customWidth="1"/>
    <col min="4" max="4" width="9.140625" style="99"/>
    <col min="5" max="5" width="12.42578125" customWidth="1"/>
    <col min="6" max="6" width="12.140625" style="56" customWidth="1"/>
    <col min="7" max="7" width="10.7109375" style="212" bestFit="1" customWidth="1"/>
    <col min="8" max="8" width="9.140625" style="45"/>
    <col min="10" max="10" width="12.42578125" bestFit="1" customWidth="1"/>
    <col min="11" max="11" width="12" bestFit="1" customWidth="1"/>
    <col min="12" max="12" width="10.7109375" bestFit="1" customWidth="1"/>
    <col min="13" max="13" width="9.140625" style="10"/>
    <col min="14" max="14" width="10.140625" bestFit="1" customWidth="1"/>
  </cols>
  <sheetData>
    <row r="1" spans="2:13" x14ac:dyDescent="0.25">
      <c r="B1" t="s">
        <v>166</v>
      </c>
      <c r="I1" t="s">
        <v>175</v>
      </c>
    </row>
    <row r="2" spans="2:13" ht="18.75" x14ac:dyDescent="0.3">
      <c r="B2" s="478" t="s">
        <v>158</v>
      </c>
      <c r="C2" s="478"/>
      <c r="D2" s="478"/>
      <c r="E2" s="478"/>
      <c r="F2" s="478"/>
      <c r="G2" s="478"/>
      <c r="I2" t="s">
        <v>167</v>
      </c>
    </row>
    <row r="3" spans="2:13" ht="30" x14ac:dyDescent="0.25">
      <c r="B3" s="33" t="s">
        <v>3</v>
      </c>
      <c r="C3" s="11" t="s">
        <v>161</v>
      </c>
      <c r="D3" s="98" t="s">
        <v>164</v>
      </c>
      <c r="E3" s="227" t="s">
        <v>163</v>
      </c>
      <c r="F3" s="33" t="s">
        <v>162</v>
      </c>
      <c r="G3" s="213" t="s">
        <v>165</v>
      </c>
      <c r="I3" s="11" t="s">
        <v>9</v>
      </c>
      <c r="J3" s="22" t="s">
        <v>27</v>
      </c>
      <c r="K3" s="22" t="s">
        <v>28</v>
      </c>
      <c r="L3" s="16" t="s">
        <v>25</v>
      </c>
      <c r="M3" s="33" t="s">
        <v>26</v>
      </c>
    </row>
    <row r="4" spans="2:13" x14ac:dyDescent="0.25">
      <c r="B4" s="483">
        <v>100000</v>
      </c>
      <c r="C4" s="197">
        <v>0.1</v>
      </c>
      <c r="D4" s="198">
        <v>0.17637700000000001</v>
      </c>
      <c r="E4" s="211">
        <v>1.2052644999999999E-3</v>
      </c>
      <c r="F4" s="215">
        <v>134.35</v>
      </c>
      <c r="G4" s="228">
        <v>19.09</v>
      </c>
      <c r="I4" s="136">
        <v>0.1</v>
      </c>
      <c r="J4" s="53">
        <v>0.17874999999999999</v>
      </c>
      <c r="K4" s="160">
        <v>1.21010063E-2</v>
      </c>
      <c r="L4" s="250">
        <v>31.43</v>
      </c>
      <c r="M4" s="249">
        <v>15.92</v>
      </c>
    </row>
    <row r="5" spans="2:13" ht="15.75" x14ac:dyDescent="0.25">
      <c r="B5" s="483"/>
      <c r="C5">
        <v>0.01</v>
      </c>
      <c r="D5" s="99">
        <v>1.9806500000000001E-2</v>
      </c>
      <c r="E5" s="6">
        <v>4.4059479999999999E-4</v>
      </c>
      <c r="F5" s="56">
        <v>847.43</v>
      </c>
      <c r="G5" s="229">
        <v>195.72</v>
      </c>
      <c r="I5" s="446">
        <v>0.01</v>
      </c>
      <c r="J5" s="447">
        <v>6.0199999999999997E-2</v>
      </c>
      <c r="K5" s="160">
        <v>7.5024953999999998E-3</v>
      </c>
      <c r="L5" s="448">
        <v>36.64</v>
      </c>
      <c r="M5" s="249">
        <v>20.059999999999999</v>
      </c>
    </row>
    <row r="6" spans="2:13" ht="15.75" x14ac:dyDescent="0.25">
      <c r="B6" s="483"/>
      <c r="C6" s="206">
        <v>1E-3</v>
      </c>
      <c r="D6" s="222">
        <v>1.9615000000000001E-3</v>
      </c>
      <c r="E6" s="4">
        <v>1.3986310000000001E-4</v>
      </c>
      <c r="F6" s="223">
        <v>3303.59</v>
      </c>
      <c r="G6" s="229">
        <v>1602.88</v>
      </c>
      <c r="I6" s="136">
        <v>1E-3</v>
      </c>
      <c r="J6" s="53">
        <v>5.04E-2</v>
      </c>
      <c r="K6" s="160">
        <v>6.6623055999999996E-3</v>
      </c>
      <c r="L6" s="250">
        <v>37.58</v>
      </c>
      <c r="M6" s="249">
        <v>19.86</v>
      </c>
    </row>
    <row r="7" spans="2:13" ht="15.75" x14ac:dyDescent="0.25">
      <c r="B7" s="483"/>
      <c r="C7">
        <v>1E-4</v>
      </c>
      <c r="D7" s="6">
        <v>6.045E-4</v>
      </c>
      <c r="E7" s="4">
        <v>7.7506699999999994E-5</v>
      </c>
      <c r="F7" s="56">
        <v>3990.92</v>
      </c>
      <c r="G7" s="229">
        <v>2110.4299999999998</v>
      </c>
      <c r="I7" s="446">
        <v>0</v>
      </c>
      <c r="J7" s="447">
        <v>5.1400000000000001E-2</v>
      </c>
      <c r="K7" s="160">
        <v>6.9616391999999996E-3</v>
      </c>
      <c r="L7" s="448">
        <v>36.74</v>
      </c>
      <c r="M7" s="249">
        <v>19.59</v>
      </c>
    </row>
    <row r="8" spans="2:13" x14ac:dyDescent="0.25">
      <c r="B8" s="483"/>
      <c r="C8">
        <v>1.0000000000000001E-5</v>
      </c>
      <c r="D8" s="6">
        <v>5.0199999999999995E-4</v>
      </c>
      <c r="E8" s="4">
        <v>7.0544399999999995E-5</v>
      </c>
      <c r="F8" s="56">
        <v>3932.11</v>
      </c>
      <c r="G8" s="229">
        <v>2116.19</v>
      </c>
    </row>
    <row r="9" spans="2:13" x14ac:dyDescent="0.25">
      <c r="B9" s="483"/>
      <c r="C9" s="199">
        <v>0</v>
      </c>
      <c r="D9" s="204">
        <v>5.0549999999999998E-4</v>
      </c>
      <c r="E9" s="208">
        <v>7.0833499999999999E-5</v>
      </c>
      <c r="F9" s="216">
        <v>4016.64</v>
      </c>
      <c r="G9" s="230">
        <v>2133.59</v>
      </c>
      <c r="I9" s="45" t="s">
        <v>168</v>
      </c>
      <c r="J9" s="45"/>
      <c r="K9" s="45"/>
      <c r="L9" s="45"/>
      <c r="M9" s="255"/>
    </row>
    <row r="10" spans="2:13" x14ac:dyDescent="0.25">
      <c r="B10" s="483">
        <v>10000</v>
      </c>
      <c r="C10" s="197">
        <v>0.1</v>
      </c>
      <c r="D10" s="198">
        <v>0.17538999999999999</v>
      </c>
      <c r="E10" s="211">
        <v>3.8028026999999999E-3</v>
      </c>
      <c r="F10" s="215">
        <v>134.32</v>
      </c>
      <c r="G10" s="229">
        <v>18.93</v>
      </c>
      <c r="I10" s="136">
        <v>0.01</v>
      </c>
      <c r="J10" s="160">
        <v>2.0424999999999999E-2</v>
      </c>
      <c r="K10" s="160">
        <v>1.4137901999999999E-3</v>
      </c>
      <c r="L10" s="250">
        <v>331.32</v>
      </c>
      <c r="M10" s="249">
        <v>161.72999999999999</v>
      </c>
    </row>
    <row r="11" spans="2:13" ht="15.75" x14ac:dyDescent="0.25">
      <c r="B11" s="483"/>
      <c r="C11">
        <v>0.01</v>
      </c>
      <c r="D11" s="99">
        <v>1.9775000000000001E-2</v>
      </c>
      <c r="E11" s="6">
        <v>1.3913344000000001E-3</v>
      </c>
      <c r="F11" s="56">
        <v>847.34</v>
      </c>
      <c r="G11" s="229">
        <v>200.56</v>
      </c>
      <c r="I11" s="446">
        <v>1E-3</v>
      </c>
      <c r="J11" s="449">
        <v>6.2500000000000003E-3</v>
      </c>
      <c r="K11" s="160">
        <v>7.8573480000000001E-4</v>
      </c>
      <c r="L11" s="448">
        <v>402.31</v>
      </c>
      <c r="M11" s="249">
        <v>218.72</v>
      </c>
    </row>
    <row r="12" spans="2:13" ht="15.75" x14ac:dyDescent="0.25">
      <c r="B12" s="483"/>
      <c r="C12" s="206">
        <v>1E-3</v>
      </c>
      <c r="D12" s="222">
        <v>2.0500000000000002E-3</v>
      </c>
      <c r="E12" s="4">
        <v>4.50273E-4</v>
      </c>
      <c r="F12" s="223">
        <v>3275.15</v>
      </c>
      <c r="G12" s="229">
        <v>1312.73</v>
      </c>
      <c r="I12" s="136">
        <v>1E-4</v>
      </c>
      <c r="J12" s="160">
        <v>5.2649999999999997E-3</v>
      </c>
      <c r="K12" s="160">
        <v>7.2156689999999996E-4</v>
      </c>
      <c r="L12" s="250">
        <v>397.95</v>
      </c>
      <c r="M12" s="249">
        <v>199.52</v>
      </c>
    </row>
    <row r="13" spans="2:13" ht="15.75" x14ac:dyDescent="0.25">
      <c r="B13" s="483"/>
      <c r="C13">
        <v>1E-4</v>
      </c>
      <c r="D13" s="6">
        <v>5.9999999999999995E-4</v>
      </c>
      <c r="E13" s="4">
        <v>2.3957469999999999E-4</v>
      </c>
      <c r="F13" s="56">
        <v>3924.87</v>
      </c>
      <c r="G13" s="229">
        <v>1496.72</v>
      </c>
      <c r="I13" s="446">
        <v>0</v>
      </c>
      <c r="J13" s="449">
        <v>5.0899999999999999E-3</v>
      </c>
      <c r="K13" s="160">
        <v>7.1023229999999998E-4</v>
      </c>
      <c r="L13" s="448">
        <v>396.37</v>
      </c>
      <c r="M13" s="249">
        <v>210</v>
      </c>
    </row>
    <row r="14" spans="2:13" x14ac:dyDescent="0.25">
      <c r="B14" s="483"/>
      <c r="C14">
        <v>1.0000000000000001E-5</v>
      </c>
      <c r="D14" s="6">
        <v>5.2999999999999998E-4</v>
      </c>
      <c r="E14" s="4">
        <v>2.2577590000000001E-4</v>
      </c>
      <c r="F14" s="56">
        <v>3669.22</v>
      </c>
      <c r="G14" s="229">
        <v>1456.85</v>
      </c>
    </row>
    <row r="15" spans="2:13" x14ac:dyDescent="0.25">
      <c r="B15" s="484"/>
      <c r="C15">
        <v>0</v>
      </c>
      <c r="D15" s="6">
        <v>4.55E-4</v>
      </c>
      <c r="E15" s="4">
        <v>2.0847460000000001E-4</v>
      </c>
      <c r="F15" s="56">
        <v>3979.11</v>
      </c>
      <c r="G15" s="229">
        <v>1662.94</v>
      </c>
      <c r="I15" s="45" t="s">
        <v>169</v>
      </c>
      <c r="J15" s="45"/>
      <c r="K15" s="45"/>
      <c r="L15" s="45"/>
      <c r="M15" s="255"/>
    </row>
    <row r="16" spans="2:13" x14ac:dyDescent="0.25">
      <c r="B16" s="483">
        <v>1000</v>
      </c>
      <c r="C16" s="197">
        <v>0.1</v>
      </c>
      <c r="D16" s="198">
        <v>0.17885000000000001</v>
      </c>
      <c r="E16" s="211">
        <v>1.2106732699999999E-2</v>
      </c>
      <c r="F16" s="215">
        <v>134.47999999999999</v>
      </c>
      <c r="G16" s="228">
        <v>18.940000000000001</v>
      </c>
      <c r="I16" s="136">
        <v>1E-3</v>
      </c>
      <c r="J16" s="160">
        <v>1.9615000000000001E-3</v>
      </c>
      <c r="K16" s="118">
        <v>1.3986310000000001E-4</v>
      </c>
      <c r="L16" s="250">
        <v>3303.59</v>
      </c>
      <c r="M16" s="249">
        <v>1602.88</v>
      </c>
    </row>
    <row r="17" spans="1:13" ht="15.75" x14ac:dyDescent="0.25">
      <c r="B17" s="482"/>
      <c r="C17">
        <v>0.01</v>
      </c>
      <c r="D17" s="99">
        <v>1.9349999999999999E-2</v>
      </c>
      <c r="E17" s="6">
        <v>4.3348238999999997E-3</v>
      </c>
      <c r="F17" s="56">
        <v>858.11</v>
      </c>
      <c r="G17" s="229">
        <v>202.68</v>
      </c>
      <c r="I17" s="446">
        <v>1E-4</v>
      </c>
      <c r="J17" s="449">
        <v>6.045E-4</v>
      </c>
      <c r="K17" s="118">
        <v>7.7506699999999994E-5</v>
      </c>
      <c r="L17" s="448">
        <v>3990.92</v>
      </c>
      <c r="M17" s="249">
        <v>2110.4299999999998</v>
      </c>
    </row>
    <row r="18" spans="1:13" ht="15.75" x14ac:dyDescent="0.25">
      <c r="B18" s="482"/>
      <c r="C18" s="206">
        <v>1E-3</v>
      </c>
      <c r="D18" s="222">
        <v>1.2999999999999999E-3</v>
      </c>
      <c r="E18" s="4">
        <v>9.282998E-4</v>
      </c>
      <c r="F18" s="223" t="s">
        <v>12</v>
      </c>
      <c r="G18" s="231" t="s">
        <v>12</v>
      </c>
      <c r="I18" s="450">
        <v>1.0000000000000001E-5</v>
      </c>
      <c r="J18" s="160">
        <v>5.0199999999999995E-4</v>
      </c>
      <c r="K18" s="118">
        <v>7.0544399999999995E-5</v>
      </c>
      <c r="L18" s="250">
        <v>3932.11</v>
      </c>
      <c r="M18" s="249">
        <v>2116.19</v>
      </c>
    </row>
    <row r="19" spans="1:13" ht="15.75" x14ac:dyDescent="0.25">
      <c r="B19" s="482"/>
      <c r="C19">
        <v>1E-4</v>
      </c>
      <c r="D19" s="6">
        <v>4.0000000000000002E-4</v>
      </c>
      <c r="E19" s="4">
        <v>3.411798E-4</v>
      </c>
      <c r="F19" s="56" t="s">
        <v>12</v>
      </c>
      <c r="G19" s="231" t="s">
        <v>12</v>
      </c>
      <c r="I19" s="446">
        <v>0</v>
      </c>
      <c r="J19" s="449">
        <v>5.0549999999999998E-4</v>
      </c>
      <c r="K19" s="118">
        <v>7.0833499999999999E-5</v>
      </c>
      <c r="L19" s="448">
        <v>4016.64</v>
      </c>
      <c r="M19" s="249">
        <v>2133.59</v>
      </c>
    </row>
    <row r="20" spans="1:13" x14ac:dyDescent="0.25">
      <c r="B20" s="482"/>
      <c r="C20">
        <v>1.0000000000000001E-5</v>
      </c>
      <c r="D20" s="6">
        <v>4.0000000000000002E-4</v>
      </c>
      <c r="E20" s="4">
        <v>3.9979989999999998E-4</v>
      </c>
      <c r="F20" s="56" t="s">
        <v>12</v>
      </c>
      <c r="G20" s="231" t="s">
        <v>12</v>
      </c>
    </row>
    <row r="21" spans="1:13" x14ac:dyDescent="0.25">
      <c r="B21" s="482"/>
      <c r="C21" s="199">
        <v>0</v>
      </c>
      <c r="D21" s="204">
        <v>5.5000000000000003E-4</v>
      </c>
      <c r="E21" s="208">
        <v>4.6179480000000002E-4</v>
      </c>
      <c r="F21" s="216" t="s">
        <v>12</v>
      </c>
      <c r="G21" s="232" t="s">
        <v>12</v>
      </c>
      <c r="I21" s="45" t="s">
        <v>170</v>
      </c>
      <c r="J21" s="45"/>
      <c r="K21" s="45"/>
      <c r="L21" s="45"/>
      <c r="M21" s="255"/>
    </row>
    <row r="22" spans="1:13" x14ac:dyDescent="0.25">
      <c r="B22" s="196"/>
      <c r="F22" s="217"/>
      <c r="G22" s="214"/>
      <c r="I22" s="251">
        <v>1E-4</v>
      </c>
      <c r="J22" s="451">
        <v>2.106E-4</v>
      </c>
      <c r="K22" s="452">
        <v>1.4498099999999999E-5</v>
      </c>
      <c r="L22" s="249">
        <v>33464.42</v>
      </c>
      <c r="M22" s="249">
        <v>16272.67</v>
      </c>
    </row>
    <row r="23" spans="1:13" ht="18.75" x14ac:dyDescent="0.3">
      <c r="B23" s="479" t="s">
        <v>159</v>
      </c>
      <c r="C23" s="478"/>
      <c r="D23" s="478"/>
      <c r="E23" s="478"/>
      <c r="F23" s="478"/>
      <c r="G23" s="478"/>
      <c r="I23" s="453">
        <v>1.0000000000000001E-5</v>
      </c>
      <c r="J23" s="454">
        <v>6.1849999999999999E-5</v>
      </c>
      <c r="K23" s="452">
        <v>7.8406999999999993E-6</v>
      </c>
      <c r="L23" s="455">
        <v>40360.71</v>
      </c>
      <c r="M23" s="249">
        <v>21463.61</v>
      </c>
    </row>
    <row r="24" spans="1:13" ht="30" x14ac:dyDescent="0.25">
      <c r="B24" s="33" t="s">
        <v>3</v>
      </c>
      <c r="C24" s="11" t="s">
        <v>161</v>
      </c>
      <c r="D24" s="98" t="s">
        <v>164</v>
      </c>
      <c r="E24" s="227" t="s">
        <v>163</v>
      </c>
      <c r="F24" s="33" t="s">
        <v>162</v>
      </c>
      <c r="G24" s="213" t="s">
        <v>165</v>
      </c>
      <c r="I24" s="251">
        <v>9.9999999999999995E-7</v>
      </c>
      <c r="J24" s="451">
        <v>5.1249999999999999E-5</v>
      </c>
      <c r="K24" s="452">
        <v>7.1481999999999996E-6</v>
      </c>
      <c r="L24" s="249">
        <v>40056.019999999997</v>
      </c>
      <c r="M24" s="249">
        <v>21040.560000000001</v>
      </c>
    </row>
    <row r="25" spans="1:13" ht="15.75" x14ac:dyDescent="0.25">
      <c r="A25" s="39"/>
      <c r="B25" s="481">
        <v>10000000</v>
      </c>
      <c r="C25" s="200">
        <v>0.1</v>
      </c>
      <c r="D25" s="201">
        <v>0.17617331</v>
      </c>
      <c r="E25" s="210">
        <v>1.204725E-4</v>
      </c>
      <c r="F25" s="218">
        <v>231.05</v>
      </c>
      <c r="G25" s="228">
        <v>18.73</v>
      </c>
      <c r="I25" s="446">
        <v>0</v>
      </c>
      <c r="J25" s="454">
        <v>4.9200000000000003E-5</v>
      </c>
      <c r="K25" s="452">
        <v>7.0018999999999998E-6</v>
      </c>
      <c r="L25" s="455">
        <v>39104.379999999997</v>
      </c>
      <c r="M25" s="249">
        <v>20650.11</v>
      </c>
    </row>
    <row r="26" spans="1:13" ht="15.75" x14ac:dyDescent="0.25">
      <c r="A26" s="39"/>
      <c r="B26" s="482"/>
      <c r="C26" s="224">
        <v>0.01</v>
      </c>
      <c r="D26" s="225">
        <v>1.973159E-2</v>
      </c>
      <c r="E26" s="93">
        <v>4.3979800000000002E-5</v>
      </c>
      <c r="F26" s="226">
        <v>1778.82</v>
      </c>
      <c r="G26" s="229">
        <v>182.45</v>
      </c>
    </row>
    <row r="27" spans="1:13" x14ac:dyDescent="0.25">
      <c r="A27" s="39"/>
      <c r="B27" s="482"/>
      <c r="C27" s="37">
        <v>1E-3</v>
      </c>
      <c r="D27" s="93">
        <v>1.9994600000000002E-3</v>
      </c>
      <c r="E27" s="151">
        <v>1.4126E-5</v>
      </c>
      <c r="F27" s="219">
        <v>13133.66</v>
      </c>
      <c r="G27" s="229">
        <v>1845.11</v>
      </c>
      <c r="I27" s="45" t="s">
        <v>171</v>
      </c>
      <c r="J27" s="45"/>
      <c r="K27" s="45"/>
      <c r="L27" s="45"/>
      <c r="M27" s="255"/>
    </row>
    <row r="28" spans="1:13" x14ac:dyDescent="0.25">
      <c r="A28" s="39"/>
      <c r="B28" s="482"/>
      <c r="C28" s="37">
        <v>1E-4</v>
      </c>
      <c r="D28" s="93">
        <v>1.9856E-4</v>
      </c>
      <c r="E28" s="151">
        <v>4.4552000000000001E-6</v>
      </c>
      <c r="F28" s="219">
        <v>84842.01</v>
      </c>
      <c r="G28" s="229">
        <v>19763.71</v>
      </c>
      <c r="I28" s="251">
        <v>1.0000000000000001E-5</v>
      </c>
      <c r="J28" s="118">
        <v>1.9939999999999999E-5</v>
      </c>
      <c r="K28" s="118">
        <v>1.4113999999999999E-6</v>
      </c>
      <c r="L28" s="249">
        <v>339954.7</v>
      </c>
      <c r="M28" s="249">
        <v>160898.73000000001</v>
      </c>
    </row>
    <row r="29" spans="1:13" ht="15.75" x14ac:dyDescent="0.25">
      <c r="A29" s="39"/>
      <c r="B29" s="482"/>
      <c r="C29" s="29">
        <v>1.0000000000000001E-5</v>
      </c>
      <c r="D29" s="93">
        <v>1.9939999999999999E-5</v>
      </c>
      <c r="E29" s="151">
        <v>1.4113999999999999E-6</v>
      </c>
      <c r="F29" s="219">
        <v>339954.7</v>
      </c>
      <c r="G29" s="10">
        <v>160898.73000000001</v>
      </c>
      <c r="H29" s="39"/>
      <c r="I29" s="453">
        <v>9.9999999999999995E-7</v>
      </c>
      <c r="J29" s="456">
        <v>6.2099999999999998E-6</v>
      </c>
      <c r="K29" s="118">
        <v>7.8599999999999997E-7</v>
      </c>
      <c r="L29" s="455">
        <v>395547.62</v>
      </c>
      <c r="M29" s="249">
        <v>206024.43</v>
      </c>
    </row>
    <row r="30" spans="1:13" x14ac:dyDescent="0.25">
      <c r="A30" s="39"/>
      <c r="B30" s="482"/>
      <c r="C30" s="202">
        <v>0</v>
      </c>
      <c r="D30" s="205">
        <v>5.0100000000000003E-6</v>
      </c>
      <c r="E30" s="209">
        <v>7.0660000000000004E-7</v>
      </c>
      <c r="F30" s="220">
        <v>396826.5</v>
      </c>
      <c r="G30" s="253">
        <v>194533.28</v>
      </c>
      <c r="H30" s="39"/>
      <c r="I30" s="251">
        <v>9.9999999999999995E-8</v>
      </c>
      <c r="J30" s="457">
        <v>4.9200000000000003E-6</v>
      </c>
      <c r="K30" s="452">
        <v>6.9979999999999995E-7</v>
      </c>
      <c r="L30" s="249">
        <v>397261.78</v>
      </c>
      <c r="M30" s="249">
        <v>202103.49</v>
      </c>
    </row>
    <row r="31" spans="1:13" ht="15.75" x14ac:dyDescent="0.25">
      <c r="A31" s="39"/>
      <c r="B31" s="481">
        <v>1000000</v>
      </c>
      <c r="C31" s="200">
        <v>0.1</v>
      </c>
      <c r="D31" s="201">
        <v>0.17616594999999999</v>
      </c>
      <c r="E31" s="210">
        <v>3.8096089999999999E-4</v>
      </c>
      <c r="F31" s="218">
        <v>231.06</v>
      </c>
      <c r="G31" s="254">
        <v>18.739999999999998</v>
      </c>
      <c r="H31" s="39"/>
      <c r="I31" s="446">
        <v>0</v>
      </c>
      <c r="J31" s="458">
        <v>5.0100000000000003E-6</v>
      </c>
      <c r="K31" s="118">
        <v>7.0660000000000004E-7</v>
      </c>
      <c r="L31" s="455">
        <v>396826.5</v>
      </c>
      <c r="M31" s="249">
        <v>194533.28</v>
      </c>
    </row>
    <row r="32" spans="1:13" ht="15.75" x14ac:dyDescent="0.25">
      <c r="A32" s="39"/>
      <c r="B32" s="482"/>
      <c r="C32" s="224">
        <v>0.01</v>
      </c>
      <c r="D32" s="225">
        <v>1.9758999999999999E-2</v>
      </c>
      <c r="E32" s="93">
        <v>1.3917070000000001E-4</v>
      </c>
      <c r="F32" s="226">
        <v>1779.36</v>
      </c>
      <c r="G32" s="10">
        <v>182.43</v>
      </c>
      <c r="H32" s="39"/>
    </row>
    <row r="33" spans="1:13" x14ac:dyDescent="0.25">
      <c r="A33" s="39"/>
      <c r="B33" s="482"/>
      <c r="C33" s="37">
        <v>1E-3</v>
      </c>
      <c r="D33" s="93">
        <v>1.9797999999999999E-3</v>
      </c>
      <c r="E33" s="151">
        <v>4.4448099999999999E-5</v>
      </c>
      <c r="F33" s="219">
        <v>13119.02</v>
      </c>
      <c r="G33" s="229">
        <v>1842.72</v>
      </c>
      <c r="I33" s="45" t="s">
        <v>172</v>
      </c>
    </row>
    <row r="34" spans="1:13" x14ac:dyDescent="0.25">
      <c r="A34" s="39"/>
      <c r="B34" s="482"/>
      <c r="C34" s="37">
        <v>1E-4</v>
      </c>
      <c r="D34" s="93">
        <v>1.9934999999999999E-4</v>
      </c>
      <c r="E34" s="151">
        <v>1.4107000000000001E-5</v>
      </c>
      <c r="F34" s="219">
        <v>84992.66</v>
      </c>
      <c r="G34" s="229">
        <v>19019.72</v>
      </c>
      <c r="I34" s="251">
        <v>9.9999999999999995E-7</v>
      </c>
      <c r="J34" s="459">
        <v>2.0099999999999998E-6</v>
      </c>
      <c r="K34" s="118">
        <v>4.4519999999999999E-7</v>
      </c>
      <c r="L34" s="252">
        <v>3328070.07</v>
      </c>
      <c r="M34" s="252">
        <v>1515954.07</v>
      </c>
    </row>
    <row r="35" spans="1:13" ht="15.75" x14ac:dyDescent="0.25">
      <c r="A35" s="39"/>
      <c r="B35" s="482"/>
      <c r="C35" s="29">
        <v>1.0000000000000001E-5</v>
      </c>
      <c r="D35" s="93">
        <v>2.09E-5</v>
      </c>
      <c r="E35" s="151">
        <v>4.5492999999999998E-6</v>
      </c>
      <c r="F35" s="219">
        <v>334745.42</v>
      </c>
      <c r="G35" s="229">
        <v>163842.17000000001</v>
      </c>
      <c r="I35" s="453">
        <v>9.9999999999999995E-8</v>
      </c>
      <c r="J35" s="460">
        <v>5.5000000000000003E-7</v>
      </c>
      <c r="K35" s="118">
        <v>2.294E-7</v>
      </c>
      <c r="L35" s="461">
        <v>3950130.1</v>
      </c>
      <c r="M35" s="252">
        <v>1382330.25</v>
      </c>
    </row>
    <row r="36" spans="1:13" x14ac:dyDescent="0.25">
      <c r="A36" s="39"/>
      <c r="B36" s="482"/>
      <c r="C36" s="202">
        <v>0</v>
      </c>
      <c r="D36" s="205">
        <v>5.1499999999999998E-6</v>
      </c>
      <c r="E36" s="209">
        <v>2.1988E-6</v>
      </c>
      <c r="F36" s="220">
        <v>402390.74</v>
      </c>
      <c r="G36" s="230">
        <v>122260.8</v>
      </c>
      <c r="I36" s="251">
        <v>1E-8</v>
      </c>
      <c r="J36" s="452">
        <v>4.9999999999999998E-7</v>
      </c>
      <c r="K36" s="118">
        <v>2.1820000000000001E-7</v>
      </c>
      <c r="L36" s="252">
        <v>4088090.55</v>
      </c>
      <c r="M36" s="252">
        <v>1892143.26</v>
      </c>
    </row>
    <row r="37" spans="1:13" ht="15.75" x14ac:dyDescent="0.25">
      <c r="A37" s="39"/>
      <c r="B37" s="481">
        <v>100000</v>
      </c>
      <c r="C37" s="200">
        <v>0.1</v>
      </c>
      <c r="D37" s="201">
        <v>0.17637549999999999</v>
      </c>
      <c r="E37" s="210">
        <v>1.2052599000000001E-3</v>
      </c>
      <c r="F37" s="218">
        <v>231.05</v>
      </c>
      <c r="G37" s="228">
        <v>18.79</v>
      </c>
      <c r="I37" s="446">
        <v>0</v>
      </c>
      <c r="J37" s="462">
        <v>4.9999999999999998E-7</v>
      </c>
      <c r="K37" s="118">
        <v>2.2609999999999999E-7</v>
      </c>
      <c r="L37" s="461">
        <v>4030861.68</v>
      </c>
      <c r="M37" s="252">
        <v>1879884.4</v>
      </c>
    </row>
    <row r="38" spans="1:13" ht="15.75" x14ac:dyDescent="0.25">
      <c r="A38" s="39"/>
      <c r="B38" s="482"/>
      <c r="C38" s="224">
        <v>0.01</v>
      </c>
      <c r="D38" s="225">
        <v>1.9868500000000001E-2</v>
      </c>
      <c r="E38" s="93">
        <v>4.4127370000000002E-4</v>
      </c>
      <c r="F38" s="226">
        <v>1779.68</v>
      </c>
      <c r="G38" s="229">
        <v>182.1</v>
      </c>
    </row>
    <row r="39" spans="1:13" x14ac:dyDescent="0.25">
      <c r="A39" s="39"/>
      <c r="B39" s="482"/>
      <c r="C39" s="37">
        <v>1E-3</v>
      </c>
      <c r="D39" s="93">
        <v>1.9530000000000001E-3</v>
      </c>
      <c r="E39" s="151">
        <v>1.3953619999999999E-4</v>
      </c>
      <c r="F39" s="219">
        <v>13098.19</v>
      </c>
      <c r="G39" s="229">
        <v>1827.75</v>
      </c>
    </row>
    <row r="40" spans="1:13" x14ac:dyDescent="0.25">
      <c r="A40" s="39"/>
      <c r="B40" s="482"/>
      <c r="C40" s="37">
        <v>1E-4</v>
      </c>
      <c r="D40" s="93">
        <v>1.9550000000000001E-4</v>
      </c>
      <c r="E40" s="151">
        <v>4.3763600000000002E-5</v>
      </c>
      <c r="F40" s="219">
        <v>83702.11</v>
      </c>
      <c r="G40" s="229">
        <v>17952.87</v>
      </c>
    </row>
    <row r="41" spans="1:13" x14ac:dyDescent="0.25">
      <c r="A41" s="39"/>
      <c r="B41" s="482"/>
      <c r="C41" s="29">
        <v>1.0000000000000001E-5</v>
      </c>
      <c r="D41" s="93">
        <v>2.1500000000000001E-5</v>
      </c>
      <c r="E41" s="151">
        <v>1.3920999999999999E-5</v>
      </c>
      <c r="F41" s="219" t="s">
        <v>12</v>
      </c>
      <c r="G41" s="231" t="s">
        <v>12</v>
      </c>
    </row>
    <row r="42" spans="1:13" x14ac:dyDescent="0.25">
      <c r="A42" s="39"/>
      <c r="B42" s="482"/>
      <c r="C42" s="202">
        <v>0</v>
      </c>
      <c r="D42" s="205">
        <v>5.4999999999999999E-6</v>
      </c>
      <c r="E42" s="209">
        <v>4.9142000000000003E-6</v>
      </c>
      <c r="F42" s="220" t="s">
        <v>12</v>
      </c>
      <c r="G42" s="232" t="s">
        <v>12</v>
      </c>
    </row>
    <row r="43" spans="1:13" x14ac:dyDescent="0.25">
      <c r="A43" s="39"/>
      <c r="B43" s="195"/>
      <c r="C43" s="37"/>
      <c r="D43" s="122"/>
      <c r="E43" s="45"/>
      <c r="F43" s="221"/>
      <c r="G43" s="229"/>
    </row>
    <row r="44" spans="1:13" ht="18.75" x14ac:dyDescent="0.3">
      <c r="A44" s="39"/>
      <c r="B44" s="480" t="s">
        <v>160</v>
      </c>
      <c r="C44" s="478"/>
      <c r="D44" s="478"/>
      <c r="E44" s="478"/>
      <c r="F44" s="478"/>
      <c r="G44" s="478"/>
    </row>
    <row r="45" spans="1:13" ht="30" x14ac:dyDescent="0.25">
      <c r="B45" s="33" t="s">
        <v>3</v>
      </c>
      <c r="C45" s="11" t="s">
        <v>161</v>
      </c>
      <c r="D45" s="98" t="s">
        <v>164</v>
      </c>
      <c r="E45" s="227" t="s">
        <v>163</v>
      </c>
      <c r="F45" s="33" t="s">
        <v>162</v>
      </c>
      <c r="G45" s="213" t="s">
        <v>165</v>
      </c>
    </row>
    <row r="46" spans="1:13" x14ac:dyDescent="0.25">
      <c r="A46" s="9"/>
      <c r="B46" s="481">
        <v>10000000</v>
      </c>
      <c r="C46" s="200">
        <v>0.1</v>
      </c>
      <c r="D46" s="201">
        <v>0.17611080000000001</v>
      </c>
      <c r="E46" s="210">
        <v>1.2045570000000001E-4</v>
      </c>
      <c r="F46" s="218">
        <v>279.38</v>
      </c>
      <c r="G46" s="228">
        <v>18.73</v>
      </c>
    </row>
    <row r="47" spans="1:13" ht="15.75" x14ac:dyDescent="0.25">
      <c r="A47" s="9"/>
      <c r="B47" s="482"/>
      <c r="C47" s="224">
        <v>0.01</v>
      </c>
      <c r="D47" s="225">
        <v>1.9747009999999999E-2</v>
      </c>
      <c r="E47" s="93">
        <v>4.3996599999999998E-5</v>
      </c>
      <c r="F47" s="226">
        <v>2241.77</v>
      </c>
      <c r="G47" s="229">
        <v>182.1</v>
      </c>
    </row>
    <row r="48" spans="1:13" x14ac:dyDescent="0.25">
      <c r="A48" s="9"/>
      <c r="B48" s="482"/>
      <c r="C48" s="37">
        <v>1E-3</v>
      </c>
      <c r="D48" s="93">
        <v>1.9924399999999998E-3</v>
      </c>
      <c r="E48" s="151">
        <v>1.41013E-5</v>
      </c>
      <c r="F48" s="219">
        <v>17745.41</v>
      </c>
      <c r="G48" s="229">
        <v>1822.72</v>
      </c>
    </row>
    <row r="49" spans="1:7" x14ac:dyDescent="0.25">
      <c r="A49" s="9"/>
      <c r="B49" s="482"/>
      <c r="C49" s="37">
        <v>1E-4</v>
      </c>
      <c r="D49" s="93">
        <v>2.0053000000000001E-4</v>
      </c>
      <c r="E49" s="151">
        <v>4.4773000000000003E-6</v>
      </c>
      <c r="F49" s="219">
        <v>131278.21</v>
      </c>
      <c r="G49" s="229">
        <v>18285.29</v>
      </c>
    </row>
    <row r="50" spans="1:7" x14ac:dyDescent="0.25">
      <c r="A50" s="9"/>
      <c r="B50" s="482"/>
      <c r="C50" s="29">
        <v>1.0000000000000001E-5</v>
      </c>
      <c r="D50" s="93">
        <v>1.9850000000000001E-5</v>
      </c>
      <c r="E50" s="151">
        <v>1.4080999999999999E-6</v>
      </c>
      <c r="F50" s="219">
        <v>845456.52</v>
      </c>
      <c r="G50" s="229">
        <v>196179.71</v>
      </c>
    </row>
    <row r="51" spans="1:7" x14ac:dyDescent="0.25">
      <c r="A51" s="9"/>
      <c r="B51" s="482"/>
      <c r="C51" s="202">
        <v>0</v>
      </c>
      <c r="D51" s="205">
        <v>4.9999999999999998E-7</v>
      </c>
      <c r="E51" s="209">
        <v>2.2609999999999999E-7</v>
      </c>
      <c r="F51" s="220">
        <v>4030861.68</v>
      </c>
      <c r="G51" s="230">
        <v>1879884.4</v>
      </c>
    </row>
    <row r="52" spans="1:7" x14ac:dyDescent="0.25">
      <c r="A52" s="9"/>
      <c r="B52" s="481">
        <v>1000000</v>
      </c>
      <c r="C52" s="200">
        <v>0.1</v>
      </c>
      <c r="D52" s="201">
        <v>0.17622255000000001</v>
      </c>
      <c r="E52" s="210">
        <v>3.810091E-4</v>
      </c>
      <c r="F52" s="218">
        <v>279.39</v>
      </c>
      <c r="G52" s="228">
        <v>18.739999999999998</v>
      </c>
    </row>
    <row r="53" spans="1:7" ht="15.75" x14ac:dyDescent="0.25">
      <c r="A53" s="9"/>
      <c r="B53" s="482"/>
      <c r="C53" s="224">
        <v>0.01</v>
      </c>
      <c r="D53" s="225">
        <v>1.9674000000000001E-2</v>
      </c>
      <c r="E53" s="93">
        <v>1.388762E-4</v>
      </c>
      <c r="F53" s="226">
        <v>2241.4499999999998</v>
      </c>
      <c r="G53" s="229">
        <v>182.03</v>
      </c>
    </row>
    <row r="54" spans="1:7" x14ac:dyDescent="0.25">
      <c r="A54" s="9"/>
      <c r="B54" s="482"/>
      <c r="C54" s="37">
        <v>1E-3</v>
      </c>
      <c r="D54" s="93">
        <v>2.00205E-3</v>
      </c>
      <c r="E54" s="151">
        <v>4.4697999999999998E-5</v>
      </c>
      <c r="F54" s="219">
        <v>17746.400000000001</v>
      </c>
      <c r="G54" s="229">
        <v>1813.84</v>
      </c>
    </row>
    <row r="55" spans="1:7" x14ac:dyDescent="0.25">
      <c r="A55" s="9"/>
      <c r="B55" s="482"/>
      <c r="C55" s="37">
        <v>1E-4</v>
      </c>
      <c r="D55" s="93">
        <v>1.9515E-4</v>
      </c>
      <c r="E55" s="151">
        <v>1.3956599999999999E-5</v>
      </c>
      <c r="F55" s="219">
        <v>131385.07999999999</v>
      </c>
      <c r="G55" s="229">
        <v>18503.650000000001</v>
      </c>
    </row>
    <row r="56" spans="1:7" x14ac:dyDescent="0.25">
      <c r="A56" s="9"/>
      <c r="B56" s="482"/>
      <c r="C56" s="29">
        <v>1.0000000000000001E-5</v>
      </c>
      <c r="D56" s="93">
        <v>2.035E-5</v>
      </c>
      <c r="E56" s="151">
        <v>4.4969000000000001E-6</v>
      </c>
      <c r="F56" s="219">
        <v>835965.31</v>
      </c>
      <c r="G56" s="229">
        <v>181505.51</v>
      </c>
    </row>
    <row r="57" spans="1:7" x14ac:dyDescent="0.25">
      <c r="A57" s="9"/>
      <c r="B57" s="482"/>
      <c r="C57" s="203">
        <v>0</v>
      </c>
      <c r="D57" s="205">
        <v>3.4999999999999998E-7</v>
      </c>
      <c r="E57" s="208">
        <v>2.9139999999999998E-7</v>
      </c>
      <c r="F57" s="216" t="s">
        <v>12</v>
      </c>
      <c r="G57" s="232" t="s">
        <v>12</v>
      </c>
    </row>
  </sheetData>
  <mergeCells count="11">
    <mergeCell ref="B2:G2"/>
    <mergeCell ref="B23:G23"/>
    <mergeCell ref="B44:G44"/>
    <mergeCell ref="B46:B51"/>
    <mergeCell ref="B52:B57"/>
    <mergeCell ref="B16:B21"/>
    <mergeCell ref="B4:B9"/>
    <mergeCell ref="B10:B15"/>
    <mergeCell ref="B25:B30"/>
    <mergeCell ref="B31:B36"/>
    <mergeCell ref="B37:B4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6EBCB-6786-444E-8457-62696446A53C}">
  <dimension ref="A1:N55"/>
  <sheetViews>
    <sheetView showGridLines="0" workbookViewId="0">
      <selection activeCell="M31" sqref="M31"/>
    </sheetView>
  </sheetViews>
  <sheetFormatPr defaultColWidth="11.42578125" defaultRowHeight="15" x14ac:dyDescent="0.25"/>
  <cols>
    <col min="1" max="1" width="7.28515625" style="276" bestFit="1" customWidth="1"/>
    <col min="2" max="2" width="9.140625" style="45" bestFit="1" customWidth="1"/>
    <col min="3" max="3" width="10.140625" style="38" bestFit="1" customWidth="1"/>
    <col min="6" max="6" width="10.140625" bestFit="1" customWidth="1"/>
    <col min="7" max="8" width="7" bestFit="1" customWidth="1"/>
    <col min="9" max="9" width="7.28515625" bestFit="1" customWidth="1"/>
    <col min="10" max="11" width="8.42578125" bestFit="1" customWidth="1"/>
    <col min="12" max="15" width="10.140625" bestFit="1" customWidth="1"/>
  </cols>
  <sheetData>
    <row r="1" spans="1:14" ht="15.75" x14ac:dyDescent="0.25">
      <c r="A1" s="277" t="s">
        <v>9</v>
      </c>
      <c r="B1" s="273" t="s">
        <v>11</v>
      </c>
      <c r="C1" s="278" t="s">
        <v>25</v>
      </c>
      <c r="E1" s="108" t="s">
        <v>185</v>
      </c>
    </row>
    <row r="2" spans="1:14" ht="15.75" x14ac:dyDescent="0.25">
      <c r="A2" s="282">
        <v>0</v>
      </c>
      <c r="B2" s="136">
        <v>10</v>
      </c>
      <c r="C2" s="279">
        <v>36.74</v>
      </c>
      <c r="F2" s="2"/>
    </row>
    <row r="3" spans="1:14" ht="18" x14ac:dyDescent="0.25">
      <c r="A3" s="282">
        <v>0</v>
      </c>
      <c r="B3" s="136">
        <v>100</v>
      </c>
      <c r="C3" s="279">
        <v>396.37</v>
      </c>
      <c r="E3" s="330" t="s">
        <v>11</v>
      </c>
      <c r="F3" s="330" t="s">
        <v>176</v>
      </c>
      <c r="G3" s="330" t="s">
        <v>177</v>
      </c>
      <c r="H3" s="330" t="s">
        <v>178</v>
      </c>
      <c r="I3" s="330" t="s">
        <v>179</v>
      </c>
      <c r="J3" s="330" t="s">
        <v>180</v>
      </c>
      <c r="K3" s="330" t="s">
        <v>181</v>
      </c>
      <c r="L3" s="330" t="s">
        <v>182</v>
      </c>
      <c r="M3" s="330" t="s">
        <v>183</v>
      </c>
      <c r="N3" s="330" t="s">
        <v>184</v>
      </c>
    </row>
    <row r="4" spans="1:14" ht="15.75" x14ac:dyDescent="0.25">
      <c r="A4" s="282">
        <v>0</v>
      </c>
      <c r="B4" s="136">
        <v>1000</v>
      </c>
      <c r="C4" s="279">
        <v>4016.64</v>
      </c>
      <c r="E4" s="274">
        <v>10</v>
      </c>
      <c r="F4" s="342">
        <v>9.41</v>
      </c>
      <c r="G4" s="325">
        <v>31.43</v>
      </c>
      <c r="H4" s="328">
        <v>36.64</v>
      </c>
      <c r="I4" s="293">
        <v>37.58</v>
      </c>
      <c r="J4" s="329">
        <v>38.020000000000003</v>
      </c>
      <c r="K4" s="305">
        <v>36.590000000000003</v>
      </c>
      <c r="L4" s="303">
        <v>37.229999999999997</v>
      </c>
      <c r="M4" s="317">
        <v>38.36</v>
      </c>
      <c r="N4" s="280">
        <v>36.74</v>
      </c>
    </row>
    <row r="5" spans="1:14" ht="15.75" x14ac:dyDescent="0.25">
      <c r="A5" s="282">
        <v>0</v>
      </c>
      <c r="B5" s="249">
        <v>10000</v>
      </c>
      <c r="C5" s="280">
        <v>39104.379999999997</v>
      </c>
      <c r="E5" s="274">
        <v>100</v>
      </c>
      <c r="F5" s="342">
        <v>16.2</v>
      </c>
      <c r="G5" s="325">
        <v>85.57</v>
      </c>
      <c r="H5" s="328">
        <v>331.32</v>
      </c>
      <c r="I5" s="293">
        <v>402.31</v>
      </c>
      <c r="J5" s="329">
        <v>397.95</v>
      </c>
      <c r="K5" s="305">
        <v>395.07</v>
      </c>
      <c r="L5" s="303">
        <v>385.9</v>
      </c>
      <c r="M5" s="317">
        <v>403.27</v>
      </c>
      <c r="N5" s="280">
        <v>396.37</v>
      </c>
    </row>
    <row r="6" spans="1:14" ht="15.75" x14ac:dyDescent="0.25">
      <c r="A6" s="282">
        <v>0</v>
      </c>
      <c r="B6" s="249">
        <v>100000</v>
      </c>
      <c r="C6" s="280">
        <v>396826.5</v>
      </c>
      <c r="E6" s="274">
        <v>1000</v>
      </c>
      <c r="F6" s="343">
        <v>22.85</v>
      </c>
      <c r="G6" s="325">
        <v>134.35</v>
      </c>
      <c r="H6" s="328">
        <v>847.43</v>
      </c>
      <c r="I6" s="293">
        <v>3303.59</v>
      </c>
      <c r="J6" s="329">
        <v>3990.92</v>
      </c>
      <c r="K6" s="305">
        <v>3932.11</v>
      </c>
      <c r="L6" s="303">
        <v>3963</v>
      </c>
      <c r="M6" s="317">
        <v>4030</v>
      </c>
      <c r="N6" s="280">
        <v>4016.64</v>
      </c>
    </row>
    <row r="7" spans="1:14" ht="15.75" x14ac:dyDescent="0.25">
      <c r="A7" s="282">
        <v>0</v>
      </c>
      <c r="B7" s="249">
        <v>1000000</v>
      </c>
      <c r="C7" s="281">
        <v>4030861.68</v>
      </c>
      <c r="E7" s="275">
        <v>10000</v>
      </c>
      <c r="F7" s="344">
        <v>29.49</v>
      </c>
      <c r="G7" s="327">
        <v>182.72</v>
      </c>
      <c r="H7" s="328">
        <v>1315.43</v>
      </c>
      <c r="I7" s="293">
        <v>8490.66</v>
      </c>
      <c r="J7" s="329">
        <v>33464.42</v>
      </c>
      <c r="K7" s="305">
        <v>40360.71</v>
      </c>
      <c r="L7" s="303">
        <v>40056.019999999997</v>
      </c>
      <c r="M7" s="317">
        <v>41303</v>
      </c>
      <c r="N7" s="280">
        <v>39104.379999999997</v>
      </c>
    </row>
    <row r="8" spans="1:14" ht="15.75" x14ac:dyDescent="0.25">
      <c r="A8" s="335">
        <v>9.9999999999999995E-8</v>
      </c>
      <c r="B8" s="313">
        <v>10</v>
      </c>
      <c r="C8" s="314">
        <v>38.36</v>
      </c>
      <c r="E8" s="275">
        <v>100000</v>
      </c>
      <c r="F8" s="344">
        <v>36</v>
      </c>
      <c r="G8" s="327">
        <v>231.05</v>
      </c>
      <c r="H8" s="328">
        <v>1778.82</v>
      </c>
      <c r="I8" s="293">
        <v>13133.66</v>
      </c>
      <c r="J8" s="329">
        <v>84842.01</v>
      </c>
      <c r="K8" s="248">
        <v>339954.7</v>
      </c>
      <c r="L8" s="303">
        <v>395547.62</v>
      </c>
      <c r="M8" s="317">
        <v>397261.78</v>
      </c>
      <c r="N8" s="280">
        <v>396826.5</v>
      </c>
    </row>
    <row r="9" spans="1:14" ht="15.75" x14ac:dyDescent="0.25">
      <c r="A9" s="335">
        <v>9.9999999999999995E-8</v>
      </c>
      <c r="B9" s="313">
        <v>100</v>
      </c>
      <c r="C9" s="314">
        <v>403.27</v>
      </c>
      <c r="E9" s="275">
        <v>1000000</v>
      </c>
      <c r="F9" s="344">
        <v>43</v>
      </c>
      <c r="G9" s="327">
        <v>279.38</v>
      </c>
      <c r="H9" s="328">
        <v>2241.77</v>
      </c>
      <c r="I9" s="293">
        <v>17745.41</v>
      </c>
      <c r="J9" s="329">
        <v>131278.21</v>
      </c>
      <c r="K9" s="305">
        <v>845456.52</v>
      </c>
      <c r="L9" s="303">
        <v>3328070.07</v>
      </c>
      <c r="M9" s="317">
        <v>3950130.1</v>
      </c>
      <c r="N9" s="280">
        <v>4030861.68</v>
      </c>
    </row>
    <row r="10" spans="1:14" x14ac:dyDescent="0.25">
      <c r="A10" s="335">
        <v>9.9999999999999995E-8</v>
      </c>
      <c r="B10" s="315">
        <v>1000</v>
      </c>
      <c r="C10" s="314">
        <v>2120.6999999999998</v>
      </c>
    </row>
    <row r="11" spans="1:14" ht="15.75" x14ac:dyDescent="0.25">
      <c r="A11" s="335">
        <v>9.9999999999999995E-8</v>
      </c>
      <c r="B11" s="315">
        <v>10000</v>
      </c>
      <c r="C11" s="326">
        <v>41303</v>
      </c>
    </row>
    <row r="12" spans="1:14" x14ac:dyDescent="0.25">
      <c r="A12" s="335">
        <v>9.9999999999999995E-8</v>
      </c>
      <c r="B12" s="315">
        <v>100000</v>
      </c>
      <c r="C12" s="316">
        <v>397261.78</v>
      </c>
      <c r="E12" s="95"/>
    </row>
    <row r="13" spans="1:14" ht="15.75" x14ac:dyDescent="0.25">
      <c r="A13" s="335">
        <v>9.9999999999999995E-8</v>
      </c>
      <c r="B13" s="315">
        <v>1000000</v>
      </c>
      <c r="C13" s="317">
        <v>3950130.1</v>
      </c>
      <c r="E13" s="95"/>
    </row>
    <row r="14" spans="1:14" x14ac:dyDescent="0.25">
      <c r="A14" s="336">
        <v>9.9999999999999995E-7</v>
      </c>
      <c r="B14" s="299">
        <v>10</v>
      </c>
      <c r="C14" s="300">
        <v>37.229999999999997</v>
      </c>
      <c r="E14" s="95"/>
    </row>
    <row r="15" spans="1:14" x14ac:dyDescent="0.25">
      <c r="A15" s="336">
        <v>9.9999999999999995E-7</v>
      </c>
      <c r="B15" s="299">
        <v>100</v>
      </c>
      <c r="C15" s="300">
        <v>385.9</v>
      </c>
      <c r="E15" s="95"/>
    </row>
    <row r="16" spans="1:14" x14ac:dyDescent="0.25">
      <c r="A16" s="336">
        <v>9.9999999999999995E-7</v>
      </c>
      <c r="B16" s="301">
        <v>1000</v>
      </c>
      <c r="C16" s="300">
        <v>3963</v>
      </c>
      <c r="E16" s="95"/>
    </row>
    <row r="17" spans="1:5" x14ac:dyDescent="0.25">
      <c r="A17" s="336">
        <v>9.9999999999999995E-7</v>
      </c>
      <c r="B17" s="301">
        <v>10000</v>
      </c>
      <c r="C17" s="302">
        <v>40056.019999999997</v>
      </c>
      <c r="E17" s="95"/>
    </row>
    <row r="18" spans="1:5" ht="15.75" x14ac:dyDescent="0.25">
      <c r="A18" s="336">
        <v>9.9999999999999995E-7</v>
      </c>
      <c r="B18" s="301">
        <v>100000</v>
      </c>
      <c r="C18" s="303">
        <v>395547.62</v>
      </c>
      <c r="E18" s="95"/>
    </row>
    <row r="19" spans="1:5" x14ac:dyDescent="0.25">
      <c r="A19" s="336">
        <v>9.9999999999999995E-7</v>
      </c>
      <c r="B19" s="301">
        <v>1000000</v>
      </c>
      <c r="C19" s="302">
        <v>3328070.07</v>
      </c>
      <c r="E19" s="95"/>
    </row>
    <row r="20" spans="1:5" x14ac:dyDescent="0.25">
      <c r="A20" s="337">
        <v>1.0000000000000001E-5</v>
      </c>
      <c r="B20" s="130">
        <v>10</v>
      </c>
      <c r="C20" s="304">
        <v>36.590000000000003</v>
      </c>
      <c r="E20" s="95"/>
    </row>
    <row r="21" spans="1:5" x14ac:dyDescent="0.25">
      <c r="A21" s="337">
        <v>1.0000000000000001E-5</v>
      </c>
      <c r="B21" s="130">
        <v>100</v>
      </c>
      <c r="C21" s="304">
        <v>395.07</v>
      </c>
      <c r="E21" s="95"/>
    </row>
    <row r="22" spans="1:5" ht="15" customHeight="1" x14ac:dyDescent="0.25">
      <c r="A22" s="337">
        <v>1.0000000000000001E-5</v>
      </c>
      <c r="B22" s="130">
        <v>1000</v>
      </c>
      <c r="C22" s="304">
        <v>3932.11</v>
      </c>
    </row>
    <row r="23" spans="1:5" ht="15.75" x14ac:dyDescent="0.25">
      <c r="A23" s="337">
        <v>1.0000000000000001E-5</v>
      </c>
      <c r="B23" s="164">
        <v>10000</v>
      </c>
      <c r="C23" s="305">
        <v>40360.71</v>
      </c>
    </row>
    <row r="24" spans="1:5" ht="15.75" x14ac:dyDescent="0.25">
      <c r="A24" s="337"/>
      <c r="B24" s="233">
        <v>100000</v>
      </c>
      <c r="C24" s="305"/>
    </row>
    <row r="25" spans="1:5" x14ac:dyDescent="0.25">
      <c r="A25" s="337">
        <v>1.0000000000000001E-5</v>
      </c>
      <c r="B25" s="164">
        <v>1000000</v>
      </c>
      <c r="C25" s="306">
        <v>845456.52</v>
      </c>
    </row>
    <row r="26" spans="1:5" x14ac:dyDescent="0.25">
      <c r="A26" s="338">
        <v>1E-4</v>
      </c>
      <c r="B26" s="283">
        <v>10</v>
      </c>
      <c r="C26" s="284">
        <v>38.020000000000003</v>
      </c>
    </row>
    <row r="27" spans="1:5" x14ac:dyDescent="0.25">
      <c r="A27" s="338">
        <v>1E-4</v>
      </c>
      <c r="B27" s="283">
        <v>100</v>
      </c>
      <c r="C27" s="284">
        <v>397.95</v>
      </c>
    </row>
    <row r="28" spans="1:5" ht="15.75" x14ac:dyDescent="0.25">
      <c r="A28" s="338">
        <v>1E-4</v>
      </c>
      <c r="B28" s="283">
        <v>1000</v>
      </c>
      <c r="C28" s="285">
        <v>3990.92</v>
      </c>
    </row>
    <row r="29" spans="1:5" x14ac:dyDescent="0.25">
      <c r="A29" s="338">
        <v>1E-4</v>
      </c>
      <c r="B29" s="286">
        <v>10000</v>
      </c>
      <c r="C29" s="287">
        <v>33464.42</v>
      </c>
    </row>
    <row r="30" spans="1:5" x14ac:dyDescent="0.25">
      <c r="A30" s="338">
        <v>1E-4</v>
      </c>
      <c r="B30" s="286">
        <v>100000</v>
      </c>
      <c r="C30" s="287">
        <v>84842.01</v>
      </c>
    </row>
    <row r="31" spans="1:5" x14ac:dyDescent="0.25">
      <c r="A31" s="338">
        <v>1E-4</v>
      </c>
      <c r="B31" s="286">
        <v>1000000</v>
      </c>
      <c r="C31" s="287">
        <v>131278.21</v>
      </c>
    </row>
    <row r="32" spans="1:5" x14ac:dyDescent="0.25">
      <c r="A32" s="339">
        <v>1E-3</v>
      </c>
      <c r="B32" s="288">
        <v>10</v>
      </c>
      <c r="C32" s="289">
        <v>37.58</v>
      </c>
    </row>
    <row r="33" spans="1:14" ht="15.75" x14ac:dyDescent="0.25">
      <c r="A33" s="339">
        <v>1E-3</v>
      </c>
      <c r="B33" s="288">
        <v>100</v>
      </c>
      <c r="C33" s="290">
        <v>402.31</v>
      </c>
    </row>
    <row r="34" spans="1:14" x14ac:dyDescent="0.25">
      <c r="A34" s="339">
        <v>1E-3</v>
      </c>
      <c r="B34" s="288">
        <v>1000</v>
      </c>
      <c r="C34" s="289">
        <v>3303.59</v>
      </c>
      <c r="F34" s="207"/>
      <c r="G34" s="207"/>
      <c r="H34" s="207"/>
    </row>
    <row r="35" spans="1:14" x14ac:dyDescent="0.25">
      <c r="A35" s="339">
        <v>1E-3</v>
      </c>
      <c r="B35" s="291">
        <v>10000</v>
      </c>
      <c r="C35" s="292">
        <v>8490.66</v>
      </c>
      <c r="F35" s="207"/>
      <c r="G35" s="207"/>
      <c r="H35" s="207"/>
      <c r="I35" s="207"/>
    </row>
    <row r="36" spans="1:14" ht="15.75" x14ac:dyDescent="0.25">
      <c r="A36" s="339">
        <v>1E-3</v>
      </c>
      <c r="B36" s="291">
        <v>100000</v>
      </c>
      <c r="C36" s="292">
        <v>13133.66</v>
      </c>
      <c r="F36" s="37"/>
      <c r="G36" s="37"/>
      <c r="H36" s="311"/>
      <c r="I36" s="312"/>
    </row>
    <row r="37" spans="1:14" x14ac:dyDescent="0.25">
      <c r="A37" s="339">
        <v>1E-3</v>
      </c>
      <c r="B37" s="291">
        <v>1000000</v>
      </c>
      <c r="C37" s="292">
        <v>17745.41</v>
      </c>
      <c r="F37" s="37"/>
      <c r="G37" s="37"/>
      <c r="H37" s="311"/>
      <c r="I37" s="311"/>
    </row>
    <row r="38" spans="1:14" ht="15.75" x14ac:dyDescent="0.25">
      <c r="A38" s="340">
        <v>0.01</v>
      </c>
      <c r="B38" s="294">
        <v>10</v>
      </c>
      <c r="C38" s="295">
        <v>36.64</v>
      </c>
      <c r="F38" s="37"/>
      <c r="G38" s="37"/>
      <c r="H38" s="311"/>
      <c r="I38" s="311"/>
    </row>
    <row r="39" spans="1:14" x14ac:dyDescent="0.25">
      <c r="A39" s="340">
        <v>0.01</v>
      </c>
      <c r="B39" s="294">
        <v>100</v>
      </c>
      <c r="C39" s="296">
        <v>331.32</v>
      </c>
      <c r="F39" s="3"/>
      <c r="G39" s="3"/>
      <c r="H39" s="73"/>
      <c r="I39" s="3"/>
      <c r="J39" s="73"/>
      <c r="K39" s="74"/>
      <c r="L39" s="74"/>
      <c r="M39" s="334"/>
      <c r="N39" s="73"/>
    </row>
    <row r="40" spans="1:14" x14ac:dyDescent="0.25">
      <c r="A40" s="340">
        <v>0.01</v>
      </c>
      <c r="B40" s="294">
        <v>1000</v>
      </c>
      <c r="C40" s="296">
        <v>847.43</v>
      </c>
      <c r="F40" s="3"/>
      <c r="G40" s="3"/>
      <c r="H40" s="9"/>
      <c r="I40" s="67"/>
      <c r="J40" s="10"/>
      <c r="K40" s="74"/>
      <c r="L40" s="74"/>
      <c r="M40" s="334"/>
      <c r="N40" s="73"/>
    </row>
    <row r="41" spans="1:14" x14ac:dyDescent="0.25">
      <c r="A41" s="340">
        <v>0.01</v>
      </c>
      <c r="B41" s="297">
        <v>10000</v>
      </c>
      <c r="C41" s="298">
        <v>1315.43</v>
      </c>
      <c r="F41" s="39"/>
      <c r="G41" s="39"/>
      <c r="H41" s="219"/>
      <c r="I41" s="219"/>
    </row>
    <row r="42" spans="1:14" x14ac:dyDescent="0.25">
      <c r="A42" s="340">
        <v>0.01</v>
      </c>
      <c r="B42" s="297">
        <v>100000</v>
      </c>
      <c r="C42" s="298">
        <v>1778.82</v>
      </c>
    </row>
    <row r="43" spans="1:14" x14ac:dyDescent="0.25">
      <c r="A43" s="340">
        <v>0.01</v>
      </c>
      <c r="B43" s="297">
        <v>1000000</v>
      </c>
      <c r="C43" s="298">
        <v>2241.77</v>
      </c>
    </row>
    <row r="44" spans="1:14" x14ac:dyDescent="0.25">
      <c r="A44" s="341">
        <v>0.1</v>
      </c>
      <c r="B44" s="307">
        <v>10</v>
      </c>
      <c r="C44" s="308">
        <v>31.43</v>
      </c>
    </row>
    <row r="45" spans="1:14" x14ac:dyDescent="0.25">
      <c r="A45" s="341">
        <v>0.1</v>
      </c>
      <c r="B45" s="307">
        <v>100</v>
      </c>
      <c r="C45" s="308">
        <v>85.57</v>
      </c>
    </row>
    <row r="46" spans="1:14" x14ac:dyDescent="0.25">
      <c r="A46" s="341">
        <v>0.1</v>
      </c>
      <c r="B46" s="307">
        <v>1000</v>
      </c>
      <c r="C46" s="308">
        <v>134.35</v>
      </c>
    </row>
    <row r="47" spans="1:14" x14ac:dyDescent="0.25">
      <c r="A47" s="341">
        <v>0.1</v>
      </c>
      <c r="B47" s="309">
        <v>10000</v>
      </c>
      <c r="C47" s="310">
        <v>182.72</v>
      </c>
    </row>
    <row r="48" spans="1:14" x14ac:dyDescent="0.25">
      <c r="A48" s="341">
        <v>0.1</v>
      </c>
      <c r="B48" s="309">
        <v>100000</v>
      </c>
      <c r="C48" s="310">
        <v>231.05</v>
      </c>
    </row>
    <row r="49" spans="1:3" x14ac:dyDescent="0.25">
      <c r="A49" s="341">
        <v>0.1</v>
      </c>
      <c r="B49" s="309">
        <v>1000000</v>
      </c>
      <c r="C49" s="310">
        <v>279.38</v>
      </c>
    </row>
    <row r="50" spans="1:3" x14ac:dyDescent="0.25">
      <c r="A50" s="318">
        <v>1</v>
      </c>
      <c r="B50" s="319">
        <v>10</v>
      </c>
      <c r="C50" s="320">
        <v>9.41</v>
      </c>
    </row>
    <row r="51" spans="1:3" x14ac:dyDescent="0.25">
      <c r="A51" s="318">
        <v>1</v>
      </c>
      <c r="B51" s="319">
        <v>100</v>
      </c>
      <c r="C51" s="320">
        <v>16.2</v>
      </c>
    </row>
    <row r="52" spans="1:3" x14ac:dyDescent="0.25">
      <c r="A52" s="318">
        <v>1</v>
      </c>
      <c r="B52" s="319">
        <v>1000</v>
      </c>
      <c r="C52" s="321">
        <v>22.85</v>
      </c>
    </row>
    <row r="53" spans="1:3" x14ac:dyDescent="0.25">
      <c r="A53" s="318">
        <v>1</v>
      </c>
      <c r="B53" s="322">
        <v>10000</v>
      </c>
      <c r="C53" s="323">
        <v>29.49</v>
      </c>
    </row>
    <row r="54" spans="1:3" x14ac:dyDescent="0.25">
      <c r="A54" s="318">
        <v>1</v>
      </c>
      <c r="B54" s="322">
        <v>100000</v>
      </c>
      <c r="C54" s="324">
        <v>36</v>
      </c>
    </row>
    <row r="55" spans="1:3" x14ac:dyDescent="0.25">
      <c r="A55" s="318">
        <v>1</v>
      </c>
      <c r="B55" s="322">
        <v>1000000</v>
      </c>
      <c r="C55" s="324">
        <v>43</v>
      </c>
    </row>
  </sheetData>
  <sortState xmlns:xlrd2="http://schemas.microsoft.com/office/spreadsheetml/2017/richdata2" ref="A2:C53">
    <sortCondition ref="A2:A53"/>
    <sortCondition ref="B2:B53"/>
  </sortState>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DC915-66E5-490A-808C-65F126158B7F}">
  <dimension ref="A1:J71"/>
  <sheetViews>
    <sheetView workbookViewId="0">
      <pane ySplit="1" topLeftCell="A2" activePane="bottomLeft" state="frozen"/>
      <selection pane="bottomLeft" activeCell="M10" sqref="M10"/>
    </sheetView>
  </sheetViews>
  <sheetFormatPr defaultColWidth="9.140625" defaultRowHeight="15" x14ac:dyDescent="0.25"/>
  <cols>
    <col min="1" max="1" width="7.85546875" style="9" customWidth="1"/>
    <col min="2" max="2" width="10.28515625" bestFit="1" customWidth="1"/>
    <col min="3" max="3" width="9.140625" style="2"/>
    <col min="4" max="4" width="9.28515625" style="18" bestFit="1" customWidth="1"/>
    <col min="6" max="6" width="12.5703125" bestFit="1" customWidth="1"/>
    <col min="7" max="8" width="9.140625" style="2"/>
    <col min="10" max="10" width="55.140625" bestFit="1" customWidth="1"/>
  </cols>
  <sheetData>
    <row r="1" spans="1:10" ht="45" x14ac:dyDescent="0.25">
      <c r="A1" s="16" t="s">
        <v>11</v>
      </c>
      <c r="B1" s="11" t="s">
        <v>9</v>
      </c>
      <c r="C1" s="33" t="s">
        <v>3</v>
      </c>
      <c r="D1" s="22" t="s">
        <v>27</v>
      </c>
      <c r="E1" s="16" t="s">
        <v>25</v>
      </c>
      <c r="F1" s="28" t="s">
        <v>33</v>
      </c>
      <c r="G1" s="2" t="s">
        <v>61</v>
      </c>
      <c r="H1" s="2" t="s">
        <v>62</v>
      </c>
    </row>
    <row r="2" spans="1:10" x14ac:dyDescent="0.25">
      <c r="A2" s="75">
        <v>10</v>
      </c>
      <c r="B2" s="78">
        <v>-0.3</v>
      </c>
      <c r="C2" s="73">
        <v>1000</v>
      </c>
      <c r="D2" s="74">
        <v>0</v>
      </c>
      <c r="E2" s="75" t="s">
        <v>12</v>
      </c>
      <c r="F2" s="47">
        <v>5.0513035255442553E-6</v>
      </c>
      <c r="J2" t="s">
        <v>63</v>
      </c>
    </row>
    <row r="3" spans="1:10" x14ac:dyDescent="0.25">
      <c r="A3" s="75"/>
      <c r="B3" s="79">
        <v>-0.2</v>
      </c>
      <c r="C3" s="73">
        <v>1000</v>
      </c>
      <c r="D3" s="80">
        <v>1E-4</v>
      </c>
      <c r="E3" s="75" t="s">
        <v>12</v>
      </c>
      <c r="F3" s="47">
        <v>1.6504417168965388E-4</v>
      </c>
      <c r="G3" s="2">
        <f>2/10</f>
        <v>0.2</v>
      </c>
      <c r="H3" s="2">
        <f>1/10</f>
        <v>0.1</v>
      </c>
      <c r="J3" t="s">
        <v>64</v>
      </c>
    </row>
    <row r="4" spans="1:10" x14ac:dyDescent="0.25">
      <c r="A4" s="2"/>
      <c r="B4">
        <v>-0.1</v>
      </c>
      <c r="C4" s="2">
        <v>1000</v>
      </c>
      <c r="D4" s="76">
        <v>2.9499999999999999E-3</v>
      </c>
      <c r="E4" s="5">
        <v>32.590000000000003</v>
      </c>
      <c r="F4" s="47">
        <v>4.1307910445278042E-3</v>
      </c>
      <c r="J4" t="s">
        <v>65</v>
      </c>
    </row>
    <row r="5" spans="1:10" x14ac:dyDescent="0.25">
      <c r="A5" s="2"/>
      <c r="B5">
        <v>-0.05</v>
      </c>
      <c r="C5" s="2">
        <v>1000</v>
      </c>
      <c r="D5" s="76">
        <v>1.7149999999999999E-2</v>
      </c>
      <c r="E5" s="5">
        <v>34.380000000000003</v>
      </c>
      <c r="F5" s="47">
        <v>1.6461104183018584E-2</v>
      </c>
      <c r="J5" t="s">
        <v>66</v>
      </c>
    </row>
    <row r="6" spans="1:10" x14ac:dyDescent="0.25">
      <c r="A6" s="2"/>
      <c r="B6" s="89">
        <v>-0.01</v>
      </c>
      <c r="C6" s="2">
        <v>1000</v>
      </c>
      <c r="D6" s="88">
        <v>4.1500000000000002E-2</v>
      </c>
      <c r="E6" s="5">
        <v>37.409999999999997</v>
      </c>
      <c r="F6" s="47">
        <v>4.1074269193147217E-2</v>
      </c>
      <c r="H6" s="94">
        <f>1/(10*10)</f>
        <v>0.01</v>
      </c>
      <c r="J6" t="s">
        <v>67</v>
      </c>
    </row>
    <row r="7" spans="1:10" x14ac:dyDescent="0.25">
      <c r="A7" s="2"/>
      <c r="B7">
        <v>-5.0000000000000001E-3</v>
      </c>
      <c r="C7" s="2">
        <v>1000</v>
      </c>
      <c r="D7" s="76">
        <v>4.5699999999999998E-2</v>
      </c>
      <c r="E7" s="5">
        <v>37.799999999999997</v>
      </c>
      <c r="F7" s="47">
        <v>4.5393143101213472E-2</v>
      </c>
      <c r="J7" t="s">
        <v>68</v>
      </c>
    </row>
    <row r="8" spans="1:10" x14ac:dyDescent="0.25">
      <c r="A8" s="2"/>
      <c r="B8" s="45">
        <v>-1E-3</v>
      </c>
      <c r="C8" s="37">
        <v>1000</v>
      </c>
      <c r="D8" s="95">
        <v>4.9599999999999998E-2</v>
      </c>
      <c r="E8" s="5">
        <v>36.49</v>
      </c>
      <c r="F8" s="47">
        <v>4.9055705842838547E-2</v>
      </c>
      <c r="J8" t="s">
        <v>69</v>
      </c>
    </row>
    <row r="9" spans="1:10" x14ac:dyDescent="0.25">
      <c r="A9" s="2"/>
      <c r="B9">
        <v>-5.0000000000000001E-4</v>
      </c>
      <c r="C9" s="2">
        <v>1000</v>
      </c>
      <c r="D9" s="76">
        <v>4.8050000000000002E-2</v>
      </c>
      <c r="E9" s="5">
        <v>36.770000000000003</v>
      </c>
      <c r="F9" s="47">
        <v>4.9526425741226406E-2</v>
      </c>
    </row>
    <row r="10" spans="1:10" x14ac:dyDescent="0.25">
      <c r="A10" s="2"/>
      <c r="B10">
        <v>-1E-4</v>
      </c>
      <c r="C10" s="2">
        <v>1000</v>
      </c>
      <c r="D10" s="76">
        <v>5.0349999999999999E-2</v>
      </c>
      <c r="E10" s="5">
        <v>36.92</v>
      </c>
      <c r="F10" s="47">
        <v>4.9905057006012866E-2</v>
      </c>
      <c r="J10" t="s">
        <v>70</v>
      </c>
    </row>
    <row r="11" spans="1:10" x14ac:dyDescent="0.25">
      <c r="A11" s="2"/>
      <c r="B11" s="63">
        <v>-5.0000000000000002E-5</v>
      </c>
      <c r="C11" s="2">
        <v>1000</v>
      </c>
      <c r="D11" s="76">
        <v>5.0099999999999999E-2</v>
      </c>
      <c r="E11" s="5">
        <v>37.799999999999997</v>
      </c>
      <c r="F11" s="47">
        <v>4.9952514250771705E-2</v>
      </c>
      <c r="J11" t="s">
        <v>71</v>
      </c>
    </row>
    <row r="12" spans="1:10" x14ac:dyDescent="0.25">
      <c r="A12" s="2"/>
      <c r="B12" s="63">
        <v>-1.0000000000000001E-5</v>
      </c>
      <c r="C12" s="2">
        <v>1000</v>
      </c>
      <c r="D12" s="76">
        <v>4.8899999999999999E-2</v>
      </c>
      <c r="E12" s="5">
        <v>36.49</v>
      </c>
      <c r="F12" s="47">
        <v>4.9990500569805765E-2</v>
      </c>
      <c r="J12" t="s">
        <v>72</v>
      </c>
    </row>
    <row r="13" spans="1:10" x14ac:dyDescent="0.25">
      <c r="A13" s="2"/>
      <c r="B13" s="63">
        <v>-5.0000000000000004E-6</v>
      </c>
      <c r="C13" s="2">
        <v>1000</v>
      </c>
      <c r="D13" s="76">
        <v>4.7750000000000001E-2</v>
      </c>
      <c r="E13" s="5">
        <v>37.18</v>
      </c>
      <c r="F13" s="47">
        <v>4.9995250142001631E-2</v>
      </c>
      <c r="J13" t="s">
        <v>73</v>
      </c>
    </row>
    <row r="14" spans="1:10" x14ac:dyDescent="0.25">
      <c r="A14" s="2"/>
      <c r="B14" s="63">
        <v>-9.9999999999999995E-7</v>
      </c>
      <c r="C14" s="2">
        <v>1000</v>
      </c>
      <c r="D14" s="76">
        <v>0.05</v>
      </c>
      <c r="E14" s="5">
        <v>37.880000000000003</v>
      </c>
      <c r="F14" s="47">
        <v>4.9999050005876414E-2</v>
      </c>
      <c r="J14" t="s">
        <v>74</v>
      </c>
    </row>
    <row r="15" spans="1:10" x14ac:dyDescent="0.25">
      <c r="A15" s="2"/>
      <c r="B15">
        <v>0</v>
      </c>
      <c r="C15" s="2">
        <v>1000</v>
      </c>
      <c r="D15" s="76">
        <v>4.7849999999999997E-2</v>
      </c>
      <c r="E15" s="5">
        <v>38.36</v>
      </c>
      <c r="F15" s="58"/>
      <c r="J15" t="s">
        <v>75</v>
      </c>
    </row>
    <row r="16" spans="1:10" x14ac:dyDescent="0.25">
      <c r="A16" s="2"/>
      <c r="C16" s="9" t="s">
        <v>60</v>
      </c>
      <c r="D16" s="87">
        <v>0.05</v>
      </c>
      <c r="E16" s="5">
        <v>40</v>
      </c>
    </row>
    <row r="17" spans="1:8" ht="30" x14ac:dyDescent="0.25">
      <c r="A17" s="16" t="s">
        <v>11</v>
      </c>
      <c r="B17" s="11" t="s">
        <v>9</v>
      </c>
      <c r="C17" s="33" t="s">
        <v>3</v>
      </c>
      <c r="D17" s="22" t="s">
        <v>27</v>
      </c>
      <c r="E17" s="16" t="s">
        <v>25</v>
      </c>
    </row>
    <row r="18" spans="1:8" x14ac:dyDescent="0.25">
      <c r="A18" s="2">
        <v>100</v>
      </c>
      <c r="B18">
        <v>-0.1</v>
      </c>
      <c r="C18" s="9">
        <v>10000</v>
      </c>
      <c r="D18" s="18">
        <v>0</v>
      </c>
      <c r="E18" s="5" t="s">
        <v>12</v>
      </c>
      <c r="F18" s="47">
        <v>9.4059734976305212E-19</v>
      </c>
    </row>
    <row r="19" spans="1:8" x14ac:dyDescent="0.25">
      <c r="A19" s="2"/>
      <c r="B19">
        <v>-0.05</v>
      </c>
      <c r="C19" s="9">
        <v>10000</v>
      </c>
      <c r="D19" s="18">
        <v>0</v>
      </c>
      <c r="E19" s="5" t="s">
        <v>12</v>
      </c>
      <c r="F19" s="47">
        <v>2.167734192136134E-10</v>
      </c>
    </row>
    <row r="20" spans="1:8" x14ac:dyDescent="0.25">
      <c r="A20" s="2"/>
      <c r="B20" s="82">
        <v>-0.01</v>
      </c>
      <c r="C20" s="9">
        <v>10000</v>
      </c>
      <c r="D20" s="81">
        <v>4.6999999999999999E-4</v>
      </c>
      <c r="E20" s="5" t="s">
        <v>12</v>
      </c>
      <c r="F20" s="47">
        <v>3.7690368071031542E-4</v>
      </c>
      <c r="G20" s="2">
        <f>2/100</f>
        <v>0.02</v>
      </c>
      <c r="H20" s="67">
        <f>1/100</f>
        <v>0.01</v>
      </c>
    </row>
    <row r="21" spans="1:8" x14ac:dyDescent="0.25">
      <c r="A21" s="2"/>
      <c r="B21">
        <v>-5.0000000000000001E-3</v>
      </c>
      <c r="C21" s="9">
        <v>10000</v>
      </c>
      <c r="D21" s="18">
        <v>1.6299999999999999E-3</v>
      </c>
      <c r="E21" s="5">
        <v>365.55</v>
      </c>
      <c r="F21" s="47">
        <v>1.5730284612542479E-3</v>
      </c>
    </row>
    <row r="22" spans="1:8" x14ac:dyDescent="0.25">
      <c r="A22" s="2"/>
      <c r="B22" s="89">
        <v>-1E-3</v>
      </c>
      <c r="C22" s="9">
        <v>10000</v>
      </c>
      <c r="D22" s="91">
        <v>4.0699999999999998E-3</v>
      </c>
      <c r="E22" s="5">
        <v>393.84</v>
      </c>
      <c r="F22" s="47">
        <v>4.0705587653520666E-3</v>
      </c>
      <c r="H22" s="94">
        <f>1/(10*100)</f>
        <v>1E-3</v>
      </c>
    </row>
    <row r="23" spans="1:8" x14ac:dyDescent="0.25">
      <c r="A23" s="2"/>
      <c r="B23">
        <v>-5.0000000000000001E-4</v>
      </c>
      <c r="C23" s="9">
        <v>10000</v>
      </c>
      <c r="D23" s="18">
        <v>4.4999999999999997E-3</v>
      </c>
      <c r="E23" s="5">
        <v>395.73</v>
      </c>
      <c r="F23" s="47">
        <v>4.5189146468744114E-3</v>
      </c>
    </row>
    <row r="24" spans="1:8" x14ac:dyDescent="0.25">
      <c r="A24" s="2"/>
      <c r="B24">
        <v>-1E-4</v>
      </c>
      <c r="C24" s="9">
        <v>10000</v>
      </c>
      <c r="D24" s="18">
        <v>5.195E-3</v>
      </c>
      <c r="E24" s="5">
        <v>398.09</v>
      </c>
      <c r="F24" s="47">
        <v>4.9011567482285818E-3</v>
      </c>
    </row>
    <row r="25" spans="1:8" x14ac:dyDescent="0.25">
      <c r="A25" s="2"/>
      <c r="B25" s="77">
        <v>-5.0000000000000002E-5</v>
      </c>
      <c r="C25" s="9">
        <v>10000</v>
      </c>
      <c r="D25" s="18">
        <v>4.895E-3</v>
      </c>
      <c r="E25" s="5">
        <v>393.63</v>
      </c>
      <c r="F25" s="47">
        <v>4.9504141821414783E-3</v>
      </c>
    </row>
    <row r="26" spans="1:8" x14ac:dyDescent="0.25">
      <c r="A26" s="2"/>
      <c r="B26" s="86">
        <v>-1.0000000000000001E-5</v>
      </c>
      <c r="C26" s="9">
        <v>10000</v>
      </c>
      <c r="D26" s="85">
        <v>4.8149999999999998E-3</v>
      </c>
      <c r="E26" s="5">
        <v>393.4</v>
      </c>
      <c r="F26" s="47">
        <v>4.9900565670453279E-3</v>
      </c>
    </row>
    <row r="27" spans="1:8" x14ac:dyDescent="0.25">
      <c r="A27" s="2"/>
      <c r="B27" s="77">
        <v>-5.0000000000000004E-6</v>
      </c>
      <c r="C27" s="9">
        <v>10000</v>
      </c>
      <c r="D27" s="18">
        <v>5.0699999999999999E-3</v>
      </c>
      <c r="E27" s="5">
        <v>379.08</v>
      </c>
      <c r="F27" s="47">
        <v>4.9950266417095887E-3</v>
      </c>
    </row>
    <row r="28" spans="1:8" x14ac:dyDescent="0.25">
      <c r="A28" s="2"/>
      <c r="B28" s="77">
        <v>-9.9999999999999995E-7</v>
      </c>
      <c r="C28" s="9">
        <v>10000</v>
      </c>
      <c r="D28" s="18">
        <v>5.195E-3</v>
      </c>
      <c r="E28" s="5">
        <v>408.28</v>
      </c>
      <c r="F28" s="47">
        <v>4.9990050656987537E-3</v>
      </c>
    </row>
    <row r="29" spans="1:8" x14ac:dyDescent="0.25">
      <c r="A29" s="2"/>
      <c r="B29">
        <v>0</v>
      </c>
      <c r="C29" s="9">
        <v>10000</v>
      </c>
      <c r="D29" s="18">
        <v>5.1549999999999999E-3</v>
      </c>
      <c r="E29" s="5">
        <v>387.82</v>
      </c>
      <c r="F29" s="58"/>
    </row>
    <row r="30" spans="1:8" x14ac:dyDescent="0.25">
      <c r="B30" s="2"/>
      <c r="C30" s="9" t="s">
        <v>60</v>
      </c>
      <c r="D30" s="90">
        <v>5.0000000000000001E-3</v>
      </c>
      <c r="E30" s="5">
        <v>400</v>
      </c>
    </row>
    <row r="31" spans="1:8" x14ac:dyDescent="0.25">
      <c r="B31" s="3"/>
      <c r="C31" s="73"/>
      <c r="D31" s="74"/>
      <c r="E31" s="75"/>
      <c r="F31" s="28"/>
    </row>
    <row r="32" spans="1:8" x14ac:dyDescent="0.25">
      <c r="A32" s="9">
        <v>1000</v>
      </c>
      <c r="B32">
        <v>-5.0000000000000001E-3</v>
      </c>
      <c r="C32" s="9">
        <v>100000</v>
      </c>
      <c r="D32" s="69">
        <v>0</v>
      </c>
      <c r="E32" s="5" t="s">
        <v>12</v>
      </c>
      <c r="F32" s="47">
        <v>9.4059734976305212E-19</v>
      </c>
    </row>
    <row r="33" spans="1:8" x14ac:dyDescent="0.25">
      <c r="B33" s="83">
        <v>-1E-3</v>
      </c>
      <c r="C33" s="9">
        <v>100000</v>
      </c>
      <c r="D33" s="81">
        <v>2.8500000000000002E-5</v>
      </c>
      <c r="E33" s="5" t="s">
        <v>12</v>
      </c>
      <c r="F33" s="47">
        <v>2.167734192136134E-10</v>
      </c>
      <c r="G33" s="2">
        <f>2/1000</f>
        <v>2E-3</v>
      </c>
      <c r="H33" s="67">
        <f>1/1000</f>
        <v>1E-3</v>
      </c>
    </row>
    <row r="34" spans="1:8" x14ac:dyDescent="0.25">
      <c r="B34">
        <v>-5.0000000000000001E-4</v>
      </c>
      <c r="C34" s="9">
        <v>100000</v>
      </c>
      <c r="D34" s="18">
        <v>1.5899999999999999E-4</v>
      </c>
      <c r="E34" s="5">
        <v>3685.98</v>
      </c>
      <c r="F34" s="47">
        <v>3.7690368071031542E-4</v>
      </c>
    </row>
    <row r="35" spans="1:8" x14ac:dyDescent="0.25">
      <c r="B35" s="89">
        <v>-1E-4</v>
      </c>
      <c r="C35" s="9">
        <v>100000</v>
      </c>
      <c r="D35" s="91">
        <v>4.0000000000000002E-4</v>
      </c>
      <c r="E35" s="5">
        <v>4048.53</v>
      </c>
      <c r="F35" s="47">
        <v>1.5730284612542479E-3</v>
      </c>
      <c r="H35" s="94">
        <f>1/(10*1000)</f>
        <v>1E-4</v>
      </c>
    </row>
    <row r="36" spans="1:8" x14ac:dyDescent="0.25">
      <c r="B36">
        <v>-1E-4</v>
      </c>
      <c r="C36" s="9">
        <v>100000</v>
      </c>
      <c r="D36" s="18">
        <v>4.1149999999999997E-4</v>
      </c>
      <c r="E36" s="5">
        <v>4046.7</v>
      </c>
      <c r="F36" s="47">
        <v>4.0705587653520666E-3</v>
      </c>
    </row>
    <row r="37" spans="1:8" x14ac:dyDescent="0.25">
      <c r="B37">
        <v>-5.0000000000000001E-4</v>
      </c>
      <c r="C37" s="9">
        <v>100000</v>
      </c>
      <c r="D37" s="18">
        <v>1.5449999999999999E-4</v>
      </c>
      <c r="E37" s="5">
        <v>3718</v>
      </c>
      <c r="F37" s="47">
        <v>4.5189146468744114E-3</v>
      </c>
    </row>
    <row r="38" spans="1:8" x14ac:dyDescent="0.25">
      <c r="B38" s="93">
        <v>-1.0000000000000001E-5</v>
      </c>
      <c r="C38" s="39">
        <v>100000</v>
      </c>
      <c r="D38" s="29">
        <v>4.8950000000000003E-4</v>
      </c>
      <c r="E38" s="5">
        <v>4020.81</v>
      </c>
      <c r="F38" s="47">
        <v>4.9011567482285818E-3</v>
      </c>
    </row>
    <row r="39" spans="1:8" x14ac:dyDescent="0.25">
      <c r="B39" s="77">
        <v>-5.0000000000000002E-5</v>
      </c>
      <c r="C39" s="9">
        <v>100000</v>
      </c>
      <c r="D39" s="18">
        <v>4.3899999999999999E-4</v>
      </c>
      <c r="E39" s="5">
        <v>3880.95</v>
      </c>
      <c r="F39" s="47">
        <v>4.9504141821414783E-3</v>
      </c>
    </row>
    <row r="40" spans="1:8" x14ac:dyDescent="0.25">
      <c r="B40">
        <v>0</v>
      </c>
      <c r="C40" s="9">
        <v>100000</v>
      </c>
      <c r="D40" s="18">
        <v>4.8799999999999999E-4</v>
      </c>
      <c r="E40" s="5">
        <v>4054.75</v>
      </c>
      <c r="F40" s="58">
        <v>4.9900565670453279E-3</v>
      </c>
    </row>
    <row r="41" spans="1:8" x14ac:dyDescent="0.25">
      <c r="C41" s="9" t="s">
        <v>60</v>
      </c>
      <c r="D41" s="76">
        <f>1/(2*1000)</f>
        <v>5.0000000000000001E-4</v>
      </c>
      <c r="E41" s="5">
        <v>4000</v>
      </c>
      <c r="F41" s="4"/>
    </row>
    <row r="42" spans="1:8" x14ac:dyDescent="0.25">
      <c r="C42" s="9"/>
      <c r="E42" s="5"/>
      <c r="F42" s="4"/>
    </row>
    <row r="43" spans="1:8" x14ac:dyDescent="0.25">
      <c r="F43">
        <v>4.9990050656987537E-3</v>
      </c>
    </row>
    <row r="44" spans="1:8" x14ac:dyDescent="0.25">
      <c r="A44" s="9">
        <v>10000</v>
      </c>
      <c r="B44">
        <v>-1E-3</v>
      </c>
      <c r="C44" s="9">
        <v>1000000</v>
      </c>
      <c r="D44" s="18">
        <v>0</v>
      </c>
      <c r="E44" s="5" t="s">
        <v>12</v>
      </c>
      <c r="F44" s="36">
        <v>8.505210886399624E-21</v>
      </c>
    </row>
    <row r="45" spans="1:8" x14ac:dyDescent="0.25">
      <c r="B45">
        <v>-5.0000000000000001E-4</v>
      </c>
      <c r="C45" s="9">
        <v>1000000</v>
      </c>
      <c r="D45" s="18">
        <v>0</v>
      </c>
      <c r="E45" s="5" t="s">
        <v>12</v>
      </c>
      <c r="F45" s="36">
        <v>2.062184547111847E-12</v>
      </c>
    </row>
    <row r="46" spans="1:8" x14ac:dyDescent="0.25">
      <c r="B46">
        <v>-1E-4</v>
      </c>
      <c r="C46" s="9">
        <v>1000000</v>
      </c>
      <c r="D46" s="18">
        <v>4.0500000000000002E-6</v>
      </c>
      <c r="E46" s="5">
        <v>33322.76</v>
      </c>
      <c r="F46" s="36">
        <v>3.7318452448408604E-6</v>
      </c>
    </row>
    <row r="47" spans="1:8" x14ac:dyDescent="0.25">
      <c r="B47">
        <v>-5.0000000000000001E-4</v>
      </c>
      <c r="C47" s="9">
        <v>1000000</v>
      </c>
      <c r="D47" s="18">
        <v>0</v>
      </c>
      <c r="E47" s="5" t="s">
        <v>12</v>
      </c>
      <c r="F47" s="36">
        <v>2.062184547111847E-12</v>
      </c>
    </row>
    <row r="48" spans="1:8" x14ac:dyDescent="0.25">
      <c r="B48" s="45">
        <v>-1E-4</v>
      </c>
      <c r="C48" s="9">
        <v>1000000</v>
      </c>
      <c r="D48" s="18">
        <v>3.1499999999999999E-6</v>
      </c>
      <c r="E48" s="5" t="s">
        <v>12</v>
      </c>
      <c r="F48" s="36">
        <v>3.7318452448408604E-6</v>
      </c>
    </row>
    <row r="49" spans="1:8" x14ac:dyDescent="0.25">
      <c r="B49" s="77">
        <v>-5.0000000000000002E-5</v>
      </c>
      <c r="C49" s="9">
        <v>1000000</v>
      </c>
      <c r="D49" s="18">
        <v>1.8300000000000001E-5</v>
      </c>
      <c r="E49" s="5">
        <v>36953.29</v>
      </c>
      <c r="F49" s="47">
        <v>1.5652546889274012E-5</v>
      </c>
    </row>
    <row r="50" spans="1:8" x14ac:dyDescent="0.25">
      <c r="B50" s="92">
        <v>-1.0000000000000001E-5</v>
      </c>
      <c r="C50" s="9">
        <v>1000000</v>
      </c>
      <c r="D50" s="91">
        <v>4.0099999999999999E-5</v>
      </c>
      <c r="E50" s="5">
        <v>39535.17</v>
      </c>
      <c r="F50" s="47">
        <v>4.0665302285908474E-5</v>
      </c>
      <c r="H50" s="94">
        <f>1/(10*10000)</f>
        <v>1.0000000000000001E-5</v>
      </c>
    </row>
    <row r="51" spans="1:8" x14ac:dyDescent="0.25">
      <c r="B51">
        <v>0</v>
      </c>
      <c r="C51" s="9">
        <v>1000000</v>
      </c>
      <c r="D51" s="18">
        <v>4.9299999999999999E-5</v>
      </c>
      <c r="E51" s="5">
        <v>39524.92</v>
      </c>
      <c r="F51" s="53"/>
    </row>
    <row r="52" spans="1:8" x14ac:dyDescent="0.25">
      <c r="C52" s="9" t="s">
        <v>60</v>
      </c>
      <c r="D52" s="18">
        <v>5.0000000000000002E-5</v>
      </c>
      <c r="E52" s="5">
        <v>40000</v>
      </c>
    </row>
    <row r="54" spans="1:8" ht="45" x14ac:dyDescent="0.25">
      <c r="A54" s="33" t="s">
        <v>11</v>
      </c>
      <c r="B54" s="11" t="s">
        <v>9</v>
      </c>
      <c r="C54" s="33" t="s">
        <v>3</v>
      </c>
      <c r="D54" s="28" t="s">
        <v>27</v>
      </c>
      <c r="E54" s="16" t="s">
        <v>25</v>
      </c>
      <c r="F54" s="22" t="s">
        <v>33</v>
      </c>
    </row>
    <row r="55" spans="1:8" x14ac:dyDescent="0.25">
      <c r="A55" s="9">
        <v>100000</v>
      </c>
      <c r="B55">
        <v>-0.05</v>
      </c>
      <c r="C55" s="9">
        <v>1000000</v>
      </c>
      <c r="D55" s="69">
        <v>0</v>
      </c>
      <c r="E55" s="2" t="s">
        <v>12</v>
      </c>
      <c r="F55" s="36"/>
    </row>
    <row r="56" spans="1:8" x14ac:dyDescent="0.25">
      <c r="B56">
        <v>-0.01</v>
      </c>
      <c r="C56" s="9">
        <v>1000000</v>
      </c>
      <c r="D56" s="69">
        <v>0</v>
      </c>
      <c r="E56" s="2" t="s">
        <v>12</v>
      </c>
      <c r="F56" s="36"/>
    </row>
    <row r="57" spans="1:8" x14ac:dyDescent="0.25">
      <c r="B57">
        <v>-5.0000000000000001E-3</v>
      </c>
      <c r="C57" s="9">
        <v>1000000</v>
      </c>
      <c r="D57" s="69">
        <v>0</v>
      </c>
      <c r="E57" s="2" t="s">
        <v>12</v>
      </c>
      <c r="F57" s="36"/>
    </row>
    <row r="58" spans="1:8" x14ac:dyDescent="0.25">
      <c r="B58">
        <v>-1E-3</v>
      </c>
      <c r="C58" s="9">
        <v>1000000</v>
      </c>
      <c r="D58" s="69">
        <v>0</v>
      </c>
      <c r="E58" s="2" t="s">
        <v>12</v>
      </c>
      <c r="F58" s="36">
        <v>3.8341720874582615E-177</v>
      </c>
    </row>
    <row r="59" spans="1:8" x14ac:dyDescent="0.25">
      <c r="B59">
        <v>-5.0000000000000001E-4</v>
      </c>
      <c r="C59" s="9">
        <v>1000000</v>
      </c>
      <c r="D59" s="69">
        <v>0</v>
      </c>
      <c r="E59" s="2" t="s">
        <v>12</v>
      </c>
      <c r="F59" s="36">
        <v>1.3845887057072603E-90</v>
      </c>
    </row>
    <row r="60" spans="1:8" x14ac:dyDescent="0.25">
      <c r="B60">
        <v>-1E-4</v>
      </c>
      <c r="C60" s="9">
        <v>1000000</v>
      </c>
      <c r="D60" s="69">
        <v>0</v>
      </c>
      <c r="E60" s="2" t="s">
        <v>12</v>
      </c>
      <c r="F60" s="36">
        <v>8.4975582380841833E-22</v>
      </c>
    </row>
    <row r="61" spans="1:8" x14ac:dyDescent="0.25">
      <c r="B61">
        <v>-5.0000000000000001E-4</v>
      </c>
      <c r="C61" s="9">
        <v>1000000</v>
      </c>
      <c r="D61" s="69">
        <v>0</v>
      </c>
      <c r="E61" s="2" t="s">
        <v>12</v>
      </c>
      <c r="F61" s="36">
        <v>1.3845887057072603E-90</v>
      </c>
    </row>
    <row r="62" spans="1:8" x14ac:dyDescent="0.25">
      <c r="B62">
        <v>-1E-4</v>
      </c>
      <c r="C62" s="9">
        <v>1000000</v>
      </c>
      <c r="D62" s="69">
        <v>0</v>
      </c>
      <c r="E62" s="2" t="s">
        <v>12</v>
      </c>
      <c r="F62" s="36">
        <v>8.4975582380841833E-22</v>
      </c>
    </row>
    <row r="63" spans="1:8" x14ac:dyDescent="0.25">
      <c r="B63" s="6">
        <v>-5.0000000000000002E-5</v>
      </c>
      <c r="C63" s="9">
        <v>1000000</v>
      </c>
      <c r="D63" s="69">
        <v>0</v>
      </c>
      <c r="E63" s="2" t="s">
        <v>12</v>
      </c>
      <c r="F63" s="36">
        <v>2.0612566878044801E-13</v>
      </c>
    </row>
    <row r="64" spans="1:8" x14ac:dyDescent="0.25">
      <c r="B64" s="6">
        <v>-1.0000000000000001E-5</v>
      </c>
      <c r="C64" s="9">
        <v>1000000</v>
      </c>
      <c r="D64" s="69">
        <v>3.4999999999999998E-7</v>
      </c>
      <c r="E64" s="2" t="s">
        <v>12</v>
      </c>
      <c r="F64" s="36">
        <v>3.7315093877102089E-7</v>
      </c>
    </row>
    <row r="65" spans="2:8" x14ac:dyDescent="0.25">
      <c r="B65" s="83">
        <v>-5.0000000000000004E-6</v>
      </c>
      <c r="C65" s="9">
        <v>1000000</v>
      </c>
      <c r="D65" s="84">
        <v>1.55E-6</v>
      </c>
      <c r="E65" s="5" t="s">
        <v>12</v>
      </c>
      <c r="F65" s="72">
        <v>1.5651842533896953E-6</v>
      </c>
      <c r="G65" s="2">
        <f>2/100000</f>
        <v>2.0000000000000002E-5</v>
      </c>
      <c r="H65" s="2">
        <f>1/100000</f>
        <v>1.0000000000000001E-5</v>
      </c>
    </row>
    <row r="66" spans="2:8" x14ac:dyDescent="0.25">
      <c r="B66" s="4">
        <v>-9.9999999999999995E-7</v>
      </c>
      <c r="C66" s="9">
        <v>1000000</v>
      </c>
      <c r="D66" s="69">
        <v>4.7999999999999998E-6</v>
      </c>
      <c r="E66" s="5">
        <v>434065.4</v>
      </c>
      <c r="F66" s="72">
        <v>4.0664936299560127E-6</v>
      </c>
    </row>
    <row r="67" spans="2:8" x14ac:dyDescent="0.25">
      <c r="B67" s="31">
        <v>-4.9999999999999998E-7</v>
      </c>
      <c r="C67" s="9">
        <v>1000000</v>
      </c>
      <c r="D67" s="69">
        <v>4.0999999999999997E-6</v>
      </c>
      <c r="E67" s="5">
        <v>375009.66</v>
      </c>
      <c r="F67" s="72">
        <v>4.5166578242839744E-6</v>
      </c>
    </row>
    <row r="68" spans="2:8" x14ac:dyDescent="0.25">
      <c r="B68" s="97">
        <v>-9.9999999999999995E-8</v>
      </c>
      <c r="C68" s="9">
        <v>1000000</v>
      </c>
      <c r="D68" s="96">
        <v>4.6999999999999999E-6</v>
      </c>
      <c r="E68" s="5">
        <v>386600.9</v>
      </c>
      <c r="F68" s="72">
        <v>4.9006671414258717E-6</v>
      </c>
      <c r="H68" s="94">
        <f>1/(10*100000)</f>
        <v>9.9999999999999995E-7</v>
      </c>
    </row>
    <row r="69" spans="2:8" x14ac:dyDescent="0.25">
      <c r="B69" s="31">
        <v>-1E-8</v>
      </c>
      <c r="C69" s="9">
        <v>1000000</v>
      </c>
      <c r="D69" s="69">
        <v>4.95E-6</v>
      </c>
      <c r="E69" s="5" t="s">
        <v>12</v>
      </c>
      <c r="F69" s="72">
        <v>4.9900066917384233E-6</v>
      </c>
    </row>
    <row r="70" spans="2:8" x14ac:dyDescent="0.25">
      <c r="B70">
        <v>0</v>
      </c>
      <c r="C70" s="9">
        <v>1000000</v>
      </c>
      <c r="D70" s="69">
        <v>4.25E-6</v>
      </c>
      <c r="E70" s="2">
        <v>403893.82</v>
      </c>
      <c r="F70" s="69"/>
    </row>
    <row r="71" spans="2:8" x14ac:dyDescent="0.25">
      <c r="C71" s="9"/>
      <c r="D71" s="69">
        <v>5.0000000000000004E-6</v>
      </c>
      <c r="E71" s="2">
        <v>400000</v>
      </c>
      <c r="F71" s="6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D7AC-761B-4BD0-94DD-9D128C420CF7}">
  <dimension ref="A1:P72"/>
  <sheetViews>
    <sheetView showGridLines="0" zoomScale="110" zoomScaleNormal="110" workbookViewId="0">
      <pane ySplit="2" topLeftCell="A18" activePane="bottomLeft" state="frozen"/>
      <selection pane="bottomLeft" activeCell="P46" sqref="P46"/>
    </sheetView>
  </sheetViews>
  <sheetFormatPr defaultColWidth="9.140625" defaultRowHeight="15" x14ac:dyDescent="0.25"/>
  <cols>
    <col min="1" max="1" width="11" style="2" customWidth="1"/>
    <col min="2" max="2" width="8" style="2" customWidth="1"/>
    <col min="3" max="3" width="10.42578125" style="2" customWidth="1"/>
    <col min="4" max="4" width="12.28515625" style="2" customWidth="1"/>
    <col min="5" max="5" width="9.140625" style="2"/>
    <col min="6" max="6" width="9.140625" style="18"/>
    <col min="7" max="7" width="10.5703125" style="18" customWidth="1"/>
    <col min="8" max="8" width="10" style="6" customWidth="1"/>
    <col min="9" max="10" width="9" style="5" customWidth="1"/>
    <col min="11" max="11" width="10.7109375" customWidth="1"/>
    <col min="12" max="12" width="7.5703125" bestFit="1" customWidth="1"/>
    <col min="13" max="13" width="10.7109375" customWidth="1"/>
    <col min="14" max="14" width="21.85546875" style="45" customWidth="1"/>
    <col min="15" max="15" width="15.28515625" style="45" customWidth="1"/>
    <col min="16" max="16" width="16.5703125" customWidth="1"/>
  </cols>
  <sheetData>
    <row r="1" spans="1:16" ht="32.25" customHeight="1" x14ac:dyDescent="0.25">
      <c r="B1" s="44" t="s">
        <v>76</v>
      </c>
    </row>
    <row r="2" spans="1:16" ht="30" x14ac:dyDescent="0.25">
      <c r="A2" s="11" t="s">
        <v>0</v>
      </c>
      <c r="B2" s="11" t="s">
        <v>10</v>
      </c>
      <c r="C2" s="16" t="s">
        <v>11</v>
      </c>
      <c r="D2" s="11" t="s">
        <v>9</v>
      </c>
      <c r="E2" s="33" t="s">
        <v>3</v>
      </c>
      <c r="F2" s="22" t="s">
        <v>29</v>
      </c>
      <c r="G2" s="22" t="s">
        <v>27</v>
      </c>
      <c r="H2" s="22" t="s">
        <v>28</v>
      </c>
      <c r="I2" s="16" t="s">
        <v>25</v>
      </c>
      <c r="J2" s="16" t="s">
        <v>26</v>
      </c>
      <c r="K2" s="22" t="s">
        <v>151</v>
      </c>
      <c r="L2" s="28" t="s">
        <v>153</v>
      </c>
      <c r="M2" s="22" t="s">
        <v>152</v>
      </c>
      <c r="N2" s="120" t="s">
        <v>187</v>
      </c>
      <c r="O2" s="162" t="s">
        <v>156</v>
      </c>
      <c r="P2" s="161"/>
    </row>
    <row r="3" spans="1:16" x14ac:dyDescent="0.25">
      <c r="A3" s="19">
        <v>20</v>
      </c>
      <c r="B3" s="19">
        <v>1</v>
      </c>
      <c r="C3" s="19">
        <v>10</v>
      </c>
      <c r="D3" s="19">
        <v>1</v>
      </c>
      <c r="E3" s="19">
        <v>1000</v>
      </c>
      <c r="F3" s="23">
        <v>0.20715</v>
      </c>
      <c r="G3" s="23">
        <v>0.79285000000000005</v>
      </c>
      <c r="H3" s="117">
        <v>1.2801474E-2</v>
      </c>
      <c r="I3" s="24">
        <v>9.41</v>
      </c>
      <c r="J3" s="27">
        <v>2.59</v>
      </c>
      <c r="K3" s="160">
        <f>G3-H3</f>
        <v>0.78004852600000008</v>
      </c>
      <c r="L3" s="36">
        <f t="shared" ref="L3:L24" si="0">(1-EXP(-2*D3))/(1-EXP(-4*C3*D3))</f>
        <v>0.8646647167633873</v>
      </c>
      <c r="M3" s="53">
        <f>G3+H3</f>
        <v>0.80565147400000003</v>
      </c>
      <c r="N3" s="139">
        <f t="shared" ref="N3:N25" si="1">L3/G3</f>
        <v>1.0905779362595538</v>
      </c>
      <c r="O3" s="121" t="b">
        <f>AND(L3&gt;=K3,L3&lt;=M3)</f>
        <v>0</v>
      </c>
      <c r="P3" s="95"/>
    </row>
    <row r="4" spans="1:16" x14ac:dyDescent="0.25">
      <c r="A4" s="19">
        <v>20</v>
      </c>
      <c r="B4" s="19">
        <v>2</v>
      </c>
      <c r="C4" s="19">
        <v>10</v>
      </c>
      <c r="D4" s="19">
        <v>0.9</v>
      </c>
      <c r="E4" s="19">
        <v>1000</v>
      </c>
      <c r="F4" s="23">
        <v>0.24149999999999999</v>
      </c>
      <c r="G4" s="23">
        <v>0.75849999999999995</v>
      </c>
      <c r="H4" s="117">
        <v>1.3527974E-2</v>
      </c>
      <c r="I4" s="24">
        <v>10.01</v>
      </c>
      <c r="J4" s="27">
        <v>2.85</v>
      </c>
      <c r="K4" s="160">
        <f t="shared" ref="K4:K25" si="2">G4-H4</f>
        <v>0.7449720259999999</v>
      </c>
      <c r="L4" s="36">
        <f t="shared" si="0"/>
        <v>0.83470111177841366</v>
      </c>
      <c r="M4" s="53">
        <f t="shared" ref="M4:M25" si="3">G4+H4</f>
        <v>0.77202797400000001</v>
      </c>
      <c r="N4" s="139">
        <f t="shared" si="1"/>
        <v>1.1004629028060826</v>
      </c>
      <c r="O4" s="121" t="b">
        <f t="shared" ref="O4:O24" si="4">AND(L4&gt;=K4,L4&lt;=M4)</f>
        <v>0</v>
      </c>
    </row>
    <row r="5" spans="1:16" x14ac:dyDescent="0.25">
      <c r="A5" s="19">
        <v>20</v>
      </c>
      <c r="B5" s="19">
        <v>3</v>
      </c>
      <c r="C5" s="19">
        <v>10</v>
      </c>
      <c r="D5" s="19">
        <v>0.8</v>
      </c>
      <c r="E5" s="19">
        <v>1000</v>
      </c>
      <c r="F5" s="23">
        <v>0.27965000000000001</v>
      </c>
      <c r="G5" s="23">
        <v>0.72035000000000005</v>
      </c>
      <c r="H5" s="117">
        <v>1.41823431E-2</v>
      </c>
      <c r="I5" s="24">
        <v>10.78</v>
      </c>
      <c r="J5" s="27">
        <v>3.15</v>
      </c>
      <c r="K5" s="160">
        <f t="shared" si="2"/>
        <v>0.70616765690000005</v>
      </c>
      <c r="L5" s="36">
        <f t="shared" si="0"/>
        <v>0.79810348200535475</v>
      </c>
      <c r="M5" s="53">
        <f t="shared" si="3"/>
        <v>0.73453234310000004</v>
      </c>
      <c r="N5" s="139">
        <f t="shared" si="1"/>
        <v>1.1079384771366068</v>
      </c>
      <c r="O5" s="121" t="b">
        <f t="shared" si="4"/>
        <v>0</v>
      </c>
    </row>
    <row r="6" spans="1:16" x14ac:dyDescent="0.25">
      <c r="A6" s="19">
        <v>20</v>
      </c>
      <c r="B6" s="19">
        <v>4</v>
      </c>
      <c r="C6" s="19">
        <v>10</v>
      </c>
      <c r="D6" s="19">
        <v>0.7</v>
      </c>
      <c r="E6" s="19">
        <v>1000</v>
      </c>
      <c r="F6" s="23">
        <v>0.318</v>
      </c>
      <c r="G6" s="23">
        <v>0.68200000000000005</v>
      </c>
      <c r="H6" s="117">
        <v>1.4721669600000001E-2</v>
      </c>
      <c r="I6" s="24">
        <v>11.67</v>
      </c>
      <c r="J6" s="27">
        <v>3.5</v>
      </c>
      <c r="K6" s="160">
        <f t="shared" si="2"/>
        <v>0.66727833040000006</v>
      </c>
      <c r="L6" s="36">
        <f t="shared" si="0"/>
        <v>0.75340303605891445</v>
      </c>
      <c r="M6" s="53">
        <f t="shared" si="3"/>
        <v>0.69672166960000004</v>
      </c>
      <c r="N6" s="139">
        <f t="shared" si="1"/>
        <v>1.1046965338107249</v>
      </c>
      <c r="O6" s="121" t="b">
        <f t="shared" si="4"/>
        <v>0</v>
      </c>
    </row>
    <row r="7" spans="1:16" x14ac:dyDescent="0.25">
      <c r="A7" s="19">
        <v>20</v>
      </c>
      <c r="B7" s="19">
        <v>5</v>
      </c>
      <c r="C7" s="19">
        <v>10</v>
      </c>
      <c r="D7" s="19">
        <v>0.6</v>
      </c>
      <c r="E7" s="19">
        <v>1000</v>
      </c>
      <c r="F7" s="23">
        <v>0.35865000000000002</v>
      </c>
      <c r="G7" s="23">
        <v>0.64134999999999998</v>
      </c>
      <c r="H7" s="117">
        <v>1.5160345400000001E-2</v>
      </c>
      <c r="I7" s="24">
        <v>12.84</v>
      </c>
      <c r="J7" s="27">
        <v>4.05</v>
      </c>
      <c r="K7" s="160">
        <f t="shared" si="2"/>
        <v>0.62618965459999998</v>
      </c>
      <c r="L7" s="36">
        <f t="shared" si="0"/>
        <v>0.69880578811417871</v>
      </c>
      <c r="M7" s="53">
        <f t="shared" si="3"/>
        <v>0.65651034539999997</v>
      </c>
      <c r="N7" s="139">
        <f t="shared" si="1"/>
        <v>1.0895856990943771</v>
      </c>
      <c r="O7" s="121" t="b">
        <f t="shared" si="4"/>
        <v>0</v>
      </c>
    </row>
    <row r="8" spans="1:16" x14ac:dyDescent="0.25">
      <c r="A8" s="19">
        <v>20</v>
      </c>
      <c r="B8" s="19">
        <v>6</v>
      </c>
      <c r="C8" s="19">
        <v>10</v>
      </c>
      <c r="D8" s="19">
        <v>0.5</v>
      </c>
      <c r="E8" s="19">
        <v>1000</v>
      </c>
      <c r="F8" s="23">
        <v>0.4194</v>
      </c>
      <c r="G8" s="23">
        <v>0.5806</v>
      </c>
      <c r="H8" s="117">
        <v>1.55966747E-2</v>
      </c>
      <c r="I8" s="24">
        <v>14.37</v>
      </c>
      <c r="J8" s="27">
        <v>4.72</v>
      </c>
      <c r="K8" s="160">
        <f t="shared" si="2"/>
        <v>0.56500332529999997</v>
      </c>
      <c r="L8" s="36">
        <f t="shared" si="0"/>
        <v>0.63212056013145523</v>
      </c>
      <c r="M8" s="53">
        <f t="shared" si="3"/>
        <v>0.59619667470000004</v>
      </c>
      <c r="N8" s="139">
        <f t="shared" si="1"/>
        <v>1.0887367553073635</v>
      </c>
      <c r="O8" s="121" t="b">
        <f t="shared" si="4"/>
        <v>0</v>
      </c>
    </row>
    <row r="9" spans="1:16" x14ac:dyDescent="0.25">
      <c r="A9" s="19">
        <v>20</v>
      </c>
      <c r="B9" s="19">
        <v>7</v>
      </c>
      <c r="C9" s="19">
        <v>10</v>
      </c>
      <c r="D9" s="19">
        <v>0.4</v>
      </c>
      <c r="E9" s="19">
        <v>1000</v>
      </c>
      <c r="F9" s="23">
        <v>0.49120000000000003</v>
      </c>
      <c r="G9" s="23">
        <v>0.50880000000000003</v>
      </c>
      <c r="H9" s="117">
        <v>1.57996122E-2</v>
      </c>
      <c r="I9" s="24">
        <v>16.27</v>
      </c>
      <c r="J9" s="27">
        <v>5.68</v>
      </c>
      <c r="K9" s="160">
        <f t="shared" si="2"/>
        <v>0.49300038780000005</v>
      </c>
      <c r="L9" s="36">
        <f t="shared" si="0"/>
        <v>0.55067109785264667</v>
      </c>
      <c r="M9" s="53">
        <f t="shared" si="3"/>
        <v>0.52459961220000006</v>
      </c>
      <c r="N9" s="139">
        <f t="shared" si="1"/>
        <v>1.082293824395925</v>
      </c>
      <c r="O9" s="121" t="b">
        <f t="shared" si="4"/>
        <v>0</v>
      </c>
    </row>
    <row r="10" spans="1:16" x14ac:dyDescent="0.25">
      <c r="A10" s="19">
        <v>20</v>
      </c>
      <c r="B10" s="19">
        <v>8</v>
      </c>
      <c r="C10" s="19">
        <v>10</v>
      </c>
      <c r="D10" s="19">
        <v>0.3</v>
      </c>
      <c r="E10" s="19">
        <v>1000</v>
      </c>
      <c r="F10" s="23">
        <v>0.57855000000000001</v>
      </c>
      <c r="G10" s="23">
        <v>0.42144999999999999</v>
      </c>
      <c r="H10" s="117">
        <v>1.56027613E-2</v>
      </c>
      <c r="I10" s="24">
        <v>19.350000000000001</v>
      </c>
      <c r="J10" s="27">
        <v>7.4</v>
      </c>
      <c r="K10" s="160">
        <f t="shared" si="2"/>
        <v>0.4058472387</v>
      </c>
      <c r="L10" s="36">
        <f t="shared" si="0"/>
        <v>0.4511911361201259</v>
      </c>
      <c r="M10" s="53">
        <f t="shared" si="3"/>
        <v>0.43705276129999998</v>
      </c>
      <c r="N10" s="139">
        <f t="shared" si="1"/>
        <v>1.0705685991698326</v>
      </c>
      <c r="O10" s="121" t="b">
        <f t="shared" si="4"/>
        <v>0</v>
      </c>
    </row>
    <row r="11" spans="1:16" x14ac:dyDescent="0.25">
      <c r="A11" s="19">
        <v>20</v>
      </c>
      <c r="B11" s="19">
        <v>9</v>
      </c>
      <c r="C11" s="19">
        <v>10</v>
      </c>
      <c r="D11" s="19">
        <v>0.2</v>
      </c>
      <c r="E11" s="19">
        <v>1000</v>
      </c>
      <c r="F11" s="23">
        <v>0.69440000000000002</v>
      </c>
      <c r="G11" s="23">
        <v>0.30559999999999998</v>
      </c>
      <c r="H11" s="117">
        <v>1.4564165800000001E-2</v>
      </c>
      <c r="I11" s="24">
        <v>24.02</v>
      </c>
      <c r="J11" s="27">
        <v>10.46</v>
      </c>
      <c r="K11" s="160">
        <f t="shared" si="2"/>
        <v>0.29103583420000001</v>
      </c>
      <c r="L11" s="36">
        <f t="shared" si="0"/>
        <v>0.32979058638112557</v>
      </c>
      <c r="M11" s="53">
        <f t="shared" si="3"/>
        <v>0.32016416579999996</v>
      </c>
      <c r="N11" s="139">
        <f t="shared" si="1"/>
        <v>1.0791576779487093</v>
      </c>
      <c r="O11" s="121" t="b">
        <f t="shared" si="4"/>
        <v>0</v>
      </c>
    </row>
    <row r="12" spans="1:16" x14ac:dyDescent="0.25">
      <c r="A12" s="19">
        <v>20</v>
      </c>
      <c r="B12" s="19">
        <v>10</v>
      </c>
      <c r="C12" s="19">
        <v>10</v>
      </c>
      <c r="D12" s="19">
        <v>0.1</v>
      </c>
      <c r="E12" s="19">
        <v>1000</v>
      </c>
      <c r="F12" s="23">
        <v>0.82125000000000004</v>
      </c>
      <c r="G12" s="23">
        <v>0.17874999999999999</v>
      </c>
      <c r="H12" s="117">
        <v>1.21010063E-2</v>
      </c>
      <c r="I12" s="238">
        <v>31.43</v>
      </c>
      <c r="J12" s="27">
        <v>15.92</v>
      </c>
      <c r="K12" s="160">
        <f t="shared" si="2"/>
        <v>0.1666489937</v>
      </c>
      <c r="L12" s="36">
        <f t="shared" si="0"/>
        <v>0.18465125258471221</v>
      </c>
      <c r="M12" s="53">
        <f t="shared" si="3"/>
        <v>0.19085100629999999</v>
      </c>
      <c r="N12" s="139">
        <f t="shared" si="1"/>
        <v>1.0330140004739146</v>
      </c>
      <c r="O12" s="121" t="b">
        <f t="shared" si="4"/>
        <v>1</v>
      </c>
    </row>
    <row r="13" spans="1:16" x14ac:dyDescent="0.25">
      <c r="A13" s="19">
        <v>20</v>
      </c>
      <c r="B13" s="19">
        <v>11</v>
      </c>
      <c r="C13" s="19">
        <v>10</v>
      </c>
      <c r="D13" s="19">
        <v>0.05</v>
      </c>
      <c r="E13" s="19">
        <v>1000</v>
      </c>
      <c r="F13" s="23">
        <v>0.89724999999999999</v>
      </c>
      <c r="G13" s="23">
        <v>0.10274999999999999</v>
      </c>
      <c r="H13" s="117">
        <v>9.5901019999999997E-3</v>
      </c>
      <c r="I13" s="24">
        <v>35.619999999999997</v>
      </c>
      <c r="J13" s="27">
        <v>18.97</v>
      </c>
      <c r="K13" s="160">
        <f t="shared" si="2"/>
        <v>9.3159897999999991E-2</v>
      </c>
      <c r="L13" s="36">
        <f t="shared" si="0"/>
        <v>0.11005720497102395</v>
      </c>
      <c r="M13" s="53">
        <f t="shared" si="3"/>
        <v>0.112340102</v>
      </c>
      <c r="N13" s="139">
        <f t="shared" si="1"/>
        <v>1.0711163500829581</v>
      </c>
      <c r="O13" s="121" t="b">
        <f t="shared" si="4"/>
        <v>1</v>
      </c>
    </row>
    <row r="14" spans="1:16" ht="15.75" x14ac:dyDescent="0.25">
      <c r="A14" s="19">
        <v>20</v>
      </c>
      <c r="B14" s="19">
        <v>12</v>
      </c>
      <c r="C14" s="19">
        <v>10</v>
      </c>
      <c r="D14" s="243">
        <v>0.01</v>
      </c>
      <c r="E14" s="130">
        <v>1000</v>
      </c>
      <c r="F14" s="133">
        <v>0.93979999999999997</v>
      </c>
      <c r="G14" s="237">
        <v>6.0199999999999997E-2</v>
      </c>
      <c r="H14" s="143">
        <v>7.5024953999999998E-3</v>
      </c>
      <c r="I14" s="236">
        <v>36.64</v>
      </c>
      <c r="J14" s="235">
        <v>20.059999999999999</v>
      </c>
      <c r="K14" s="143">
        <f t="shared" si="2"/>
        <v>5.26975046E-2</v>
      </c>
      <c r="L14" s="133">
        <f t="shared" si="0"/>
        <v>6.0062270863412356E-2</v>
      </c>
      <c r="M14" s="133">
        <f t="shared" si="3"/>
        <v>6.7702495399999993E-2</v>
      </c>
      <c r="N14" s="140">
        <f t="shared" si="1"/>
        <v>0.9977121405882452</v>
      </c>
      <c r="O14" s="132" t="b">
        <f t="shared" si="4"/>
        <v>1</v>
      </c>
    </row>
    <row r="15" spans="1:16" x14ac:dyDescent="0.25">
      <c r="A15" s="19">
        <v>20</v>
      </c>
      <c r="B15" s="19">
        <v>13</v>
      </c>
      <c r="C15" s="19">
        <v>10</v>
      </c>
      <c r="D15" s="130">
        <v>5.0000000000000001E-3</v>
      </c>
      <c r="E15" s="130">
        <v>1000</v>
      </c>
      <c r="F15" s="133">
        <v>0.94684999999999997</v>
      </c>
      <c r="G15" s="133">
        <v>5.3150000000000003E-2</v>
      </c>
      <c r="H15" s="143">
        <v>7.0798906000000003E-3</v>
      </c>
      <c r="I15" s="165">
        <v>37.25</v>
      </c>
      <c r="J15" s="235">
        <v>20.309999999999999</v>
      </c>
      <c r="K15" s="143">
        <f t="shared" si="2"/>
        <v>4.6070109400000003E-2</v>
      </c>
      <c r="L15" s="133">
        <f t="shared" si="0"/>
        <v>5.4891640031540727E-2</v>
      </c>
      <c r="M15" s="133">
        <f t="shared" si="3"/>
        <v>6.0229890600000002E-2</v>
      </c>
      <c r="N15" s="140">
        <f t="shared" si="1"/>
        <v>1.0327683919386779</v>
      </c>
      <c r="O15" s="132" t="b">
        <f t="shared" si="4"/>
        <v>1</v>
      </c>
    </row>
    <row r="16" spans="1:16" x14ac:dyDescent="0.25">
      <c r="A16" s="19">
        <v>20</v>
      </c>
      <c r="B16" s="19">
        <v>14</v>
      </c>
      <c r="C16" s="19">
        <v>10</v>
      </c>
      <c r="D16" s="187">
        <v>1E-3</v>
      </c>
      <c r="E16" s="130">
        <v>1000</v>
      </c>
      <c r="F16" s="133">
        <v>0.95325000000000004</v>
      </c>
      <c r="G16" s="133">
        <v>5.04E-2</v>
      </c>
      <c r="H16" s="143">
        <v>6.6623055999999996E-3</v>
      </c>
      <c r="I16" s="165">
        <v>37.58</v>
      </c>
      <c r="J16" s="235">
        <v>19.86</v>
      </c>
      <c r="K16" s="143">
        <f t="shared" si="2"/>
        <v>4.3737694399999999E-2</v>
      </c>
      <c r="L16" s="133">
        <f t="shared" si="0"/>
        <v>5.0955693809855311E-2</v>
      </c>
      <c r="M16" s="133">
        <f t="shared" si="3"/>
        <v>5.7062305600000002E-2</v>
      </c>
      <c r="N16" s="140">
        <f t="shared" si="1"/>
        <v>1.0110256708304626</v>
      </c>
      <c r="O16" s="132" t="b">
        <f t="shared" si="4"/>
        <v>1</v>
      </c>
    </row>
    <row r="17" spans="1:15" x14ac:dyDescent="0.25">
      <c r="A17" s="19">
        <v>20</v>
      </c>
      <c r="B17" s="19">
        <v>15</v>
      </c>
      <c r="C17" s="19">
        <v>10</v>
      </c>
      <c r="D17" s="130">
        <v>5.0000000000000001E-4</v>
      </c>
      <c r="E17" s="130">
        <v>1000</v>
      </c>
      <c r="F17" s="133">
        <v>0.94994999999999996</v>
      </c>
      <c r="G17" s="133">
        <v>5.0049999999999997E-2</v>
      </c>
      <c r="H17" s="143">
        <v>6.8799361999999998E-3</v>
      </c>
      <c r="I17" s="165">
        <v>37.07</v>
      </c>
      <c r="J17" s="235">
        <v>20.62</v>
      </c>
      <c r="K17" s="143">
        <f t="shared" si="2"/>
        <v>4.3170063799999998E-2</v>
      </c>
      <c r="L17" s="133">
        <f t="shared" si="0"/>
        <v>5.0476424237066858E-2</v>
      </c>
      <c r="M17" s="133">
        <f t="shared" si="3"/>
        <v>5.6929936199999996E-2</v>
      </c>
      <c r="N17" s="140">
        <f t="shared" si="1"/>
        <v>1.0085199647765606</v>
      </c>
      <c r="O17" s="132" t="b">
        <f t="shared" si="4"/>
        <v>1</v>
      </c>
    </row>
    <row r="18" spans="1:15" x14ac:dyDescent="0.25">
      <c r="A18" s="19">
        <v>20</v>
      </c>
      <c r="B18" s="19">
        <v>16</v>
      </c>
      <c r="C18" s="19">
        <v>10</v>
      </c>
      <c r="D18" s="187">
        <v>1E-4</v>
      </c>
      <c r="E18" s="130">
        <v>1000</v>
      </c>
      <c r="F18" s="133">
        <v>0.95065</v>
      </c>
      <c r="G18" s="133">
        <v>4.9349999999999998E-2</v>
      </c>
      <c r="H18" s="143">
        <v>6.8327932999999999E-3</v>
      </c>
      <c r="I18" s="165">
        <v>38.020000000000003</v>
      </c>
      <c r="J18" s="235">
        <v>21.12</v>
      </c>
      <c r="K18" s="143">
        <f t="shared" si="2"/>
        <v>4.2517206699999997E-2</v>
      </c>
      <c r="L18" s="133">
        <f t="shared" si="0"/>
        <v>5.0095056993963279E-2</v>
      </c>
      <c r="M18" s="133">
        <f t="shared" si="3"/>
        <v>5.6182793299999999E-2</v>
      </c>
      <c r="N18" s="140">
        <f t="shared" si="1"/>
        <v>1.015097406159337</v>
      </c>
      <c r="O18" s="132" t="b">
        <f t="shared" si="4"/>
        <v>1</v>
      </c>
    </row>
    <row r="19" spans="1:15" x14ac:dyDescent="0.25">
      <c r="A19" s="19">
        <v>20</v>
      </c>
      <c r="B19" s="19">
        <v>17</v>
      </c>
      <c r="C19" s="19">
        <v>10</v>
      </c>
      <c r="D19" s="166">
        <v>5.0000000000000002E-5</v>
      </c>
      <c r="E19" s="130">
        <v>1000</v>
      </c>
      <c r="F19" s="133">
        <v>0.95269999999999999</v>
      </c>
      <c r="G19" s="133">
        <v>4.7300000000000002E-2</v>
      </c>
      <c r="H19" s="143">
        <v>6.6855704000000002E-3</v>
      </c>
      <c r="I19" s="165">
        <v>38.18</v>
      </c>
      <c r="J19" s="235">
        <v>20.6</v>
      </c>
      <c r="K19" s="143">
        <f t="shared" si="2"/>
        <v>4.0614429600000002E-2</v>
      </c>
      <c r="L19" s="133">
        <f t="shared" si="0"/>
        <v>5.0047514249247811E-2</v>
      </c>
      <c r="M19" s="133">
        <f t="shared" si="3"/>
        <v>5.3985570400000002E-2</v>
      </c>
      <c r="N19" s="140">
        <f t="shared" si="1"/>
        <v>1.0580869820136958</v>
      </c>
      <c r="O19" s="132" t="b">
        <f t="shared" si="4"/>
        <v>1</v>
      </c>
    </row>
    <row r="20" spans="1:15" x14ac:dyDescent="0.25">
      <c r="A20" s="19">
        <v>20</v>
      </c>
      <c r="B20" s="19">
        <v>18</v>
      </c>
      <c r="C20" s="19">
        <v>10</v>
      </c>
      <c r="D20" s="187">
        <v>1.0000000000000001E-5</v>
      </c>
      <c r="E20" s="130">
        <v>1000</v>
      </c>
      <c r="F20" s="133">
        <v>0.9476</v>
      </c>
      <c r="G20" s="133">
        <v>5.2400000000000002E-2</v>
      </c>
      <c r="H20" s="143">
        <v>7.0325613999999998E-3</v>
      </c>
      <c r="I20" s="165">
        <v>36.590000000000003</v>
      </c>
      <c r="J20" s="235">
        <v>20.11</v>
      </c>
      <c r="K20" s="143">
        <f t="shared" si="2"/>
        <v>4.5367438600000004E-2</v>
      </c>
      <c r="L20" s="133">
        <f t="shared" si="0"/>
        <v>5.0009500570002786E-2</v>
      </c>
      <c r="M20" s="133">
        <f t="shared" si="3"/>
        <v>5.94325614E-2</v>
      </c>
      <c r="N20" s="140">
        <f t="shared" si="1"/>
        <v>0.95437978187028216</v>
      </c>
      <c r="O20" s="132" t="b">
        <f t="shared" si="4"/>
        <v>1</v>
      </c>
    </row>
    <row r="21" spans="1:15" x14ac:dyDescent="0.25">
      <c r="A21" s="19">
        <v>20</v>
      </c>
      <c r="B21" s="19">
        <v>19</v>
      </c>
      <c r="C21" s="19">
        <v>10</v>
      </c>
      <c r="D21" s="166">
        <v>5.0000000000000004E-6</v>
      </c>
      <c r="E21" s="130">
        <v>1000</v>
      </c>
      <c r="F21" s="133">
        <v>0.94925000000000004</v>
      </c>
      <c r="G21" s="133">
        <v>5.0750000000000003E-2</v>
      </c>
      <c r="H21" s="143">
        <v>6.9229421999999997E-3</v>
      </c>
      <c r="I21" s="165">
        <v>36.22</v>
      </c>
      <c r="J21" s="235">
        <v>21.14</v>
      </c>
      <c r="K21" s="143">
        <f t="shared" si="2"/>
        <v>4.3827057800000006E-2</v>
      </c>
      <c r="L21" s="133">
        <f t="shared" si="0"/>
        <v>5.0004750142530745E-2</v>
      </c>
      <c r="M21" s="133">
        <f t="shared" si="3"/>
        <v>5.7672942200000001E-2</v>
      </c>
      <c r="N21" s="140">
        <f t="shared" si="1"/>
        <v>0.98531527374444805</v>
      </c>
      <c r="O21" s="132" t="b">
        <f t="shared" si="4"/>
        <v>1</v>
      </c>
    </row>
    <row r="22" spans="1:15" x14ac:dyDescent="0.25">
      <c r="A22" s="19">
        <v>20</v>
      </c>
      <c r="B22" s="19">
        <v>20</v>
      </c>
      <c r="C22" s="19">
        <v>10</v>
      </c>
      <c r="D22" s="187">
        <v>9.9999999999999995E-7</v>
      </c>
      <c r="E22" s="130">
        <v>1000</v>
      </c>
      <c r="F22" s="133">
        <v>0.95009999999999994</v>
      </c>
      <c r="G22" s="133">
        <v>4.99E-2</v>
      </c>
      <c r="H22" s="143">
        <v>6.8655447000000001E-3</v>
      </c>
      <c r="I22" s="165">
        <v>37.229999999999997</v>
      </c>
      <c r="J22" s="235">
        <v>20.64</v>
      </c>
      <c r="K22" s="143">
        <f t="shared" si="2"/>
        <v>4.3034455299999996E-2</v>
      </c>
      <c r="L22" s="133">
        <f t="shared" si="0"/>
        <v>5.0000950005478231E-2</v>
      </c>
      <c r="M22" s="133">
        <f t="shared" si="3"/>
        <v>5.6765544700000004E-2</v>
      </c>
      <c r="N22" s="140">
        <f t="shared" si="1"/>
        <v>1.0020230462019686</v>
      </c>
      <c r="O22" s="132" t="b">
        <f t="shared" si="4"/>
        <v>1</v>
      </c>
    </row>
    <row r="23" spans="1:15" x14ac:dyDescent="0.25">
      <c r="A23" s="19">
        <v>20</v>
      </c>
      <c r="B23" s="19">
        <v>21</v>
      </c>
      <c r="C23" s="19">
        <v>10</v>
      </c>
      <c r="D23" s="166">
        <v>4.9999999999999998E-7</v>
      </c>
      <c r="E23" s="130">
        <v>1000</v>
      </c>
      <c r="F23" s="133">
        <v>0.95194999999999996</v>
      </c>
      <c r="G23" s="133">
        <v>4.8050000000000002E-2</v>
      </c>
      <c r="H23" s="143">
        <v>6.7368376999999997E-3</v>
      </c>
      <c r="I23" s="165">
        <v>37.89</v>
      </c>
      <c r="J23" s="235">
        <v>20.65</v>
      </c>
      <c r="K23" s="143">
        <f t="shared" si="2"/>
        <v>4.1313162300000005E-2</v>
      </c>
      <c r="L23" s="133">
        <f t="shared" si="0"/>
        <v>5.0000475000625939E-2</v>
      </c>
      <c r="M23" s="133">
        <f t="shared" si="3"/>
        <v>5.47868377E-2</v>
      </c>
      <c r="N23" s="140">
        <f t="shared" si="1"/>
        <v>1.0405926118756699</v>
      </c>
      <c r="O23" s="132" t="b">
        <f t="shared" si="4"/>
        <v>1</v>
      </c>
    </row>
    <row r="24" spans="1:15" x14ac:dyDescent="0.25">
      <c r="A24" s="19">
        <v>20</v>
      </c>
      <c r="B24" s="19">
        <v>22</v>
      </c>
      <c r="C24" s="19">
        <v>10</v>
      </c>
      <c r="D24" s="187">
        <v>9.9999999999999995E-8</v>
      </c>
      <c r="E24" s="130">
        <v>1000</v>
      </c>
      <c r="F24" s="133">
        <v>0.95009999999999994</v>
      </c>
      <c r="G24" s="133">
        <v>4.99E-2</v>
      </c>
      <c r="H24" s="143">
        <v>6.8672582999999999E-3</v>
      </c>
      <c r="I24" s="165">
        <v>38.36</v>
      </c>
      <c r="J24" s="235">
        <v>21.39</v>
      </c>
      <c r="K24" s="143">
        <f t="shared" si="2"/>
        <v>4.3032741700000002E-2</v>
      </c>
      <c r="L24" s="133">
        <f t="shared" si="0"/>
        <v>5.0000095006137564E-2</v>
      </c>
      <c r="M24" s="133">
        <f t="shared" si="3"/>
        <v>5.6767258299999998E-2</v>
      </c>
      <c r="N24" s="140">
        <f t="shared" si="1"/>
        <v>1.0020059119466447</v>
      </c>
      <c r="O24" s="132" t="b">
        <f t="shared" si="4"/>
        <v>1</v>
      </c>
    </row>
    <row r="25" spans="1:15" ht="15.75" x14ac:dyDescent="0.25">
      <c r="A25" s="19">
        <v>20</v>
      </c>
      <c r="B25" s="19">
        <v>23</v>
      </c>
      <c r="C25" s="19">
        <v>10</v>
      </c>
      <c r="D25" s="241">
        <v>0</v>
      </c>
      <c r="E25" s="130">
        <v>1000</v>
      </c>
      <c r="F25" s="133">
        <v>0.9486</v>
      </c>
      <c r="G25" s="237">
        <v>5.1400000000000001E-2</v>
      </c>
      <c r="H25" s="143">
        <v>6.9616391999999996E-3</v>
      </c>
      <c r="I25" s="236">
        <v>36.74</v>
      </c>
      <c r="J25" s="235">
        <v>19.59</v>
      </c>
      <c r="K25" s="143">
        <f t="shared" si="2"/>
        <v>4.44383608E-2</v>
      </c>
      <c r="L25" s="133">
        <v>0.05</v>
      </c>
      <c r="M25" s="133">
        <f t="shared" si="3"/>
        <v>5.8361639200000003E-2</v>
      </c>
      <c r="N25" s="140">
        <f t="shared" si="1"/>
        <v>0.97276264591439687</v>
      </c>
      <c r="O25" s="132"/>
    </row>
    <row r="26" spans="1:15" x14ac:dyDescent="0.25">
      <c r="G26" s="261" t="s">
        <v>174</v>
      </c>
      <c r="L26" s="29"/>
      <c r="M26" s="29"/>
      <c r="N26" s="29"/>
      <c r="O26" s="29"/>
    </row>
    <row r="28" spans="1:15" ht="30" x14ac:dyDescent="0.25">
      <c r="A28" s="11" t="s">
        <v>0</v>
      </c>
      <c r="B28" s="11" t="s">
        <v>10</v>
      </c>
      <c r="C28" s="16" t="s">
        <v>11</v>
      </c>
      <c r="D28" s="11" t="s">
        <v>9</v>
      </c>
      <c r="E28" s="33" t="s">
        <v>3</v>
      </c>
      <c r="F28" s="22" t="s">
        <v>29</v>
      </c>
      <c r="G28" s="22" t="s">
        <v>27</v>
      </c>
      <c r="H28" s="22" t="s">
        <v>28</v>
      </c>
      <c r="I28" s="16" t="s">
        <v>25</v>
      </c>
      <c r="J28" s="16" t="s">
        <v>26</v>
      </c>
      <c r="K28" s="22" t="s">
        <v>151</v>
      </c>
      <c r="L28" s="28" t="s">
        <v>153</v>
      </c>
      <c r="M28" s="22" t="s">
        <v>152</v>
      </c>
      <c r="N28" s="120" t="s">
        <v>187</v>
      </c>
      <c r="O28" s="162" t="s">
        <v>156</v>
      </c>
    </row>
    <row r="29" spans="1:15" x14ac:dyDescent="0.25">
      <c r="A29" s="19">
        <v>20</v>
      </c>
      <c r="B29" s="19">
        <v>1</v>
      </c>
      <c r="C29" s="19">
        <v>10</v>
      </c>
      <c r="D29" s="19">
        <v>1</v>
      </c>
      <c r="E29" s="395">
        <v>10000000</v>
      </c>
      <c r="F29" s="23">
        <v>0.2097145</v>
      </c>
      <c r="G29" s="23">
        <v>0.79028549999999997</v>
      </c>
      <c r="H29" s="117">
        <v>1.287378E-4</v>
      </c>
      <c r="I29" s="24">
        <v>9.42</v>
      </c>
      <c r="J29" s="24">
        <v>2.61</v>
      </c>
      <c r="K29" s="160">
        <f t="shared" ref="K29" si="5">G29-H29</f>
        <v>0.79015676219999997</v>
      </c>
      <c r="L29" s="53">
        <f t="shared" ref="L29" si="6">(1-EXP(-2*D29))/(1-EXP(-4*C29*D29))</f>
        <v>0.8646647167633873</v>
      </c>
      <c r="M29" s="53">
        <f t="shared" ref="M29" si="7">G29+H29</f>
        <v>0.79041423779999997</v>
      </c>
      <c r="N29" s="139">
        <f t="shared" ref="N29" si="8">L29/G29</f>
        <v>1.0941168941646877</v>
      </c>
      <c r="O29" s="121" t="b">
        <f t="shared" ref="O29" si="9">AND(L29&gt;=K29,L29&lt;=M29)</f>
        <v>0</v>
      </c>
    </row>
    <row r="30" spans="1:15" x14ac:dyDescent="0.25">
      <c r="A30" s="19">
        <v>20</v>
      </c>
      <c r="B30" s="19">
        <v>2</v>
      </c>
      <c r="C30" s="19">
        <v>10</v>
      </c>
      <c r="D30" s="19">
        <v>0.9</v>
      </c>
      <c r="E30" s="395">
        <v>10000000</v>
      </c>
      <c r="F30" s="23">
        <v>0.23913490000000001</v>
      </c>
      <c r="G30" s="23">
        <v>0.76086509999999996</v>
      </c>
      <c r="H30" s="117">
        <v>1.3488859999999999E-4</v>
      </c>
      <c r="I30" s="24">
        <v>10.029999999999999</v>
      </c>
      <c r="J30" s="24">
        <v>2.84</v>
      </c>
      <c r="K30" s="160">
        <f t="shared" ref="K30:K50" si="10">G30-H30</f>
        <v>0.76073021139999997</v>
      </c>
      <c r="L30" s="53">
        <f t="shared" ref="L30:L50" si="11">(1-EXP(-2*D30))/(1-EXP(-4*C30*D30))</f>
        <v>0.83470111177841366</v>
      </c>
      <c r="M30" s="53">
        <f t="shared" ref="M30:M50" si="12">G30+H30</f>
        <v>0.76099998859999995</v>
      </c>
      <c r="N30" s="139">
        <f t="shared" ref="N30:N50" si="13">L30/G30</f>
        <v>1.0970421849791949</v>
      </c>
      <c r="O30" s="121" t="b">
        <f t="shared" ref="O30:O50" si="14">AND(L30&gt;=K30,L30&lt;=M30)</f>
        <v>0</v>
      </c>
    </row>
    <row r="31" spans="1:15" x14ac:dyDescent="0.25">
      <c r="A31" s="19">
        <v>20</v>
      </c>
      <c r="B31" s="19">
        <v>3</v>
      </c>
      <c r="C31" s="19">
        <v>10</v>
      </c>
      <c r="D31" s="19">
        <v>0.8</v>
      </c>
      <c r="E31" s="395">
        <v>10000000</v>
      </c>
      <c r="F31" s="23">
        <v>0.27373832999999997</v>
      </c>
      <c r="G31" s="23">
        <v>0.72626168000000002</v>
      </c>
      <c r="H31" s="117">
        <v>1.4099840000000001E-4</v>
      </c>
      <c r="I31" s="24">
        <v>10.77</v>
      </c>
      <c r="J31" s="24">
        <v>3.14</v>
      </c>
      <c r="K31" s="160">
        <f t="shared" si="10"/>
        <v>0.72612068159999998</v>
      </c>
      <c r="L31" s="53">
        <f t="shared" si="11"/>
        <v>0.79810348200535475</v>
      </c>
      <c r="M31" s="53">
        <f t="shared" si="12"/>
        <v>0.72640267840000006</v>
      </c>
      <c r="N31" s="139">
        <f t="shared" si="13"/>
        <v>1.0989199953456923</v>
      </c>
      <c r="O31" s="121" t="b">
        <f t="shared" si="14"/>
        <v>0</v>
      </c>
    </row>
    <row r="32" spans="1:15" x14ac:dyDescent="0.25">
      <c r="A32" s="19">
        <v>20</v>
      </c>
      <c r="B32" s="19">
        <v>4</v>
      </c>
      <c r="C32" s="19">
        <v>10</v>
      </c>
      <c r="D32" s="19">
        <v>0.7</v>
      </c>
      <c r="E32" s="395">
        <v>10000000</v>
      </c>
      <c r="F32" s="23">
        <v>0.31472004999999997</v>
      </c>
      <c r="G32" s="23">
        <v>0.68527994999999997</v>
      </c>
      <c r="H32" s="117">
        <v>1.468575E-4</v>
      </c>
      <c r="I32" s="24">
        <v>11.67</v>
      </c>
      <c r="J32" s="24">
        <v>3.52</v>
      </c>
      <c r="K32" s="160">
        <f t="shared" si="10"/>
        <v>0.68513309249999998</v>
      </c>
      <c r="L32" s="53">
        <f t="shared" si="11"/>
        <v>0.75340303605891445</v>
      </c>
      <c r="M32" s="53">
        <f t="shared" si="12"/>
        <v>0.68542680749999996</v>
      </c>
      <c r="N32" s="139">
        <f t="shared" si="13"/>
        <v>1.099409133535739</v>
      </c>
      <c r="O32" s="121" t="b">
        <f t="shared" si="14"/>
        <v>0</v>
      </c>
    </row>
    <row r="33" spans="1:15" x14ac:dyDescent="0.25">
      <c r="A33" s="19">
        <v>20</v>
      </c>
      <c r="B33" s="19">
        <v>5</v>
      </c>
      <c r="C33" s="19">
        <v>10</v>
      </c>
      <c r="D33" s="19">
        <v>0.6</v>
      </c>
      <c r="E33" s="395">
        <v>10000000</v>
      </c>
      <c r="F33" s="23">
        <v>0.36350758</v>
      </c>
      <c r="G33" s="23">
        <v>0.63649241999999995</v>
      </c>
      <c r="H33" s="117">
        <v>1.521084E-4</v>
      </c>
      <c r="I33" s="24">
        <v>12.82</v>
      </c>
      <c r="J33" s="24">
        <v>4.0199999999999996</v>
      </c>
      <c r="K33" s="160">
        <f t="shared" si="10"/>
        <v>0.63634031159999993</v>
      </c>
      <c r="L33" s="53">
        <f t="shared" si="11"/>
        <v>0.69880578811417871</v>
      </c>
      <c r="M33" s="53">
        <f t="shared" si="12"/>
        <v>0.63664452839999996</v>
      </c>
      <c r="N33" s="139">
        <f t="shared" si="13"/>
        <v>1.0979011943522889</v>
      </c>
      <c r="O33" s="121" t="b">
        <f t="shared" si="14"/>
        <v>0</v>
      </c>
    </row>
    <row r="34" spans="1:15" x14ac:dyDescent="0.25">
      <c r="A34" s="19">
        <v>20</v>
      </c>
      <c r="B34" s="19">
        <v>6</v>
      </c>
      <c r="C34" s="19">
        <v>10</v>
      </c>
      <c r="D34" s="19">
        <v>0.5</v>
      </c>
      <c r="E34" s="395">
        <v>10000000</v>
      </c>
      <c r="F34" s="23">
        <v>0.42217025000000002</v>
      </c>
      <c r="G34" s="23">
        <v>0.57782975999999997</v>
      </c>
      <c r="H34" s="117">
        <v>1.5618660000000001E-4</v>
      </c>
      <c r="I34" s="24">
        <v>14.33</v>
      </c>
      <c r="J34" s="24">
        <v>4.7300000000000004</v>
      </c>
      <c r="K34" s="160">
        <f t="shared" si="10"/>
        <v>0.57767357339999992</v>
      </c>
      <c r="L34" s="53">
        <f t="shared" si="11"/>
        <v>0.63212056013145523</v>
      </c>
      <c r="M34" s="53">
        <f t="shared" si="12"/>
        <v>0.57798594660000002</v>
      </c>
      <c r="N34" s="139">
        <f t="shared" si="13"/>
        <v>1.0939563931969432</v>
      </c>
      <c r="O34" s="121" t="b">
        <f t="shared" si="14"/>
        <v>0</v>
      </c>
    </row>
    <row r="35" spans="1:15" x14ac:dyDescent="0.25">
      <c r="A35" s="19">
        <v>20</v>
      </c>
      <c r="B35" s="19">
        <v>7</v>
      </c>
      <c r="C35" s="19">
        <v>10</v>
      </c>
      <c r="D35" s="19">
        <v>0.4</v>
      </c>
      <c r="E35" s="395">
        <v>10000000</v>
      </c>
      <c r="F35" s="23">
        <v>0.49329799000000002</v>
      </c>
      <c r="G35" s="23">
        <v>0.50670199999999999</v>
      </c>
      <c r="H35" s="117">
        <v>1.580997E-4</v>
      </c>
      <c r="I35" s="24">
        <v>16.39</v>
      </c>
      <c r="J35" s="24">
        <v>5.77</v>
      </c>
      <c r="K35" s="160">
        <f t="shared" si="10"/>
        <v>0.50654390029999996</v>
      </c>
      <c r="L35" s="53">
        <f t="shared" si="11"/>
        <v>0.55067109785264667</v>
      </c>
      <c r="M35" s="53">
        <f t="shared" si="12"/>
        <v>0.50686009970000001</v>
      </c>
      <c r="N35" s="139">
        <f t="shared" si="13"/>
        <v>1.0867750627640047</v>
      </c>
      <c r="O35" s="121" t="b">
        <f t="shared" si="14"/>
        <v>0</v>
      </c>
    </row>
    <row r="36" spans="1:15" x14ac:dyDescent="0.25">
      <c r="A36" s="19">
        <v>20</v>
      </c>
      <c r="B36" s="19">
        <v>8</v>
      </c>
      <c r="C36" s="19">
        <v>10</v>
      </c>
      <c r="D36" s="19">
        <v>0.3</v>
      </c>
      <c r="E36" s="395">
        <v>10000000</v>
      </c>
      <c r="F36" s="23">
        <v>0.58070929000000004</v>
      </c>
      <c r="G36" s="23">
        <v>0.41929071000000001</v>
      </c>
      <c r="H36" s="117">
        <v>1.560404E-4</v>
      </c>
      <c r="I36" s="24">
        <v>19.399999999999999</v>
      </c>
      <c r="J36" s="24">
        <v>7.46</v>
      </c>
      <c r="K36" s="160">
        <f t="shared" si="10"/>
        <v>0.41913466960000001</v>
      </c>
      <c r="L36" s="53">
        <f t="shared" si="11"/>
        <v>0.4511911361201259</v>
      </c>
      <c r="M36" s="53">
        <f t="shared" si="12"/>
        <v>0.41944675040000001</v>
      </c>
      <c r="N36" s="139">
        <f t="shared" si="13"/>
        <v>1.0760818815187341</v>
      </c>
      <c r="O36" s="121" t="b">
        <f t="shared" si="14"/>
        <v>0</v>
      </c>
    </row>
    <row r="37" spans="1:15" x14ac:dyDescent="0.25">
      <c r="A37" s="19">
        <v>20</v>
      </c>
      <c r="B37" s="19">
        <v>9</v>
      </c>
      <c r="C37" s="19">
        <v>10</v>
      </c>
      <c r="D37" s="19">
        <v>0.2</v>
      </c>
      <c r="E37" s="395">
        <v>10000000</v>
      </c>
      <c r="F37" s="23">
        <v>0.68877686000000005</v>
      </c>
      <c r="G37" s="23">
        <v>0.31122314000000001</v>
      </c>
      <c r="H37" s="117">
        <v>1.464115E-4</v>
      </c>
      <c r="I37" s="24">
        <v>24.09</v>
      </c>
      <c r="J37" s="24">
        <v>10.48</v>
      </c>
      <c r="K37" s="160">
        <f t="shared" si="10"/>
        <v>0.31107672850000001</v>
      </c>
      <c r="L37" s="53">
        <f t="shared" si="11"/>
        <v>0.32979058638112557</v>
      </c>
      <c r="M37" s="53">
        <f t="shared" si="12"/>
        <v>0.31136955150000001</v>
      </c>
      <c r="N37" s="139">
        <f t="shared" si="13"/>
        <v>1.0596595946597209</v>
      </c>
      <c r="O37" s="121" t="b">
        <f t="shared" si="14"/>
        <v>0</v>
      </c>
    </row>
    <row r="38" spans="1:15" x14ac:dyDescent="0.25">
      <c r="A38" s="19">
        <v>20</v>
      </c>
      <c r="B38" s="19">
        <v>10</v>
      </c>
      <c r="C38" s="19">
        <v>10</v>
      </c>
      <c r="D38" s="19">
        <v>0.1</v>
      </c>
      <c r="E38" s="395">
        <v>10000000</v>
      </c>
      <c r="F38" s="23">
        <v>0.82126317000000004</v>
      </c>
      <c r="G38" s="23">
        <v>0.17873684000000001</v>
      </c>
      <c r="H38" s="117">
        <v>1.211569E-4</v>
      </c>
      <c r="I38" s="24">
        <v>31.44</v>
      </c>
      <c r="J38" s="24">
        <v>16.02</v>
      </c>
      <c r="K38" s="160">
        <f t="shared" si="10"/>
        <v>0.17861568310000001</v>
      </c>
      <c r="L38" s="53">
        <f t="shared" si="11"/>
        <v>0.18465125258471221</v>
      </c>
      <c r="M38" s="53">
        <f t="shared" si="12"/>
        <v>0.17885799690000001</v>
      </c>
      <c r="N38" s="139">
        <f t="shared" si="13"/>
        <v>1.0330900590203576</v>
      </c>
      <c r="O38" s="121" t="b">
        <f t="shared" si="14"/>
        <v>0</v>
      </c>
    </row>
    <row r="39" spans="1:15" x14ac:dyDescent="0.25">
      <c r="A39" s="19">
        <v>20</v>
      </c>
      <c r="B39" s="19">
        <v>11</v>
      </c>
      <c r="C39" s="19">
        <v>10</v>
      </c>
      <c r="D39" s="19">
        <v>0.08</v>
      </c>
      <c r="E39" s="395">
        <v>10000000</v>
      </c>
      <c r="F39" s="23">
        <v>0.84973050000000006</v>
      </c>
      <c r="G39" s="23">
        <v>0.1502695</v>
      </c>
      <c r="H39" s="117">
        <v>1.1299939999999999E-4</v>
      </c>
      <c r="I39" s="24">
        <v>33.11</v>
      </c>
      <c r="J39" s="24">
        <v>17.39</v>
      </c>
      <c r="K39" s="160">
        <f t="shared" si="10"/>
        <v>0.15015650059999999</v>
      </c>
      <c r="L39" s="53">
        <f t="shared" si="11"/>
        <v>0.15413926728806049</v>
      </c>
      <c r="M39" s="53">
        <f t="shared" si="12"/>
        <v>0.15038249940000001</v>
      </c>
      <c r="N39" s="139">
        <f t="shared" si="13"/>
        <v>1.0257521805027665</v>
      </c>
      <c r="O39" s="121" t="b">
        <f t="shared" si="14"/>
        <v>0</v>
      </c>
    </row>
    <row r="40" spans="1:15" x14ac:dyDescent="0.25">
      <c r="A40" s="19">
        <v>20</v>
      </c>
      <c r="B40" s="19">
        <v>12</v>
      </c>
      <c r="C40" s="19">
        <v>10</v>
      </c>
      <c r="D40" s="19">
        <v>0.06</v>
      </c>
      <c r="E40" s="395">
        <v>10000000</v>
      </c>
      <c r="F40" s="23">
        <v>0.87779905999999996</v>
      </c>
      <c r="G40" s="23">
        <v>0.12220093999999999</v>
      </c>
      <c r="H40" s="117">
        <v>1.035702E-4</v>
      </c>
      <c r="I40" s="24">
        <v>34.69</v>
      </c>
      <c r="J40" s="24">
        <v>18.71</v>
      </c>
      <c r="K40" s="160">
        <f t="shared" si="10"/>
        <v>0.12209736979999999</v>
      </c>
      <c r="L40" s="53">
        <f t="shared" si="11"/>
        <v>0.12436137246074347</v>
      </c>
      <c r="M40" s="53">
        <f t="shared" si="12"/>
        <v>0.12230451019999999</v>
      </c>
      <c r="N40" s="139">
        <f t="shared" si="13"/>
        <v>1.0176793440438632</v>
      </c>
      <c r="O40" s="121" t="b">
        <f t="shared" si="14"/>
        <v>0</v>
      </c>
    </row>
    <row r="41" spans="1:15" x14ac:dyDescent="0.25">
      <c r="A41" s="19">
        <v>20</v>
      </c>
      <c r="B41" s="19">
        <v>13</v>
      </c>
      <c r="C41" s="19">
        <v>10</v>
      </c>
      <c r="D41" s="19">
        <v>0.05</v>
      </c>
      <c r="E41" s="395">
        <v>10000000</v>
      </c>
      <c r="F41" s="23">
        <v>0.89139822000000002</v>
      </c>
      <c r="G41" s="23">
        <v>0.10860179</v>
      </c>
      <c r="H41" s="117">
        <v>9.83908E-5</v>
      </c>
      <c r="I41" s="24">
        <v>35.4</v>
      </c>
      <c r="J41" s="24">
        <v>19.3</v>
      </c>
      <c r="K41" s="160">
        <f t="shared" si="10"/>
        <v>0.1085033992</v>
      </c>
      <c r="L41" s="53">
        <f t="shared" si="11"/>
        <v>0.11005720497102395</v>
      </c>
      <c r="M41" s="53">
        <f t="shared" si="12"/>
        <v>0.1087001808</v>
      </c>
      <c r="N41" s="139">
        <f t="shared" si="13"/>
        <v>1.0134013902627566</v>
      </c>
      <c r="O41" s="121" t="b">
        <f t="shared" si="14"/>
        <v>0</v>
      </c>
    </row>
    <row r="42" spans="1:15" x14ac:dyDescent="0.25">
      <c r="A42" s="19">
        <v>20</v>
      </c>
      <c r="B42" s="19">
        <v>14</v>
      </c>
      <c r="C42" s="19">
        <v>10</v>
      </c>
      <c r="D42" s="19">
        <v>0.04</v>
      </c>
      <c r="E42" s="395">
        <v>10000000</v>
      </c>
      <c r="F42" s="23">
        <v>0.90459902000000003</v>
      </c>
      <c r="G42" s="23">
        <v>9.5400979999999996E-2</v>
      </c>
      <c r="H42" s="117">
        <v>9.2897600000000003E-5</v>
      </c>
      <c r="I42" s="24">
        <v>36.03</v>
      </c>
      <c r="J42" s="24">
        <v>19.850000000000001</v>
      </c>
      <c r="K42" s="160">
        <f t="shared" si="10"/>
        <v>9.5308082399999994E-2</v>
      </c>
      <c r="L42" s="53">
        <f t="shared" si="11"/>
        <v>9.6332938455779574E-2</v>
      </c>
      <c r="M42" s="53">
        <f t="shared" si="12"/>
        <v>9.5493877599999999E-2</v>
      </c>
      <c r="N42" s="139">
        <f t="shared" si="13"/>
        <v>1.0097688562086005</v>
      </c>
      <c r="O42" s="121" t="b">
        <f t="shared" si="14"/>
        <v>0</v>
      </c>
    </row>
    <row r="43" spans="1:15" x14ac:dyDescent="0.25">
      <c r="A43" s="19">
        <v>20</v>
      </c>
      <c r="B43" s="19">
        <v>15</v>
      </c>
      <c r="C43" s="19">
        <v>10</v>
      </c>
      <c r="D43" s="19">
        <v>0.02</v>
      </c>
      <c r="E43" s="395">
        <v>10000000</v>
      </c>
      <c r="F43" s="23">
        <v>0.92900956999999995</v>
      </c>
      <c r="G43" s="23">
        <v>7.0990429999999993E-2</v>
      </c>
      <c r="H43" s="117">
        <v>8.1210099999999997E-5</v>
      </c>
      <c r="I43" s="24">
        <v>36.94</v>
      </c>
      <c r="J43" s="24">
        <v>20.62</v>
      </c>
      <c r="K43" s="160">
        <f t="shared" si="10"/>
        <v>7.0909219899999987E-2</v>
      </c>
      <c r="L43" s="53">
        <f t="shared" si="11"/>
        <v>7.1205054002556237E-2</v>
      </c>
      <c r="M43" s="53">
        <f t="shared" si="12"/>
        <v>7.10716401E-2</v>
      </c>
      <c r="N43" s="139">
        <f t="shared" si="13"/>
        <v>1.003023280779624</v>
      </c>
      <c r="O43" s="121" t="b">
        <f t="shared" si="14"/>
        <v>0</v>
      </c>
    </row>
    <row r="44" spans="1:15" ht="15.75" x14ac:dyDescent="0.25">
      <c r="A44" s="130">
        <v>20</v>
      </c>
      <c r="B44" s="130">
        <v>16</v>
      </c>
      <c r="C44" s="130">
        <v>10</v>
      </c>
      <c r="D44" s="391">
        <v>0.01</v>
      </c>
      <c r="E44" s="187">
        <v>10000000</v>
      </c>
      <c r="F44" s="133">
        <v>0.93997196999999999</v>
      </c>
      <c r="G44" s="237">
        <v>6.0028039999999998E-2</v>
      </c>
      <c r="H44" s="143">
        <v>7.5116299999999998E-5</v>
      </c>
      <c r="I44" s="236">
        <v>37.200000000000003</v>
      </c>
      <c r="J44" s="165">
        <v>20.85</v>
      </c>
      <c r="K44" s="143">
        <f t="shared" si="10"/>
        <v>5.9952923700000001E-2</v>
      </c>
      <c r="L44" s="133">
        <f t="shared" si="11"/>
        <v>6.0062270863412356E-2</v>
      </c>
      <c r="M44" s="133">
        <f t="shared" si="12"/>
        <v>6.0103156299999995E-2</v>
      </c>
      <c r="N44" s="140">
        <f t="shared" si="13"/>
        <v>1.0005702478943568</v>
      </c>
      <c r="O44" s="132" t="b">
        <f t="shared" si="14"/>
        <v>1</v>
      </c>
    </row>
    <row r="45" spans="1:15" x14ac:dyDescent="0.25">
      <c r="A45" s="130">
        <v>20</v>
      </c>
      <c r="B45" s="130">
        <v>17</v>
      </c>
      <c r="C45" s="130">
        <v>10</v>
      </c>
      <c r="D45" s="166">
        <v>5.0000000000000001E-3</v>
      </c>
      <c r="E45" s="187">
        <v>10000000</v>
      </c>
      <c r="F45" s="133">
        <v>0.94512832000000002</v>
      </c>
      <c r="G45" s="133">
        <v>5.4871679999999999E-2</v>
      </c>
      <c r="H45" s="143">
        <v>7.2014400000000006E-5</v>
      </c>
      <c r="I45" s="165">
        <v>37.25</v>
      </c>
      <c r="J45" s="165">
        <v>20.89</v>
      </c>
      <c r="K45" s="143">
        <f t="shared" si="10"/>
        <v>5.4799665599999998E-2</v>
      </c>
      <c r="L45" s="133">
        <f t="shared" si="11"/>
        <v>5.4891640031540727E-2</v>
      </c>
      <c r="M45" s="133">
        <f t="shared" si="12"/>
        <v>5.49436944E-2</v>
      </c>
      <c r="N45" s="140">
        <f t="shared" si="13"/>
        <v>1.0003637583456662</v>
      </c>
      <c r="O45" s="132" t="b">
        <f t="shared" si="14"/>
        <v>1</v>
      </c>
    </row>
    <row r="46" spans="1:15" x14ac:dyDescent="0.25">
      <c r="A46" s="130">
        <v>20</v>
      </c>
      <c r="B46" s="130">
        <v>18</v>
      </c>
      <c r="C46" s="130">
        <v>10</v>
      </c>
      <c r="D46" s="166">
        <v>1E-3</v>
      </c>
      <c r="E46" s="187">
        <v>10000000</v>
      </c>
      <c r="F46" s="133">
        <v>0.94905938999999995</v>
      </c>
      <c r="G46" s="133">
        <v>5.0940609999999997E-2</v>
      </c>
      <c r="H46" s="143">
        <v>6.9530999999999995E-5</v>
      </c>
      <c r="I46" s="165">
        <v>37.270000000000003</v>
      </c>
      <c r="J46" s="165">
        <v>20.9</v>
      </c>
      <c r="K46" s="143">
        <f t="shared" si="10"/>
        <v>5.0871079E-2</v>
      </c>
      <c r="L46" s="133">
        <f t="shared" si="11"/>
        <v>5.0955693809855311E-2</v>
      </c>
      <c r="M46" s="133">
        <f t="shared" si="12"/>
        <v>5.1010140999999995E-2</v>
      </c>
      <c r="N46" s="140">
        <f t="shared" si="13"/>
        <v>1.0002961057956572</v>
      </c>
      <c r="O46" s="132" t="b">
        <f t="shared" si="14"/>
        <v>1</v>
      </c>
    </row>
    <row r="47" spans="1:15" x14ac:dyDescent="0.25">
      <c r="A47" s="130">
        <v>20</v>
      </c>
      <c r="B47" s="130">
        <v>19</v>
      </c>
      <c r="C47" s="130">
        <v>10</v>
      </c>
      <c r="D47" s="130">
        <v>1E-4</v>
      </c>
      <c r="E47" s="187">
        <v>10000000</v>
      </c>
      <c r="F47" s="133">
        <v>0.94988393999999998</v>
      </c>
      <c r="G47" s="133">
        <v>5.0116069999999999E-2</v>
      </c>
      <c r="H47" s="143">
        <v>6.8996000000000001E-5</v>
      </c>
      <c r="I47" s="165">
        <v>37.270000000000003</v>
      </c>
      <c r="J47" s="165">
        <v>20.92</v>
      </c>
      <c r="K47" s="143">
        <f t="shared" si="10"/>
        <v>5.0047073999999997E-2</v>
      </c>
      <c r="L47" s="133">
        <f t="shared" si="11"/>
        <v>5.0095056993963279E-2</v>
      </c>
      <c r="M47" s="133">
        <f t="shared" si="12"/>
        <v>5.0185066E-2</v>
      </c>
      <c r="N47" s="140">
        <f t="shared" si="13"/>
        <v>0.99958071321161612</v>
      </c>
      <c r="O47" s="132" t="b">
        <f t="shared" si="14"/>
        <v>1</v>
      </c>
    </row>
    <row r="48" spans="1:15" x14ac:dyDescent="0.25">
      <c r="A48" s="130">
        <v>20</v>
      </c>
      <c r="B48" s="130">
        <v>20</v>
      </c>
      <c r="C48" s="130">
        <v>10</v>
      </c>
      <c r="D48" s="166">
        <v>1.0000000000000001E-5</v>
      </c>
      <c r="E48" s="187">
        <v>10000000</v>
      </c>
      <c r="F48" s="133">
        <v>0.95000536999999996</v>
      </c>
      <c r="G48" s="133">
        <v>4.9994629999999998E-2</v>
      </c>
      <c r="H48" s="143">
        <v>6.8916699999999997E-5</v>
      </c>
      <c r="I48" s="165">
        <v>37.26</v>
      </c>
      <c r="J48" s="165">
        <v>20.9</v>
      </c>
      <c r="K48" s="143">
        <f t="shared" si="10"/>
        <v>4.9925713300000001E-2</v>
      </c>
      <c r="L48" s="133">
        <f t="shared" si="11"/>
        <v>5.0009500570002786E-2</v>
      </c>
      <c r="M48" s="133">
        <f t="shared" si="12"/>
        <v>5.0063546699999996E-2</v>
      </c>
      <c r="N48" s="140">
        <f t="shared" si="13"/>
        <v>1.000297443345471</v>
      </c>
      <c r="O48" s="132" t="b">
        <f t="shared" si="14"/>
        <v>1</v>
      </c>
    </row>
    <row r="49" spans="1:15" x14ac:dyDescent="0.25">
      <c r="A49" s="130">
        <v>20</v>
      </c>
      <c r="B49" s="130">
        <v>21</v>
      </c>
      <c r="C49" s="130">
        <v>10</v>
      </c>
      <c r="D49" s="166">
        <v>9.9999999999999995E-7</v>
      </c>
      <c r="E49" s="187">
        <v>10000000</v>
      </c>
      <c r="F49" s="133">
        <v>0.94997529999999997</v>
      </c>
      <c r="G49" s="133">
        <v>5.0024699999999998E-2</v>
      </c>
      <c r="H49" s="143">
        <v>6.8936400000000006E-5</v>
      </c>
      <c r="I49" s="165">
        <v>37.28</v>
      </c>
      <c r="J49" s="165">
        <v>20.92</v>
      </c>
      <c r="K49" s="143">
        <f t="shared" si="10"/>
        <v>4.9955763600000001E-2</v>
      </c>
      <c r="L49" s="133">
        <f t="shared" si="11"/>
        <v>5.0000950005478231E-2</v>
      </c>
      <c r="M49" s="133">
        <f t="shared" si="12"/>
        <v>5.0093636399999995E-2</v>
      </c>
      <c r="N49" s="140">
        <f t="shared" si="13"/>
        <v>0.99952523464365073</v>
      </c>
      <c r="O49" s="132" t="b">
        <f t="shared" si="14"/>
        <v>1</v>
      </c>
    </row>
    <row r="50" spans="1:15" ht="15.75" x14ac:dyDescent="0.25">
      <c r="A50" s="130">
        <v>20</v>
      </c>
      <c r="B50" s="130">
        <v>22</v>
      </c>
      <c r="C50" s="130">
        <v>10</v>
      </c>
      <c r="D50" s="241">
        <v>0</v>
      </c>
      <c r="E50" s="187">
        <v>10000000</v>
      </c>
      <c r="F50" s="133">
        <v>0.94997357000000004</v>
      </c>
      <c r="G50" s="237">
        <v>5.0026429999999997E-2</v>
      </c>
      <c r="H50" s="143">
        <v>6.8937500000000002E-5</v>
      </c>
      <c r="I50" s="236">
        <v>37.28</v>
      </c>
      <c r="J50" s="165">
        <v>20.92</v>
      </c>
      <c r="K50" s="143">
        <f t="shared" si="10"/>
        <v>4.9957492499999999E-2</v>
      </c>
      <c r="L50" s="133" t="e">
        <f t="shared" si="11"/>
        <v>#DIV/0!</v>
      </c>
      <c r="M50" s="133">
        <f t="shared" si="12"/>
        <v>5.0095367499999995E-2</v>
      </c>
      <c r="N50" s="140" t="e">
        <f t="shared" si="13"/>
        <v>#DIV/0!</v>
      </c>
      <c r="O50" s="132" t="e">
        <f t="shared" si="14"/>
        <v>#DIV/0!</v>
      </c>
    </row>
    <row r="51" spans="1:15" ht="15.75" x14ac:dyDescent="0.25">
      <c r="A51" s="37"/>
      <c r="B51" s="37"/>
      <c r="C51" s="37"/>
      <c r="D51" s="431"/>
      <c r="E51" s="413"/>
      <c r="F51" s="29"/>
      <c r="G51" s="415"/>
      <c r="H51" s="93"/>
      <c r="I51" s="407"/>
      <c r="J51" s="30"/>
      <c r="K51" s="93"/>
      <c r="L51" s="29"/>
      <c r="M51" s="29"/>
      <c r="N51" s="427"/>
      <c r="O51" s="95"/>
    </row>
    <row r="52" spans="1:15" ht="15.75" x14ac:dyDescent="0.25">
      <c r="A52" s="37"/>
      <c r="B52" s="37"/>
      <c r="C52" s="37"/>
      <c r="D52" s="431"/>
      <c r="E52" s="413"/>
      <c r="F52" s="29"/>
      <c r="G52" s="415"/>
      <c r="H52" s="93"/>
      <c r="I52" s="407"/>
      <c r="J52" s="30"/>
      <c r="K52" s="93"/>
      <c r="L52" s="29"/>
      <c r="M52" s="29"/>
      <c r="N52" s="427"/>
      <c r="O52" s="95"/>
    </row>
    <row r="53" spans="1:15" x14ac:dyDescent="0.25">
      <c r="A53"/>
      <c r="B53" s="8" t="s">
        <v>200</v>
      </c>
      <c r="I53" s="485" t="s">
        <v>202</v>
      </c>
      <c r="J53" s="486"/>
    </row>
    <row r="54" spans="1:15" ht="31.5" x14ac:dyDescent="0.35">
      <c r="A54" s="11" t="s">
        <v>205</v>
      </c>
      <c r="B54" s="22" t="s">
        <v>199</v>
      </c>
      <c r="C54" s="433" t="s">
        <v>27</v>
      </c>
      <c r="D54" s="22" t="s">
        <v>28</v>
      </c>
      <c r="E54" s="16" t="s">
        <v>25</v>
      </c>
      <c r="F54" s="16" t="s">
        <v>26</v>
      </c>
      <c r="H54" s="11" t="s">
        <v>205</v>
      </c>
      <c r="I54" s="433" t="s">
        <v>203</v>
      </c>
      <c r="J54" s="433" t="s">
        <v>204</v>
      </c>
    </row>
    <row r="55" spans="1:15" x14ac:dyDescent="0.25">
      <c r="A55" s="19">
        <v>1</v>
      </c>
      <c r="B55" s="430">
        <v>0.05</v>
      </c>
      <c r="C55" s="138">
        <v>0.17949499999999999</v>
      </c>
      <c r="D55" s="369">
        <v>3.8370793999999999E-3</v>
      </c>
      <c r="E55" s="24">
        <v>31.49</v>
      </c>
      <c r="F55" s="24">
        <v>15.89</v>
      </c>
      <c r="H55" s="19">
        <v>1</v>
      </c>
      <c r="I55" s="138">
        <v>0.17949499999999999</v>
      </c>
      <c r="J55" s="138">
        <v>0.175756</v>
      </c>
    </row>
    <row r="56" spans="1:15" x14ac:dyDescent="0.25">
      <c r="A56" s="19">
        <v>2</v>
      </c>
      <c r="B56" s="430">
        <v>0.1</v>
      </c>
      <c r="C56" s="138">
        <v>0.32565</v>
      </c>
      <c r="D56" s="369">
        <v>4.6858116E-3</v>
      </c>
      <c r="E56" s="24">
        <v>30.3</v>
      </c>
      <c r="F56" s="24">
        <v>16.03</v>
      </c>
      <c r="H56" s="19">
        <v>2</v>
      </c>
      <c r="I56" s="138">
        <v>0.32565</v>
      </c>
      <c r="J56" s="138">
        <v>0.32060650000000002</v>
      </c>
    </row>
    <row r="57" spans="1:15" x14ac:dyDescent="0.25">
      <c r="A57" s="19">
        <v>4</v>
      </c>
      <c r="B57" s="430">
        <v>0.2</v>
      </c>
      <c r="C57" s="138">
        <v>0.54842000000000002</v>
      </c>
      <c r="D57" s="369">
        <v>4.9761639999999999E-3</v>
      </c>
      <c r="E57" s="24">
        <v>28.13</v>
      </c>
      <c r="F57" s="24">
        <v>15.85</v>
      </c>
      <c r="H57" s="19">
        <v>4</v>
      </c>
      <c r="I57" s="138">
        <v>0.54842000000000002</v>
      </c>
      <c r="J57" s="138">
        <v>0.5388655</v>
      </c>
    </row>
    <row r="58" spans="1:15" x14ac:dyDescent="0.25">
      <c r="A58" s="19">
        <v>5</v>
      </c>
      <c r="B58" s="430">
        <v>0.25</v>
      </c>
      <c r="C58" s="138">
        <v>0.63099499999999997</v>
      </c>
      <c r="D58" s="369">
        <v>4.8251995000000002E-3</v>
      </c>
      <c r="E58" s="24">
        <v>27.11</v>
      </c>
      <c r="F58" s="24">
        <v>15.77</v>
      </c>
      <c r="H58" s="19">
        <v>5</v>
      </c>
      <c r="I58" s="138">
        <v>0.63099499999999997</v>
      </c>
      <c r="J58" s="138">
        <v>0.61966949999999998</v>
      </c>
    </row>
    <row r="59" spans="1:15" x14ac:dyDescent="0.25">
      <c r="A59" s="19">
        <v>10</v>
      </c>
      <c r="B59" s="430">
        <v>0.5</v>
      </c>
      <c r="C59" s="138">
        <v>0.87168999999999996</v>
      </c>
      <c r="D59" s="369">
        <v>3.3438602999999998E-3</v>
      </c>
      <c r="E59" s="24">
        <v>20.99</v>
      </c>
      <c r="F59" s="24">
        <v>14.84</v>
      </c>
      <c r="H59" s="19">
        <v>10</v>
      </c>
      <c r="I59" s="138">
        <v>0.87168999999999996</v>
      </c>
      <c r="J59" s="138">
        <v>0.85538150000000002</v>
      </c>
    </row>
    <row r="60" spans="1:15" x14ac:dyDescent="0.25">
      <c r="A60" s="19">
        <v>20</v>
      </c>
      <c r="B60" s="430">
        <v>1</v>
      </c>
      <c r="C60" s="138">
        <v>1</v>
      </c>
      <c r="D60" s="369">
        <v>0</v>
      </c>
      <c r="E60" s="24">
        <v>0</v>
      </c>
      <c r="F60" s="24">
        <v>0</v>
      </c>
      <c r="H60" s="19">
        <v>20</v>
      </c>
      <c r="I60" s="138">
        <v>1</v>
      </c>
      <c r="J60" s="138">
        <v>0.97896249999999996</v>
      </c>
    </row>
    <row r="61" spans="1:15" x14ac:dyDescent="0.25">
      <c r="B61" s="428"/>
      <c r="C61" s="90"/>
      <c r="G61" s="6"/>
      <c r="H61" s="5"/>
    </row>
    <row r="62" spans="1:15" x14ac:dyDescent="0.25">
      <c r="B62" s="8" t="s">
        <v>201</v>
      </c>
      <c r="C62" s="90"/>
      <c r="G62" s="6"/>
      <c r="H62" s="5"/>
    </row>
    <row r="63" spans="1:15" ht="31.5" x14ac:dyDescent="0.35">
      <c r="A63" s="11" t="s">
        <v>205</v>
      </c>
      <c r="B63" s="22" t="s">
        <v>199</v>
      </c>
      <c r="C63" s="433" t="s">
        <v>27</v>
      </c>
      <c r="D63" s="22" t="s">
        <v>28</v>
      </c>
      <c r="E63" s="16" t="s">
        <v>25</v>
      </c>
      <c r="F63" s="16" t="s">
        <v>26</v>
      </c>
    </row>
    <row r="64" spans="1:15" x14ac:dyDescent="0.25">
      <c r="A64" s="19">
        <v>1</v>
      </c>
      <c r="B64" s="429">
        <v>5.0000000000000001E-3</v>
      </c>
      <c r="C64" s="138">
        <v>0.175756</v>
      </c>
      <c r="D64" s="369">
        <v>1.2035892E-3</v>
      </c>
      <c r="E64" s="24">
        <v>85.49</v>
      </c>
      <c r="F64" s="24">
        <v>20.27</v>
      </c>
    </row>
    <row r="65" spans="1:6" x14ac:dyDescent="0.25">
      <c r="A65" s="19">
        <v>2</v>
      </c>
      <c r="B65" s="429">
        <v>0.01</v>
      </c>
      <c r="C65" s="138">
        <v>0.32060650000000002</v>
      </c>
      <c r="D65" s="369">
        <v>1.4758588000000001E-3</v>
      </c>
      <c r="E65" s="24">
        <v>84.54</v>
      </c>
      <c r="F65" s="24">
        <v>20.25</v>
      </c>
    </row>
    <row r="66" spans="1:6" x14ac:dyDescent="0.25">
      <c r="A66" s="19">
        <v>4</v>
      </c>
      <c r="B66" s="429">
        <v>0.02</v>
      </c>
      <c r="C66" s="138">
        <v>0.5388655</v>
      </c>
      <c r="D66" s="369">
        <v>1.576348E-3</v>
      </c>
      <c r="E66" s="24">
        <v>82.56</v>
      </c>
      <c r="F66" s="24">
        <v>20.170000000000002</v>
      </c>
    </row>
    <row r="67" spans="1:6" x14ac:dyDescent="0.25">
      <c r="A67" s="19">
        <v>5</v>
      </c>
      <c r="B67" s="429">
        <v>2.5000000000000001E-2</v>
      </c>
      <c r="C67" s="138">
        <v>0.61966949999999998</v>
      </c>
      <c r="D67" s="369">
        <v>1.5351799000000001E-3</v>
      </c>
      <c r="E67" s="24">
        <v>81.58</v>
      </c>
      <c r="F67" s="24">
        <v>20.14</v>
      </c>
    </row>
    <row r="68" spans="1:6" x14ac:dyDescent="0.25">
      <c r="A68" s="19">
        <v>10</v>
      </c>
      <c r="B68" s="429">
        <v>0.05</v>
      </c>
      <c r="C68" s="138">
        <v>0.85538150000000002</v>
      </c>
      <c r="D68" s="369">
        <v>1.1122180999999999E-3</v>
      </c>
      <c r="E68" s="24">
        <v>76.83</v>
      </c>
      <c r="F68" s="24">
        <v>19.62</v>
      </c>
    </row>
    <row r="69" spans="1:6" x14ac:dyDescent="0.25">
      <c r="A69" s="19">
        <v>20</v>
      </c>
      <c r="B69" s="429">
        <v>0.1</v>
      </c>
      <c r="C69" s="138">
        <v>0.97896249999999996</v>
      </c>
      <c r="D69" s="369">
        <v>4.5378900000000002E-4</v>
      </c>
      <c r="E69" s="24">
        <v>69.03</v>
      </c>
      <c r="F69" s="24">
        <v>18.23</v>
      </c>
    </row>
    <row r="70" spans="1:6" x14ac:dyDescent="0.25">
      <c r="A70" s="19">
        <v>40</v>
      </c>
      <c r="B70" s="429">
        <v>0.2</v>
      </c>
      <c r="C70" s="138">
        <v>0.99956800000000001</v>
      </c>
      <c r="D70" s="369">
        <v>6.5554899999999998E-5</v>
      </c>
      <c r="E70" s="24">
        <v>59.16</v>
      </c>
      <c r="F70" s="24">
        <v>16.28</v>
      </c>
    </row>
    <row r="71" spans="1:6" x14ac:dyDescent="0.25">
      <c r="A71" s="19">
        <v>100</v>
      </c>
      <c r="B71" s="429">
        <v>0.5</v>
      </c>
      <c r="C71" s="138">
        <v>1</v>
      </c>
      <c r="D71" s="434">
        <v>0</v>
      </c>
      <c r="E71" s="24">
        <v>43.84</v>
      </c>
      <c r="F71" s="24">
        <v>14.68</v>
      </c>
    </row>
    <row r="72" spans="1:6" x14ac:dyDescent="0.25">
      <c r="A72" s="19">
        <v>200</v>
      </c>
      <c r="B72" s="432">
        <v>1</v>
      </c>
      <c r="C72" s="138">
        <v>1</v>
      </c>
      <c r="D72" s="369">
        <v>0</v>
      </c>
      <c r="E72" s="24">
        <v>43.83</v>
      </c>
      <c r="F72" s="24">
        <v>14.67</v>
      </c>
    </row>
  </sheetData>
  <mergeCells count="1">
    <mergeCell ref="I53:J5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442B0-35CC-4EF1-9A67-B525A655CAD9}">
  <dimension ref="A1:Q28"/>
  <sheetViews>
    <sheetView showGridLines="0" zoomScaleNormal="100" workbookViewId="0">
      <pane ySplit="1" topLeftCell="A2" activePane="bottomLeft" state="frozen"/>
      <selection pane="bottomLeft" activeCell="O29" sqref="O29"/>
    </sheetView>
  </sheetViews>
  <sheetFormatPr defaultColWidth="9.140625" defaultRowHeight="15" x14ac:dyDescent="0.25"/>
  <cols>
    <col min="1" max="1" width="5.28515625" style="2" bestFit="1" customWidth="1"/>
    <col min="2" max="2" width="5" style="2" customWidth="1"/>
    <col min="3" max="3" width="4" style="2" bestFit="1" customWidth="1"/>
    <col min="4" max="4" width="9.140625" style="2"/>
    <col min="5" max="5" width="11.28515625" style="9" customWidth="1"/>
    <col min="6" max="7" width="9.140625" style="6"/>
    <col min="8" max="8" width="7.5703125" style="6" customWidth="1"/>
    <col min="9" max="9" width="4.5703125" style="5" bestFit="1" customWidth="1"/>
    <col min="10" max="10" width="6.42578125" style="5" bestFit="1" customWidth="1"/>
    <col min="11" max="11" width="10.140625" customWidth="1"/>
    <col min="12" max="12" width="7.7109375" bestFit="1" customWidth="1"/>
    <col min="13" max="13" width="8.85546875" style="45" customWidth="1"/>
    <col min="14" max="14" width="17.5703125" style="122" bestFit="1" customWidth="1"/>
    <col min="15" max="15" width="10.5703125" style="122" customWidth="1"/>
    <col min="16" max="16" width="15.7109375" style="122" customWidth="1"/>
    <col min="17" max="17" width="19.28515625" style="122" customWidth="1"/>
  </cols>
  <sheetData>
    <row r="1" spans="1:17" ht="31.5" customHeight="1" x14ac:dyDescent="0.25">
      <c r="B1" s="44" t="s">
        <v>137</v>
      </c>
    </row>
    <row r="2" spans="1:17" ht="33" customHeight="1" x14ac:dyDescent="0.25">
      <c r="A2" s="152" t="s">
        <v>0</v>
      </c>
      <c r="B2" s="152" t="s">
        <v>10</v>
      </c>
      <c r="C2" s="153" t="s">
        <v>11</v>
      </c>
      <c r="D2" s="152" t="s">
        <v>9</v>
      </c>
      <c r="E2" s="154" t="s">
        <v>3</v>
      </c>
      <c r="F2" s="155" t="s">
        <v>29</v>
      </c>
      <c r="G2" s="155" t="s">
        <v>27</v>
      </c>
      <c r="H2" s="155" t="s">
        <v>28</v>
      </c>
      <c r="I2" s="153" t="s">
        <v>25</v>
      </c>
      <c r="J2" s="153" t="s">
        <v>26</v>
      </c>
      <c r="K2" s="155" t="s">
        <v>151</v>
      </c>
      <c r="L2" s="172" t="s">
        <v>153</v>
      </c>
      <c r="M2" s="155" t="s">
        <v>152</v>
      </c>
      <c r="N2" s="156" t="s">
        <v>187</v>
      </c>
      <c r="O2" s="22" t="s">
        <v>173</v>
      </c>
      <c r="P2" s="162" t="s">
        <v>156</v>
      </c>
      <c r="Q2" s="125"/>
    </row>
    <row r="3" spans="1:17" x14ac:dyDescent="0.25">
      <c r="A3" s="19">
        <v>20</v>
      </c>
      <c r="B3" s="19">
        <v>24</v>
      </c>
      <c r="C3" s="19">
        <v>100</v>
      </c>
      <c r="D3" s="19">
        <v>1</v>
      </c>
      <c r="E3" s="34">
        <v>10000</v>
      </c>
      <c r="F3" s="117">
        <v>0.20311999999999999</v>
      </c>
      <c r="G3" s="117">
        <v>0.79688000000000003</v>
      </c>
      <c r="H3" s="117">
        <v>4.0228872000000002E-3</v>
      </c>
      <c r="I3" s="24">
        <v>16.2</v>
      </c>
      <c r="J3" s="24">
        <v>2.41</v>
      </c>
      <c r="K3" s="160">
        <f>G3-H3</f>
        <v>0.79285711280000004</v>
      </c>
      <c r="L3" s="36">
        <f t="shared" ref="L3:L24" si="0">(1-EXP(-2*D3))/(1-EXP(-4*C3*D3))</f>
        <v>0.8646647167633873</v>
      </c>
      <c r="M3" s="53">
        <f>G3+H3</f>
        <v>0.80090288720000002</v>
      </c>
      <c r="N3" s="121">
        <f>L3/G3</f>
        <v>1.0850626402512138</v>
      </c>
      <c r="O3" s="53">
        <f xml:space="preserve"> 1-EXP(-2*D3)</f>
        <v>0.8646647167633873</v>
      </c>
      <c r="P3" s="121" t="b">
        <f>AND(L3&gt;=K3,L3&lt;=M3)</f>
        <v>0</v>
      </c>
      <c r="Q3" s="95"/>
    </row>
    <row r="4" spans="1:17" x14ac:dyDescent="0.25">
      <c r="A4" s="19">
        <v>20</v>
      </c>
      <c r="B4" s="19">
        <v>25</v>
      </c>
      <c r="C4" s="19">
        <v>100</v>
      </c>
      <c r="D4" s="19">
        <v>0.9</v>
      </c>
      <c r="E4" s="34">
        <v>10000</v>
      </c>
      <c r="F4" s="117">
        <v>0.23394999999999999</v>
      </c>
      <c r="G4" s="117">
        <v>0.76605000000000001</v>
      </c>
      <c r="H4" s="117">
        <v>4.2331994000000001E-3</v>
      </c>
      <c r="I4" s="24">
        <v>17.350000000000001</v>
      </c>
      <c r="J4" s="24">
        <v>2.62</v>
      </c>
      <c r="K4" s="160">
        <f t="shared" ref="K4:K25" si="1">G4-H4</f>
        <v>0.76181680060000001</v>
      </c>
      <c r="L4" s="36">
        <f t="shared" si="0"/>
        <v>0.83470111177841344</v>
      </c>
      <c r="M4" s="53">
        <f t="shared" ref="M4:M25" si="2">G4+H4</f>
        <v>0.77028319940000001</v>
      </c>
      <c r="N4" s="121">
        <f t="shared" ref="N4:N25" si="3">L4/G4</f>
        <v>1.0896170116551314</v>
      </c>
      <c r="O4" s="53">
        <f t="shared" ref="O4:O12" si="4" xml:space="preserve"> 1-EXP(-2*D4)</f>
        <v>0.83470111177841344</v>
      </c>
      <c r="P4" s="121" t="b">
        <f t="shared" ref="P4:P24" si="5">AND(L4&gt;=K4,L4&lt;=M4)</f>
        <v>0</v>
      </c>
      <c r="Q4" s="95"/>
    </row>
    <row r="5" spans="1:17" x14ac:dyDescent="0.25">
      <c r="A5" s="19">
        <v>20</v>
      </c>
      <c r="B5" s="19">
        <v>26</v>
      </c>
      <c r="C5" s="19">
        <v>100</v>
      </c>
      <c r="D5" s="19">
        <v>0.8</v>
      </c>
      <c r="E5" s="34">
        <v>10000</v>
      </c>
      <c r="F5" s="117">
        <v>0.27097500000000002</v>
      </c>
      <c r="G5" s="117">
        <v>0.72902500000000003</v>
      </c>
      <c r="H5" s="117">
        <v>4.4443764999999996E-3</v>
      </c>
      <c r="I5" s="24">
        <v>18.760000000000002</v>
      </c>
      <c r="J5" s="24">
        <v>2.88</v>
      </c>
      <c r="K5" s="160">
        <f t="shared" si="1"/>
        <v>0.72458062350000008</v>
      </c>
      <c r="L5" s="36">
        <f t="shared" si="0"/>
        <v>0.79810348200534464</v>
      </c>
      <c r="M5" s="53">
        <f t="shared" si="2"/>
        <v>0.73346937649999999</v>
      </c>
      <c r="N5" s="121">
        <f t="shared" si="3"/>
        <v>1.0947546133607826</v>
      </c>
      <c r="O5" s="53">
        <f t="shared" si="4"/>
        <v>0.79810348200534464</v>
      </c>
      <c r="P5" s="121" t="b">
        <f t="shared" si="5"/>
        <v>0</v>
      </c>
      <c r="Q5" s="95"/>
    </row>
    <row r="6" spans="1:17" x14ac:dyDescent="0.25">
      <c r="A6" s="19">
        <v>20</v>
      </c>
      <c r="B6" s="19">
        <v>27</v>
      </c>
      <c r="C6" s="19">
        <v>100</v>
      </c>
      <c r="D6" s="19">
        <v>0.7</v>
      </c>
      <c r="E6" s="34">
        <v>10000</v>
      </c>
      <c r="F6" s="117">
        <v>0.30992999999999998</v>
      </c>
      <c r="G6" s="117">
        <v>0.69006999999999996</v>
      </c>
      <c r="H6" s="117">
        <v>4.6243200000000003E-3</v>
      </c>
      <c r="I6" s="24">
        <v>20.55</v>
      </c>
      <c r="J6" s="24">
        <v>3.23</v>
      </c>
      <c r="K6" s="160">
        <f t="shared" si="1"/>
        <v>0.68544567999999995</v>
      </c>
      <c r="L6" s="36">
        <f t="shared" si="0"/>
        <v>0.75340303605839354</v>
      </c>
      <c r="M6" s="53">
        <f t="shared" si="2"/>
        <v>0.69469431999999998</v>
      </c>
      <c r="N6" s="121">
        <f t="shared" si="3"/>
        <v>1.0917776979993241</v>
      </c>
      <c r="O6" s="53">
        <f t="shared" si="4"/>
        <v>0.75340303605839354</v>
      </c>
      <c r="P6" s="121" t="b">
        <f t="shared" si="5"/>
        <v>0</v>
      </c>
      <c r="Q6" s="95"/>
    </row>
    <row r="7" spans="1:17" x14ac:dyDescent="0.25">
      <c r="A7" s="19">
        <v>20</v>
      </c>
      <c r="B7" s="19">
        <v>28</v>
      </c>
      <c r="C7" s="19">
        <v>100</v>
      </c>
      <c r="D7" s="19">
        <v>0.6</v>
      </c>
      <c r="E7" s="34">
        <v>10000</v>
      </c>
      <c r="F7" s="117">
        <v>0.35694999999999999</v>
      </c>
      <c r="G7" s="117">
        <v>0.64305000000000001</v>
      </c>
      <c r="H7" s="117">
        <v>4.7905138E-3</v>
      </c>
      <c r="I7" s="24">
        <v>22.88</v>
      </c>
      <c r="J7" s="24">
        <v>3.7</v>
      </c>
      <c r="K7" s="160">
        <f t="shared" si="1"/>
        <v>0.63825948620000006</v>
      </c>
      <c r="L7" s="36">
        <f t="shared" si="0"/>
        <v>0.69880578808779781</v>
      </c>
      <c r="M7" s="53">
        <f t="shared" si="2"/>
        <v>0.64784051379999996</v>
      </c>
      <c r="N7" s="121">
        <f t="shared" si="3"/>
        <v>1.0867052143500471</v>
      </c>
      <c r="O7" s="53">
        <f t="shared" si="4"/>
        <v>0.69880578808779781</v>
      </c>
      <c r="P7" s="121" t="b">
        <f t="shared" si="5"/>
        <v>0</v>
      </c>
      <c r="Q7" s="95"/>
    </row>
    <row r="8" spans="1:17" x14ac:dyDescent="0.25">
      <c r="A8" s="19">
        <v>20</v>
      </c>
      <c r="B8" s="19">
        <v>29</v>
      </c>
      <c r="C8" s="19">
        <v>100</v>
      </c>
      <c r="D8" s="19">
        <v>0.5</v>
      </c>
      <c r="E8" s="34">
        <v>10000</v>
      </c>
      <c r="F8" s="117">
        <v>0.41680499999999998</v>
      </c>
      <c r="G8" s="117">
        <v>0.58319500000000002</v>
      </c>
      <c r="H8" s="117">
        <v>4.9299747E-3</v>
      </c>
      <c r="I8" s="24">
        <v>26.02</v>
      </c>
      <c r="J8" s="24">
        <v>4.33</v>
      </c>
      <c r="K8" s="160">
        <f t="shared" si="1"/>
        <v>0.57826502530000001</v>
      </c>
      <c r="L8" s="36">
        <f t="shared" si="0"/>
        <v>0.63212055882855767</v>
      </c>
      <c r="M8" s="53">
        <f t="shared" si="2"/>
        <v>0.58812497470000002</v>
      </c>
      <c r="N8" s="121">
        <f t="shared" si="3"/>
        <v>1.0838922810184546</v>
      </c>
      <c r="O8" s="53">
        <f t="shared" si="4"/>
        <v>0.63212055882855767</v>
      </c>
      <c r="P8" s="121" t="b">
        <f t="shared" si="5"/>
        <v>0</v>
      </c>
      <c r="Q8" s="95"/>
    </row>
    <row r="9" spans="1:17" x14ac:dyDescent="0.25">
      <c r="A9" s="19">
        <v>20</v>
      </c>
      <c r="B9" s="19">
        <v>30</v>
      </c>
      <c r="C9" s="19">
        <v>100</v>
      </c>
      <c r="D9" s="19">
        <v>0.4</v>
      </c>
      <c r="E9" s="34">
        <v>10000</v>
      </c>
      <c r="F9" s="117">
        <v>0.48869000000000001</v>
      </c>
      <c r="G9" s="117">
        <v>0.51131000000000004</v>
      </c>
      <c r="H9" s="117">
        <v>4.9985994000000004E-3</v>
      </c>
      <c r="I9" s="24">
        <v>30.56</v>
      </c>
      <c r="J9" s="24">
        <v>5.31</v>
      </c>
      <c r="K9" s="160">
        <f t="shared" si="1"/>
        <v>0.50631140060000002</v>
      </c>
      <c r="L9" s="36">
        <f t="shared" si="0"/>
        <v>0.55067103588277844</v>
      </c>
      <c r="M9" s="53">
        <f t="shared" si="2"/>
        <v>0.51630859940000007</v>
      </c>
      <c r="N9" s="121">
        <f t="shared" si="3"/>
        <v>1.0769807668200864</v>
      </c>
      <c r="O9" s="53">
        <f t="shared" si="4"/>
        <v>0.55067103588277844</v>
      </c>
      <c r="P9" s="121" t="b">
        <f t="shared" si="5"/>
        <v>0</v>
      </c>
      <c r="Q9" s="95"/>
    </row>
    <row r="10" spans="1:17" x14ac:dyDescent="0.25">
      <c r="A10" s="19">
        <v>20</v>
      </c>
      <c r="B10" s="19">
        <v>31</v>
      </c>
      <c r="C10" s="19">
        <v>100</v>
      </c>
      <c r="D10" s="19">
        <v>0.3</v>
      </c>
      <c r="E10" s="34">
        <v>10000</v>
      </c>
      <c r="F10" s="117">
        <v>0.57672500000000004</v>
      </c>
      <c r="G10" s="117">
        <v>0.42327500000000001</v>
      </c>
      <c r="H10" s="117">
        <v>4.9405867999999997E-3</v>
      </c>
      <c r="I10" s="24">
        <v>37.74</v>
      </c>
      <c r="J10" s="24">
        <v>6.89</v>
      </c>
      <c r="K10" s="160">
        <f t="shared" si="1"/>
        <v>0.41833441320000003</v>
      </c>
      <c r="L10" s="36">
        <f t="shared" si="0"/>
        <v>0.45118836390597361</v>
      </c>
      <c r="M10" s="53">
        <f t="shared" si="2"/>
        <v>0.42821558679999999</v>
      </c>
      <c r="N10" s="121">
        <f t="shared" si="3"/>
        <v>1.0659461671631294</v>
      </c>
      <c r="O10" s="53">
        <f t="shared" si="4"/>
        <v>0.45118836390597361</v>
      </c>
      <c r="P10" s="121" t="b">
        <f t="shared" si="5"/>
        <v>0</v>
      </c>
      <c r="Q10" s="95"/>
    </row>
    <row r="11" spans="1:17" x14ac:dyDescent="0.25">
      <c r="A11" s="19">
        <v>20</v>
      </c>
      <c r="B11" s="19">
        <v>32</v>
      </c>
      <c r="C11" s="19">
        <v>100</v>
      </c>
      <c r="D11" s="19">
        <v>0.2</v>
      </c>
      <c r="E11" s="34">
        <v>10000</v>
      </c>
      <c r="F11" s="117">
        <v>0.68525000000000003</v>
      </c>
      <c r="G11" s="117">
        <v>0.31474999999999997</v>
      </c>
      <c r="H11" s="117">
        <v>4.6439921E-3</v>
      </c>
      <c r="I11" s="24">
        <v>51.03</v>
      </c>
      <c r="J11" s="24">
        <v>10.14</v>
      </c>
      <c r="K11" s="160">
        <f t="shared" si="1"/>
        <v>0.31010600789999998</v>
      </c>
      <c r="L11" s="36">
        <f t="shared" si="0"/>
        <v>0.32967995396436067</v>
      </c>
      <c r="M11" s="53">
        <f t="shared" si="2"/>
        <v>0.31939399209999997</v>
      </c>
      <c r="N11" s="121">
        <f t="shared" si="3"/>
        <v>1.0474343255420515</v>
      </c>
      <c r="O11" s="259">
        <f t="shared" si="4"/>
        <v>0.32967995396436067</v>
      </c>
      <c r="P11" s="121" t="b">
        <f t="shared" si="5"/>
        <v>0</v>
      </c>
      <c r="Q11" s="95"/>
    </row>
    <row r="12" spans="1:17" x14ac:dyDescent="0.25">
      <c r="A12" s="19">
        <v>20</v>
      </c>
      <c r="B12" s="19">
        <v>33</v>
      </c>
      <c r="C12" s="19">
        <v>100</v>
      </c>
      <c r="D12" s="19">
        <v>0.1</v>
      </c>
      <c r="E12" s="34">
        <v>10000</v>
      </c>
      <c r="F12" s="117">
        <v>0.82369000000000003</v>
      </c>
      <c r="G12" s="117">
        <v>0.17630999999999999</v>
      </c>
      <c r="H12" s="117">
        <v>3.8105550999999998E-3</v>
      </c>
      <c r="I12" s="24">
        <v>85.57</v>
      </c>
      <c r="J12" s="24">
        <v>20.440000000000001</v>
      </c>
      <c r="K12" s="160">
        <f t="shared" si="1"/>
        <v>0.17249944489999999</v>
      </c>
      <c r="L12" s="36">
        <f t="shared" si="0"/>
        <v>0.18126924692201818</v>
      </c>
      <c r="M12" s="53">
        <f t="shared" si="2"/>
        <v>0.1801205551</v>
      </c>
      <c r="N12" s="121">
        <f t="shared" si="3"/>
        <v>1.0281279957008576</v>
      </c>
      <c r="O12" s="259">
        <f t="shared" si="4"/>
        <v>0.18126924692201818</v>
      </c>
      <c r="P12" s="121" t="b">
        <f t="shared" si="5"/>
        <v>0</v>
      </c>
      <c r="Q12" s="95"/>
    </row>
    <row r="13" spans="1:17" x14ac:dyDescent="0.25">
      <c r="A13" s="19">
        <v>20</v>
      </c>
      <c r="B13" s="19">
        <v>34</v>
      </c>
      <c r="C13" s="19">
        <v>100</v>
      </c>
      <c r="D13" s="19">
        <v>0.05</v>
      </c>
      <c r="E13" s="34">
        <v>10000</v>
      </c>
      <c r="F13" s="117">
        <v>0.90637500000000004</v>
      </c>
      <c r="G13" s="117">
        <v>9.3625E-2</v>
      </c>
      <c r="H13" s="117">
        <v>2.9127158E-3</v>
      </c>
      <c r="I13" s="24">
        <v>140.74</v>
      </c>
      <c r="J13" s="24">
        <v>41.2</v>
      </c>
      <c r="K13" s="160">
        <f t="shared" si="1"/>
        <v>9.0712284199999993E-2</v>
      </c>
      <c r="L13" s="36">
        <f t="shared" si="0"/>
        <v>9.516258216018518E-2</v>
      </c>
      <c r="M13" s="53">
        <f t="shared" si="2"/>
        <v>9.6537715800000007E-2</v>
      </c>
      <c r="N13" s="121">
        <f t="shared" si="3"/>
        <v>1.0164227734065172</v>
      </c>
      <c r="O13" s="95"/>
      <c r="P13" s="121" t="b">
        <f t="shared" si="5"/>
        <v>1</v>
      </c>
      <c r="Q13" s="95"/>
    </row>
    <row r="14" spans="1:17" x14ac:dyDescent="0.25">
      <c r="A14" s="19">
        <v>20</v>
      </c>
      <c r="B14" s="19">
        <v>35</v>
      </c>
      <c r="C14" s="19">
        <v>100</v>
      </c>
      <c r="D14" s="187">
        <v>0.01</v>
      </c>
      <c r="E14" s="164">
        <v>10000</v>
      </c>
      <c r="F14" s="143">
        <v>0.97957499999999997</v>
      </c>
      <c r="G14" s="143">
        <v>2.0424999999999999E-2</v>
      </c>
      <c r="H14" s="143">
        <v>1.4137901999999999E-3</v>
      </c>
      <c r="I14" s="165">
        <v>331.32</v>
      </c>
      <c r="J14" s="165">
        <v>161.72999999999999</v>
      </c>
      <c r="K14" s="143">
        <f t="shared" si="1"/>
        <v>1.9011209799999998E-2</v>
      </c>
      <c r="L14" s="133">
        <f t="shared" si="0"/>
        <v>2.0170767181041434E-2</v>
      </c>
      <c r="M14" s="133">
        <f t="shared" si="2"/>
        <v>2.1838790199999999E-2</v>
      </c>
      <c r="N14" s="132">
        <f t="shared" si="3"/>
        <v>0.98755286076090265</v>
      </c>
      <c r="O14" s="95"/>
      <c r="P14" s="132" t="b">
        <f t="shared" si="5"/>
        <v>1</v>
      </c>
      <c r="Q14" s="95"/>
    </row>
    <row r="15" spans="1:17" x14ac:dyDescent="0.25">
      <c r="A15" s="19">
        <v>20</v>
      </c>
      <c r="B15" s="19">
        <v>36</v>
      </c>
      <c r="C15" s="19">
        <v>100</v>
      </c>
      <c r="D15" s="130">
        <v>5.0000000000000001E-3</v>
      </c>
      <c r="E15" s="164">
        <v>10000</v>
      </c>
      <c r="F15" s="143">
        <v>0.98867499999999997</v>
      </c>
      <c r="G15" s="143">
        <v>1.1325E-2</v>
      </c>
      <c r="H15" s="143">
        <v>1.0571224000000001E-3</v>
      </c>
      <c r="I15" s="165">
        <v>375.96</v>
      </c>
      <c r="J15" s="165">
        <v>195.11</v>
      </c>
      <c r="K15" s="143">
        <f t="shared" si="1"/>
        <v>1.0267877599999999E-2</v>
      </c>
      <c r="L15" s="133">
        <f t="shared" si="0"/>
        <v>1.150754281737938E-2</v>
      </c>
      <c r="M15" s="133">
        <f t="shared" si="2"/>
        <v>1.2382122400000001E-2</v>
      </c>
      <c r="N15" s="132">
        <f t="shared" si="3"/>
        <v>1.016118571071027</v>
      </c>
      <c r="O15" s="95"/>
      <c r="P15" s="132" t="b">
        <f t="shared" si="5"/>
        <v>1</v>
      </c>
      <c r="Q15" s="95"/>
    </row>
    <row r="16" spans="1:17" ht="15.75" x14ac:dyDescent="0.25">
      <c r="A16" s="19">
        <v>20</v>
      </c>
      <c r="B16" s="19">
        <v>37</v>
      </c>
      <c r="C16" s="19">
        <v>100</v>
      </c>
      <c r="D16" s="243">
        <v>1E-3</v>
      </c>
      <c r="E16" s="164">
        <v>10000</v>
      </c>
      <c r="F16" s="143">
        <v>0.99375000000000002</v>
      </c>
      <c r="G16" s="239">
        <v>6.2500000000000003E-3</v>
      </c>
      <c r="H16" s="143">
        <v>7.8573480000000001E-4</v>
      </c>
      <c r="I16" s="236">
        <v>402.31</v>
      </c>
      <c r="J16" s="165">
        <v>218.72</v>
      </c>
      <c r="K16" s="143">
        <f t="shared" si="1"/>
        <v>5.4642652000000003E-3</v>
      </c>
      <c r="L16" s="133">
        <f t="shared" si="0"/>
        <v>6.0604271161810181E-3</v>
      </c>
      <c r="M16" s="133">
        <f t="shared" si="2"/>
        <v>7.0357348000000004E-3</v>
      </c>
      <c r="N16" s="132">
        <f t="shared" si="3"/>
        <v>0.96966833858896284</v>
      </c>
      <c r="O16" s="95"/>
      <c r="P16" s="258" t="b">
        <f t="shared" si="5"/>
        <v>1</v>
      </c>
      <c r="Q16" s="95"/>
    </row>
    <row r="17" spans="1:17" x14ac:dyDescent="0.25">
      <c r="A17" s="19">
        <v>20</v>
      </c>
      <c r="B17" s="19">
        <v>38</v>
      </c>
      <c r="C17" s="19">
        <v>100</v>
      </c>
      <c r="D17" s="130">
        <v>5.0000000000000001E-4</v>
      </c>
      <c r="E17" s="164">
        <v>10000</v>
      </c>
      <c r="F17" s="143">
        <v>0.99475499999999994</v>
      </c>
      <c r="G17" s="143">
        <v>5.2449999999999997E-3</v>
      </c>
      <c r="H17" s="143">
        <v>7.2033830000000005E-4</v>
      </c>
      <c r="I17" s="165">
        <v>400.06</v>
      </c>
      <c r="J17" s="165">
        <v>211.32</v>
      </c>
      <c r="K17" s="143">
        <f t="shared" si="1"/>
        <v>4.5246616999999999E-3</v>
      </c>
      <c r="L17" s="133">
        <f t="shared" si="0"/>
        <v>5.513898157556543E-3</v>
      </c>
      <c r="M17" s="133">
        <f t="shared" si="2"/>
        <v>5.9653382999999994E-3</v>
      </c>
      <c r="N17" s="257">
        <f t="shared" si="3"/>
        <v>1.0512675228897128</v>
      </c>
      <c r="O17" s="95"/>
      <c r="P17" s="258" t="b">
        <f t="shared" si="5"/>
        <v>1</v>
      </c>
      <c r="Q17" s="95"/>
    </row>
    <row r="18" spans="1:17" x14ac:dyDescent="0.25">
      <c r="A18" s="19">
        <v>20</v>
      </c>
      <c r="B18" s="19">
        <v>39</v>
      </c>
      <c r="C18" s="19">
        <v>100</v>
      </c>
      <c r="D18" s="187">
        <v>1E-4</v>
      </c>
      <c r="E18" s="164">
        <v>10000</v>
      </c>
      <c r="F18" s="143">
        <v>0.99473500000000004</v>
      </c>
      <c r="G18" s="143">
        <v>5.2649999999999997E-3</v>
      </c>
      <c r="H18" s="143">
        <v>7.2156689999999996E-4</v>
      </c>
      <c r="I18" s="165">
        <v>397.95</v>
      </c>
      <c r="J18" s="165">
        <v>199.52</v>
      </c>
      <c r="K18" s="143">
        <f t="shared" si="1"/>
        <v>4.5434331E-3</v>
      </c>
      <c r="L18" s="133">
        <f t="shared" si="0"/>
        <v>5.1001566162271281E-3</v>
      </c>
      <c r="M18" s="133">
        <f t="shared" si="2"/>
        <v>5.9865668999999995E-3</v>
      </c>
      <c r="N18" s="257">
        <f t="shared" si="3"/>
        <v>0.96869071533278794</v>
      </c>
      <c r="O18" s="59"/>
      <c r="P18" s="258" t="b">
        <f t="shared" si="5"/>
        <v>1</v>
      </c>
      <c r="Q18" s="95"/>
    </row>
    <row r="19" spans="1:17" x14ac:dyDescent="0.25">
      <c r="A19" s="19">
        <v>20</v>
      </c>
      <c r="B19" s="19">
        <v>40</v>
      </c>
      <c r="C19" s="19">
        <v>100</v>
      </c>
      <c r="D19" s="187">
        <v>5.0000000000000002E-5</v>
      </c>
      <c r="E19" s="164">
        <v>10000</v>
      </c>
      <c r="F19" s="143">
        <v>0.994695</v>
      </c>
      <c r="G19" s="143">
        <v>5.3049999999999998E-3</v>
      </c>
      <c r="H19" s="143">
        <v>7.2451589999999999E-4</v>
      </c>
      <c r="I19" s="165">
        <v>392.81</v>
      </c>
      <c r="J19" s="165">
        <v>203.97</v>
      </c>
      <c r="K19" s="143">
        <f t="shared" si="1"/>
        <v>4.5804840999999997E-3</v>
      </c>
      <c r="L19" s="133">
        <f t="shared" si="0"/>
        <v>5.0499141656390779E-3</v>
      </c>
      <c r="M19" s="133">
        <f t="shared" si="2"/>
        <v>6.0295158999999999E-3</v>
      </c>
      <c r="N19" s="257">
        <f t="shared" si="3"/>
        <v>0.95191595959266317</v>
      </c>
      <c r="O19" s="59"/>
      <c r="P19" s="258" t="b">
        <f t="shared" si="5"/>
        <v>1</v>
      </c>
      <c r="Q19" s="95"/>
    </row>
    <row r="20" spans="1:17" x14ac:dyDescent="0.25">
      <c r="A20" s="19">
        <v>20</v>
      </c>
      <c r="B20" s="19">
        <v>41</v>
      </c>
      <c r="C20" s="19">
        <v>100</v>
      </c>
      <c r="D20" s="187">
        <v>1.0000000000000001E-5</v>
      </c>
      <c r="E20" s="164">
        <v>10000</v>
      </c>
      <c r="F20" s="143">
        <v>0.99494000000000005</v>
      </c>
      <c r="G20" s="143">
        <v>5.0600000000000003E-3</v>
      </c>
      <c r="H20" s="143">
        <v>7.0811750000000003E-4</v>
      </c>
      <c r="I20" s="165">
        <v>395.07</v>
      </c>
      <c r="J20" s="165">
        <v>212.08</v>
      </c>
      <c r="K20" s="143">
        <f t="shared" si="1"/>
        <v>4.3518825000000002E-3</v>
      </c>
      <c r="L20" s="133">
        <f t="shared" si="0"/>
        <v>5.0099565669328361E-3</v>
      </c>
      <c r="M20" s="133">
        <f t="shared" si="2"/>
        <v>5.7681175000000003E-3</v>
      </c>
      <c r="N20" s="257">
        <f t="shared" si="3"/>
        <v>0.99010999346498729</v>
      </c>
      <c r="O20" s="59"/>
      <c r="P20" s="258" t="b">
        <f t="shared" si="5"/>
        <v>1</v>
      </c>
      <c r="Q20" s="95"/>
    </row>
    <row r="21" spans="1:17" x14ac:dyDescent="0.25">
      <c r="A21" s="19">
        <v>20</v>
      </c>
      <c r="B21" s="19">
        <v>42</v>
      </c>
      <c r="C21" s="19">
        <v>100</v>
      </c>
      <c r="D21" s="187">
        <v>5.0000000000000004E-6</v>
      </c>
      <c r="E21" s="164">
        <v>10000</v>
      </c>
      <c r="F21" s="143">
        <v>0.99485999999999997</v>
      </c>
      <c r="G21" s="143">
        <v>5.1399999999999996E-3</v>
      </c>
      <c r="H21" s="143">
        <v>7.1213669999999995E-4</v>
      </c>
      <c r="I21" s="165">
        <v>405.29</v>
      </c>
      <c r="J21" s="165">
        <v>210.4</v>
      </c>
      <c r="K21" s="143">
        <f t="shared" si="1"/>
        <v>4.4278632999999994E-3</v>
      </c>
      <c r="L21" s="133">
        <f t="shared" si="0"/>
        <v>5.0049766417445381E-3</v>
      </c>
      <c r="M21" s="133">
        <f t="shared" si="2"/>
        <v>5.8521366999999998E-3</v>
      </c>
      <c r="N21" s="257">
        <f t="shared" si="3"/>
        <v>0.97373086415263399</v>
      </c>
      <c r="O21" s="59"/>
      <c r="P21" s="258" t="b">
        <f t="shared" si="5"/>
        <v>1</v>
      </c>
      <c r="Q21" s="95"/>
    </row>
    <row r="22" spans="1:17" x14ac:dyDescent="0.25">
      <c r="A22" s="19">
        <v>20</v>
      </c>
      <c r="B22" s="19">
        <v>43</v>
      </c>
      <c r="C22" s="19">
        <v>100</v>
      </c>
      <c r="D22" s="187">
        <v>9.9999999999999995E-7</v>
      </c>
      <c r="E22" s="164">
        <v>10000</v>
      </c>
      <c r="F22" s="143">
        <v>0.99499000000000004</v>
      </c>
      <c r="G22" s="143">
        <v>5.0099999999999997E-3</v>
      </c>
      <c r="H22" s="143">
        <v>7.0437379999999995E-4</v>
      </c>
      <c r="I22" s="165">
        <v>385.9</v>
      </c>
      <c r="J22" s="165">
        <v>187.29</v>
      </c>
      <c r="K22" s="143">
        <f t="shared" si="1"/>
        <v>4.3056262E-3</v>
      </c>
      <c r="L22" s="133">
        <f t="shared" si="0"/>
        <v>5.0009950656437078E-3</v>
      </c>
      <c r="M22" s="133">
        <f t="shared" si="2"/>
        <v>5.7143737999999994E-3</v>
      </c>
      <c r="N22" s="257">
        <f t="shared" si="3"/>
        <v>0.99820260791291582</v>
      </c>
      <c r="O22" s="59"/>
      <c r="P22" s="258" t="b">
        <f t="shared" si="5"/>
        <v>1</v>
      </c>
      <c r="Q22" s="95"/>
    </row>
    <row r="23" spans="1:17" x14ac:dyDescent="0.25">
      <c r="A23" s="19">
        <v>20</v>
      </c>
      <c r="B23" s="19">
        <v>44</v>
      </c>
      <c r="C23" s="19">
        <v>100</v>
      </c>
      <c r="D23" s="187">
        <v>4.9999999999999998E-7</v>
      </c>
      <c r="E23" s="164">
        <v>10000</v>
      </c>
      <c r="F23" s="143">
        <v>0.994815</v>
      </c>
      <c r="G23" s="143">
        <v>5.1850000000000004E-3</v>
      </c>
      <c r="H23" s="143">
        <v>7.1654110000000004E-4</v>
      </c>
      <c r="I23" s="165">
        <v>387.67</v>
      </c>
      <c r="J23" s="165">
        <v>203.92</v>
      </c>
      <c r="K23" s="143">
        <f t="shared" si="1"/>
        <v>4.4684589000000005E-3</v>
      </c>
      <c r="L23" s="133">
        <f t="shared" si="0"/>
        <v>5.0004975163384612E-3</v>
      </c>
      <c r="M23" s="133">
        <f t="shared" si="2"/>
        <v>5.9015411000000002E-3</v>
      </c>
      <c r="N23" s="257">
        <f t="shared" si="3"/>
        <v>0.96441610729767802</v>
      </c>
      <c r="O23" s="59"/>
      <c r="P23" s="258" t="b">
        <f t="shared" si="5"/>
        <v>1</v>
      </c>
      <c r="Q23" s="95"/>
    </row>
    <row r="24" spans="1:17" x14ac:dyDescent="0.25">
      <c r="A24" s="19">
        <v>20</v>
      </c>
      <c r="B24" s="19">
        <v>45</v>
      </c>
      <c r="C24" s="19">
        <v>100</v>
      </c>
      <c r="D24" s="187">
        <v>9.9999999999999995E-8</v>
      </c>
      <c r="E24" s="164">
        <v>10000</v>
      </c>
      <c r="F24" s="143">
        <v>0.99497500000000005</v>
      </c>
      <c r="G24" s="143">
        <v>5.025E-3</v>
      </c>
      <c r="H24" s="143">
        <v>7.0585910000000001E-4</v>
      </c>
      <c r="I24" s="165">
        <v>403.27</v>
      </c>
      <c r="J24" s="165">
        <v>215.88</v>
      </c>
      <c r="K24" s="143">
        <f t="shared" si="1"/>
        <v>4.3191408999999998E-3</v>
      </c>
      <c r="L24" s="133">
        <f t="shared" si="0"/>
        <v>5.0000995012044209E-3</v>
      </c>
      <c r="M24" s="133">
        <f t="shared" si="2"/>
        <v>5.7308591000000001E-3</v>
      </c>
      <c r="N24" s="257">
        <f t="shared" si="3"/>
        <v>0.99504467685660114</v>
      </c>
      <c r="O24" s="59"/>
      <c r="P24" s="258" t="b">
        <f t="shared" si="5"/>
        <v>1</v>
      </c>
      <c r="Q24" s="95"/>
    </row>
    <row r="25" spans="1:17" ht="15.75" x14ac:dyDescent="0.25">
      <c r="A25" s="19">
        <v>20</v>
      </c>
      <c r="B25" s="19">
        <v>46</v>
      </c>
      <c r="C25" s="19">
        <v>100</v>
      </c>
      <c r="D25" s="240">
        <v>0</v>
      </c>
      <c r="E25" s="164">
        <v>10000</v>
      </c>
      <c r="F25" s="143">
        <v>0.99490999999999996</v>
      </c>
      <c r="G25" s="239">
        <v>5.0899999999999999E-3</v>
      </c>
      <c r="H25" s="143">
        <v>7.1023229999999998E-4</v>
      </c>
      <c r="I25" s="236">
        <v>396.37</v>
      </c>
      <c r="J25" s="165">
        <v>210</v>
      </c>
      <c r="K25" s="143">
        <f t="shared" si="1"/>
        <v>4.3797677000000004E-3</v>
      </c>
      <c r="L25" s="133">
        <v>5.0000000000000001E-3</v>
      </c>
      <c r="M25" s="133">
        <f t="shared" si="2"/>
        <v>5.8002322999999995E-3</v>
      </c>
      <c r="N25" s="257">
        <f t="shared" si="3"/>
        <v>0.98231827111984282</v>
      </c>
      <c r="O25" s="59"/>
      <c r="P25" s="258"/>
      <c r="Q25" s="95"/>
    </row>
    <row r="26" spans="1:17" x14ac:dyDescent="0.25">
      <c r="G26" s="261" t="s">
        <v>174</v>
      </c>
    </row>
    <row r="27" spans="1:17" x14ac:dyDescent="0.25">
      <c r="G27" s="260"/>
      <c r="L27" s="29"/>
      <c r="M27" s="29"/>
      <c r="N27" s="95"/>
      <c r="O27" s="95"/>
      <c r="P27" s="95"/>
      <c r="Q27" s="95"/>
    </row>
    <row r="28" spans="1:17" x14ac:dyDescent="0.25">
      <c r="D28" s="117"/>
      <c r="E28" s="42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Introduction</vt:lpstr>
      <vt:lpstr>No stochasticity</vt:lpstr>
      <vt:lpstr>Summary results 1</vt:lpstr>
      <vt:lpstr>Summary results (2)</vt:lpstr>
      <vt:lpstr>Summary results (3)</vt:lpstr>
      <vt:lpstr>Summary results (4)</vt:lpstr>
      <vt:lpstr>Summary (-s)</vt:lpstr>
      <vt:lpstr>Pop_10</vt:lpstr>
      <vt:lpstr>Pop_100</vt:lpstr>
      <vt:lpstr>Sum-generations vs s_A</vt:lpstr>
      <vt:lpstr>Sheet2</vt:lpstr>
      <vt:lpstr>Pop_1k</vt:lpstr>
      <vt:lpstr>Pop_10k</vt:lpstr>
      <vt:lpstr>Pop_100k</vt:lpstr>
      <vt:lpstr>Pop_1M</vt:lpstr>
      <vt:lpstr>StDev Gen</vt:lpstr>
      <vt:lpstr>Effect +s vs -s</vt:lpstr>
      <vt:lpstr>Pop_10 (-s)</vt:lpstr>
      <vt:lpstr>Pop_100 (-s)</vt:lpstr>
      <vt:lpstr>Pop_1k (-s)</vt:lpstr>
      <vt:lpstr>Pop_10k (-s)</vt:lpstr>
      <vt:lpstr>Pop_100k (-s)</vt:lpstr>
      <vt:lpstr>Perf. parallell proc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Anonymous</cp:lastModifiedBy>
  <dcterms:created xsi:type="dcterms:W3CDTF">2025-02-13T22:13:56Z</dcterms:created>
  <dcterms:modified xsi:type="dcterms:W3CDTF">2025-07-03T11:10:08Z</dcterms:modified>
</cp:coreProperties>
</file>