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olco\PycharmProjects\AryneLinearRegression\"/>
    </mc:Choice>
  </mc:AlternateContent>
  <xr:revisionPtr revIDLastSave="0" documentId="13_ncr:1_{9C6F57E5-88DC-4DE8-9AC6-2B34EED6EF7B}" xr6:coauthVersionLast="47" xr6:coauthVersionMax="47" xr10:uidLastSave="{00000000-0000-0000-0000-000000000000}"/>
  <bookViews>
    <workbookView xWindow="0" yWindow="0" windowWidth="20640" windowHeight="16680" activeTab="1" xr2:uid="{00000000-000D-0000-FFFF-FFFF00000000}"/>
  </bookViews>
  <sheets>
    <sheet name="Full Training + validation" sheetId="2" r:id="rId1"/>
    <sheet name="Data" sheetId="44" r:id="rId2"/>
  </sheets>
  <definedNames>
    <definedName name="_xlnm._FilterDatabase" localSheetId="0" hidden="1">'Full Training + validation'!$AB$1:$AB$23</definedName>
  </definedNames>
  <calcPr calcId="191029"/>
</workbook>
</file>

<file path=xl/calcChain.xml><?xml version="1.0" encoding="utf-8"?>
<calcChain xmlns="http://schemas.openxmlformats.org/spreadsheetml/2006/main">
  <c r="H40" i="44" l="1"/>
  <c r="I40" i="44"/>
  <c r="H41" i="44"/>
  <c r="I41" i="44"/>
  <c r="H42" i="44"/>
  <c r="I42" i="44"/>
  <c r="H43" i="44"/>
  <c r="I43" i="44"/>
  <c r="H44" i="44"/>
  <c r="I44" i="44"/>
  <c r="H24" i="44"/>
  <c r="I24" i="44"/>
  <c r="H25" i="44"/>
  <c r="I25" i="44"/>
  <c r="H26" i="44"/>
  <c r="I26" i="44"/>
  <c r="H27" i="44"/>
  <c r="I27" i="44"/>
  <c r="H28" i="44"/>
  <c r="I28" i="44"/>
  <c r="H2" i="44" l="1"/>
  <c r="H30" i="2"/>
  <c r="I30" i="2"/>
  <c r="P30" i="2"/>
  <c r="Q30" i="2"/>
  <c r="R30" i="2"/>
  <c r="U30" i="2" l="1"/>
  <c r="V30" i="2" s="1"/>
  <c r="W30" i="2"/>
  <c r="S17" i="44" l="1"/>
  <c r="R17" i="44"/>
  <c r="Q17" i="44"/>
  <c r="P17" i="44"/>
  <c r="I17" i="44"/>
  <c r="H17" i="44"/>
  <c r="R33" i="44"/>
  <c r="Q33" i="44"/>
  <c r="P33" i="44"/>
  <c r="I33" i="44"/>
  <c r="H33" i="44"/>
  <c r="R11" i="44"/>
  <c r="Q11" i="44"/>
  <c r="P11" i="44"/>
  <c r="I11" i="44"/>
  <c r="H11" i="44"/>
  <c r="R23" i="44"/>
  <c r="Q23" i="44"/>
  <c r="P23" i="44"/>
  <c r="I23" i="44"/>
  <c r="H23" i="44"/>
  <c r="U22" i="44"/>
  <c r="V22" i="44" s="1"/>
  <c r="P22" i="44"/>
  <c r="I22" i="44"/>
  <c r="H22" i="44"/>
  <c r="R32" i="44"/>
  <c r="Q32" i="44"/>
  <c r="P32" i="44"/>
  <c r="I32" i="44"/>
  <c r="H32" i="44"/>
  <c r="R31" i="44"/>
  <c r="Q31" i="44"/>
  <c r="P31" i="44"/>
  <c r="I31" i="44"/>
  <c r="H31" i="44"/>
  <c r="R21" i="44"/>
  <c r="Q21" i="44"/>
  <c r="P21" i="44"/>
  <c r="I21" i="44"/>
  <c r="H21" i="44"/>
  <c r="R10" i="44"/>
  <c r="Q10" i="44"/>
  <c r="P10" i="44"/>
  <c r="I10" i="44"/>
  <c r="H10" i="44"/>
  <c r="R9" i="44"/>
  <c r="Q9" i="44"/>
  <c r="P9" i="44"/>
  <c r="I9" i="44"/>
  <c r="H9" i="44"/>
  <c r="S16" i="44"/>
  <c r="R16" i="44"/>
  <c r="Q16" i="44"/>
  <c r="P16" i="44"/>
  <c r="I16" i="44"/>
  <c r="H16" i="44"/>
  <c r="R30" i="44"/>
  <c r="Q30" i="44"/>
  <c r="P30" i="44"/>
  <c r="I30" i="44"/>
  <c r="H30" i="44"/>
  <c r="R15" i="44"/>
  <c r="Q15" i="44"/>
  <c r="P15" i="44"/>
  <c r="I15" i="44"/>
  <c r="H15" i="44"/>
  <c r="U20" i="44"/>
  <c r="V20" i="44" s="1"/>
  <c r="P20" i="44"/>
  <c r="I20" i="44"/>
  <c r="H20" i="44"/>
  <c r="R39" i="44"/>
  <c r="Q39" i="44"/>
  <c r="P39" i="44"/>
  <c r="I39" i="44"/>
  <c r="H39" i="44"/>
  <c r="R19" i="44"/>
  <c r="Q19" i="44"/>
  <c r="P19" i="44"/>
  <c r="I19" i="44"/>
  <c r="H19" i="44"/>
  <c r="R14" i="44"/>
  <c r="Q14" i="44"/>
  <c r="P14" i="44"/>
  <c r="I14" i="44"/>
  <c r="H14" i="44"/>
  <c r="R44" i="44"/>
  <c r="Q44" i="44"/>
  <c r="P44" i="44"/>
  <c r="R43" i="44"/>
  <c r="Q43" i="44"/>
  <c r="P43" i="44"/>
  <c r="R38" i="44"/>
  <c r="Q38" i="44"/>
  <c r="P38" i="44"/>
  <c r="I38" i="44"/>
  <c r="H38" i="44"/>
  <c r="Q13" i="44"/>
  <c r="U13" i="44" s="1"/>
  <c r="V13" i="44" s="1"/>
  <c r="P13" i="44"/>
  <c r="I13" i="44"/>
  <c r="H13" i="44"/>
  <c r="R18" i="44"/>
  <c r="Q18" i="44"/>
  <c r="P18" i="44"/>
  <c r="I18" i="44"/>
  <c r="H18" i="44"/>
  <c r="R42" i="44"/>
  <c r="Q42" i="44"/>
  <c r="P42" i="44"/>
  <c r="R29" i="44"/>
  <c r="Q29" i="44"/>
  <c r="P29" i="44"/>
  <c r="I29" i="44"/>
  <c r="H29" i="44"/>
  <c r="R37" i="44"/>
  <c r="Q37" i="44"/>
  <c r="P37" i="44"/>
  <c r="I37" i="44"/>
  <c r="H37" i="44"/>
  <c r="R41" i="44"/>
  <c r="Q41" i="44"/>
  <c r="P41" i="44"/>
  <c r="R8" i="44"/>
  <c r="Q8" i="44"/>
  <c r="P8" i="44"/>
  <c r="I8" i="44"/>
  <c r="H8" i="44"/>
  <c r="S28" i="44"/>
  <c r="R28" i="44"/>
  <c r="Q28" i="44"/>
  <c r="P28" i="44"/>
  <c r="R36" i="44"/>
  <c r="Q36" i="44"/>
  <c r="P36" i="44"/>
  <c r="I36" i="44"/>
  <c r="H36" i="44"/>
  <c r="R27" i="44"/>
  <c r="Q27" i="44"/>
  <c r="P27" i="44"/>
  <c r="R35" i="44"/>
  <c r="Q35" i="44"/>
  <c r="P35" i="44"/>
  <c r="I35" i="44"/>
  <c r="H35" i="44"/>
  <c r="R26" i="44"/>
  <c r="Q26" i="44"/>
  <c r="P26" i="44"/>
  <c r="U34" i="44"/>
  <c r="V34" i="44" s="1"/>
  <c r="P34" i="44"/>
  <c r="I34" i="44"/>
  <c r="H34" i="44"/>
  <c r="R25" i="44"/>
  <c r="Q25" i="44"/>
  <c r="P25" i="44"/>
  <c r="R40" i="44"/>
  <c r="Q40" i="44"/>
  <c r="P40" i="44"/>
  <c r="R12" i="44"/>
  <c r="Q12" i="44"/>
  <c r="P12" i="44"/>
  <c r="I12" i="44"/>
  <c r="H12" i="44"/>
  <c r="R7" i="44"/>
  <c r="Q7" i="44"/>
  <c r="P7" i="44"/>
  <c r="I7" i="44"/>
  <c r="H7" i="44"/>
  <c r="R24" i="44"/>
  <c r="Q24" i="44"/>
  <c r="P24" i="44"/>
  <c r="R6" i="44"/>
  <c r="Q6" i="44"/>
  <c r="P6" i="44"/>
  <c r="I6" i="44"/>
  <c r="H6" i="44"/>
  <c r="T5" i="44"/>
  <c r="S5" i="44"/>
  <c r="R5" i="44"/>
  <c r="Q5" i="44"/>
  <c r="P5" i="44"/>
  <c r="I5" i="44"/>
  <c r="H5" i="44"/>
  <c r="R4" i="44"/>
  <c r="Q4" i="44"/>
  <c r="P4" i="44"/>
  <c r="I4" i="44"/>
  <c r="H4" i="44"/>
  <c r="R3" i="44"/>
  <c r="Q3" i="44"/>
  <c r="P3" i="44"/>
  <c r="I3" i="44"/>
  <c r="H3" i="44"/>
  <c r="R2" i="44"/>
  <c r="Q2" i="44"/>
  <c r="P2" i="44"/>
  <c r="I2" i="44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P6" i="2"/>
  <c r="Q6" i="2"/>
  <c r="R6" i="2"/>
  <c r="P19" i="2"/>
  <c r="Q19" i="2"/>
  <c r="R19" i="2"/>
  <c r="P28" i="2"/>
  <c r="Q28" i="2"/>
  <c r="R28" i="2"/>
  <c r="P18" i="2"/>
  <c r="Q18" i="2"/>
  <c r="R18" i="2"/>
  <c r="P37" i="2"/>
  <c r="Q37" i="2"/>
  <c r="R37" i="2"/>
  <c r="P20" i="2"/>
  <c r="Q20" i="2"/>
  <c r="R20" i="2"/>
  <c r="P21" i="2"/>
  <c r="Q21" i="2"/>
  <c r="R21" i="2"/>
  <c r="P17" i="2"/>
  <c r="Q17" i="2"/>
  <c r="R17" i="2"/>
  <c r="S17" i="2"/>
  <c r="P33" i="2"/>
  <c r="Q33" i="2"/>
  <c r="R33" i="2"/>
  <c r="P43" i="2"/>
  <c r="Q43" i="2"/>
  <c r="R43" i="2"/>
  <c r="P38" i="2"/>
  <c r="Q38" i="2"/>
  <c r="R38" i="2"/>
  <c r="P39" i="2"/>
  <c r="Q39" i="2"/>
  <c r="R39" i="2"/>
  <c r="W9" i="2" l="1"/>
  <c r="W23" i="2"/>
  <c r="W15" i="2"/>
  <c r="W39" i="2"/>
  <c r="W31" i="2"/>
  <c r="W7" i="2"/>
  <c r="W41" i="2"/>
  <c r="W33" i="2"/>
  <c r="W25" i="2"/>
  <c r="W17" i="2"/>
  <c r="W14" i="2"/>
  <c r="W38" i="2"/>
  <c r="W40" i="2"/>
  <c r="W32" i="2"/>
  <c r="W24" i="2"/>
  <c r="W16" i="2"/>
  <c r="W8" i="2"/>
  <c r="W22" i="2"/>
  <c r="W6" i="2"/>
  <c r="X6" i="2" s="1"/>
  <c r="Y6" i="2" s="1"/>
  <c r="Z6" i="2" s="1"/>
  <c r="W5" i="2"/>
  <c r="X5" i="2" s="1"/>
  <c r="Y5" i="2" s="1"/>
  <c r="W37" i="2"/>
  <c r="W21" i="2"/>
  <c r="W29" i="2"/>
  <c r="W13" i="2"/>
  <c r="W44" i="2"/>
  <c r="W36" i="2"/>
  <c r="W28" i="2"/>
  <c r="W20" i="2"/>
  <c r="W12" i="2"/>
  <c r="W4" i="2"/>
  <c r="X4" i="2" s="1"/>
  <c r="Y4" i="2" s="1"/>
  <c r="Z4" i="2" s="1"/>
  <c r="W43" i="2"/>
  <c r="W35" i="2"/>
  <c r="W27" i="2"/>
  <c r="W19" i="2"/>
  <c r="W11" i="2"/>
  <c r="W3" i="2"/>
  <c r="X3" i="2" s="1"/>
  <c r="Y3" i="2" s="1"/>
  <c r="Z3" i="2" s="1"/>
  <c r="W42" i="2"/>
  <c r="W34" i="2"/>
  <c r="W26" i="2"/>
  <c r="W18" i="2"/>
  <c r="W10" i="2"/>
  <c r="W2" i="2"/>
  <c r="X2" i="2" s="1"/>
  <c r="U4" i="44"/>
  <c r="V4" i="44" s="1"/>
  <c r="U40" i="44"/>
  <c r="V40" i="44" s="1"/>
  <c r="U27" i="44"/>
  <c r="V27" i="44" s="1"/>
  <c r="U8" i="44"/>
  <c r="V8" i="44" s="1"/>
  <c r="U30" i="44"/>
  <c r="V30" i="44" s="1"/>
  <c r="U3" i="44"/>
  <c r="U33" i="44"/>
  <c r="V33" i="44" s="1"/>
  <c r="U9" i="44"/>
  <c r="V9" i="44" s="1"/>
  <c r="U44" i="44"/>
  <c r="V44" i="44" s="1"/>
  <c r="U5" i="44"/>
  <c r="V5" i="44" s="1"/>
  <c r="U41" i="44"/>
  <c r="V41" i="44" s="1"/>
  <c r="U2" i="44"/>
  <c r="U11" i="44"/>
  <c r="V11" i="44" s="1"/>
  <c r="U43" i="44"/>
  <c r="V43" i="44" s="1"/>
  <c r="U23" i="44"/>
  <c r="V23" i="44" s="1"/>
  <c r="U35" i="44"/>
  <c r="V35" i="44" s="1"/>
  <c r="U31" i="44"/>
  <c r="V31" i="44" s="1"/>
  <c r="U15" i="44"/>
  <c r="V15" i="44" s="1"/>
  <c r="U12" i="44"/>
  <c r="V12" i="44" s="1"/>
  <c r="U16" i="44"/>
  <c r="V16" i="44" s="1"/>
  <c r="U32" i="44"/>
  <c r="V32" i="44" s="1"/>
  <c r="U6" i="44"/>
  <c r="U10" i="44"/>
  <c r="V10" i="44" s="1"/>
  <c r="U17" i="44"/>
  <c r="V17" i="44" s="1"/>
  <c r="U26" i="44"/>
  <c r="V26" i="44" s="1"/>
  <c r="U36" i="44"/>
  <c r="V36" i="44" s="1"/>
  <c r="U29" i="44"/>
  <c r="V29" i="44" s="1"/>
  <c r="U19" i="44"/>
  <c r="V19" i="44" s="1"/>
  <c r="U7" i="44"/>
  <c r="V7" i="44" s="1"/>
  <c r="U25" i="44"/>
  <c r="V25" i="44" s="1"/>
  <c r="U21" i="44"/>
  <c r="V21" i="44" s="1"/>
  <c r="U37" i="44"/>
  <c r="V37" i="44" s="1"/>
  <c r="U18" i="44"/>
  <c r="V18" i="44" s="1"/>
  <c r="U14" i="44"/>
  <c r="V14" i="44" s="1"/>
  <c r="U24" i="44"/>
  <c r="V24" i="44" s="1"/>
  <c r="U28" i="44"/>
  <c r="V28" i="44" s="1"/>
  <c r="U42" i="44"/>
  <c r="V42" i="44" s="1"/>
  <c r="U38" i="44"/>
  <c r="V38" i="44" s="1"/>
  <c r="U39" i="44"/>
  <c r="V39" i="44" s="1"/>
  <c r="U20" i="2"/>
  <c r="V20" i="2" s="1"/>
  <c r="U21" i="2"/>
  <c r="V21" i="2" s="1"/>
  <c r="U6" i="2"/>
  <c r="U17" i="2"/>
  <c r="V17" i="2" s="1"/>
  <c r="U18" i="2"/>
  <c r="V18" i="2" s="1"/>
  <c r="U33" i="2"/>
  <c r="V33" i="2" s="1"/>
  <c r="U37" i="2"/>
  <c r="V37" i="2" s="1"/>
  <c r="U19" i="2"/>
  <c r="U28" i="2"/>
  <c r="V28" i="2" s="1"/>
  <c r="U43" i="2"/>
  <c r="V43" i="2" s="1"/>
  <c r="U39" i="2"/>
  <c r="V39" i="2" s="1"/>
  <c r="U38" i="2"/>
  <c r="V38" i="2" s="1"/>
  <c r="Y2" i="2" l="1"/>
  <c r="Z2" i="2" s="1"/>
  <c r="Z12" i="2"/>
  <c r="Z11" i="2"/>
  <c r="Z14" i="2"/>
  <c r="AE6" i="2"/>
  <c r="AA6" i="2"/>
  <c r="AA14" i="2" s="1"/>
  <c r="V6" i="2"/>
  <c r="AD6" i="2" s="1"/>
  <c r="AA19" i="2"/>
  <c r="V19" i="2"/>
  <c r="V3" i="44"/>
  <c r="V2" i="44"/>
  <c r="V6" i="44"/>
  <c r="Z5" i="2"/>
  <c r="R11" i="2"/>
  <c r="Q11" i="2"/>
  <c r="P11" i="2"/>
  <c r="R7" i="2"/>
  <c r="Q7" i="2"/>
  <c r="P7" i="2"/>
  <c r="R13" i="2"/>
  <c r="Q13" i="2"/>
  <c r="P13" i="2"/>
  <c r="R15" i="2"/>
  <c r="Q15" i="2"/>
  <c r="P15" i="2"/>
  <c r="R14" i="2"/>
  <c r="Q14" i="2"/>
  <c r="P14" i="2"/>
  <c r="U12" i="2"/>
  <c r="V12" i="2" s="1"/>
  <c r="P12" i="2"/>
  <c r="R25" i="2"/>
  <c r="Q25" i="2"/>
  <c r="P25" i="2"/>
  <c r="R16" i="2"/>
  <c r="Q16" i="2"/>
  <c r="P16" i="2"/>
  <c r="R23" i="2"/>
  <c r="Q23" i="2"/>
  <c r="P23" i="2"/>
  <c r="U40" i="2"/>
  <c r="V40" i="2" s="1"/>
  <c r="P40" i="2"/>
  <c r="U31" i="2"/>
  <c r="V31" i="2" s="1"/>
  <c r="P31" i="2"/>
  <c r="R41" i="2"/>
  <c r="Q41" i="2"/>
  <c r="P41" i="2"/>
  <c r="R29" i="2"/>
  <c r="Q29" i="2"/>
  <c r="P29" i="2"/>
  <c r="R42" i="2"/>
  <c r="Q42" i="2"/>
  <c r="P42" i="2"/>
  <c r="R36" i="2"/>
  <c r="Q36" i="2"/>
  <c r="P36" i="2"/>
  <c r="R8" i="2"/>
  <c r="Q8" i="2"/>
  <c r="P8" i="2"/>
  <c r="R35" i="2"/>
  <c r="Q35" i="2"/>
  <c r="P35" i="2"/>
  <c r="S44" i="2"/>
  <c r="R44" i="2"/>
  <c r="Q44" i="2"/>
  <c r="P44" i="2"/>
  <c r="Q24" i="2"/>
  <c r="U24" i="2" s="1"/>
  <c r="V24" i="2" s="1"/>
  <c r="P24" i="2"/>
  <c r="R32" i="2"/>
  <c r="Q32" i="2"/>
  <c r="P32" i="2"/>
  <c r="R9" i="2"/>
  <c r="Q9" i="2"/>
  <c r="P9" i="2"/>
  <c r="S34" i="2"/>
  <c r="R34" i="2"/>
  <c r="Q34" i="2"/>
  <c r="P34" i="2"/>
  <c r="R26" i="2"/>
  <c r="Q26" i="2"/>
  <c r="P26" i="2"/>
  <c r="R22" i="2"/>
  <c r="Q22" i="2"/>
  <c r="P22" i="2"/>
  <c r="R27" i="2"/>
  <c r="Q27" i="2"/>
  <c r="P27" i="2"/>
  <c r="R10" i="2"/>
  <c r="Q10" i="2"/>
  <c r="P10" i="2"/>
  <c r="T5" i="2"/>
  <c r="S5" i="2"/>
  <c r="R5" i="2"/>
  <c r="Q5" i="2"/>
  <c r="P5" i="2"/>
  <c r="R4" i="2"/>
  <c r="Q4" i="2"/>
  <c r="P4" i="2"/>
  <c r="R3" i="2"/>
  <c r="Q3" i="2"/>
  <c r="P3" i="2"/>
  <c r="R2" i="2"/>
  <c r="Q2" i="2"/>
  <c r="P2" i="2"/>
  <c r="Z10" i="2" l="1"/>
  <c r="Z13" i="2"/>
  <c r="AD14" i="2"/>
  <c r="U35" i="2"/>
  <c r="V35" i="2" s="1"/>
  <c r="U36" i="2"/>
  <c r="V36" i="2" s="1"/>
  <c r="U22" i="2"/>
  <c r="V22" i="2" s="1"/>
  <c r="U25" i="2"/>
  <c r="V25" i="2" s="1"/>
  <c r="U9" i="2"/>
  <c r="V9" i="2" s="1"/>
  <c r="U42" i="2"/>
  <c r="V42" i="2" s="1"/>
  <c r="U41" i="2"/>
  <c r="V41" i="2" s="1"/>
  <c r="U13" i="2"/>
  <c r="V13" i="2" s="1"/>
  <c r="U15" i="2"/>
  <c r="V15" i="2" s="1"/>
  <c r="U27" i="2"/>
  <c r="V27" i="2" s="1"/>
  <c r="U26" i="2"/>
  <c r="V26" i="2" s="1"/>
  <c r="U32" i="2"/>
  <c r="V32" i="2" s="1"/>
  <c r="U5" i="2"/>
  <c r="V5" i="2" s="1"/>
  <c r="U11" i="2"/>
  <c r="V11" i="2" s="1"/>
  <c r="U4" i="2"/>
  <c r="V4" i="2" s="1"/>
  <c r="U14" i="2"/>
  <c r="V14" i="2" s="1"/>
  <c r="U8" i="2"/>
  <c r="V8" i="2" s="1"/>
  <c r="U3" i="2"/>
  <c r="V3" i="2" s="1"/>
  <c r="U34" i="2"/>
  <c r="V34" i="2" s="1"/>
  <c r="U29" i="2"/>
  <c r="V29" i="2" s="1"/>
  <c r="U10" i="2"/>
  <c r="V10" i="2" s="1"/>
  <c r="U16" i="2"/>
  <c r="V16" i="2" s="1"/>
  <c r="U2" i="2"/>
  <c r="U7" i="2"/>
  <c r="V7" i="2" s="1"/>
  <c r="U44" i="2"/>
  <c r="V44" i="2" s="1"/>
  <c r="U23" i="2"/>
  <c r="V23" i="2" s="1"/>
  <c r="AA2" i="2" l="1"/>
  <c r="V2" i="2"/>
  <c r="AD2" i="2" s="1"/>
  <c r="AA26" i="2"/>
  <c r="AD3" i="2"/>
  <c r="AA3" i="2"/>
  <c r="AD5" i="2"/>
  <c r="AA5" i="2"/>
  <c r="AD4" i="2"/>
  <c r="AA4" i="2"/>
  <c r="AA13" i="2" l="1"/>
  <c r="AD13" i="2" s="1"/>
  <c r="AE5" i="2"/>
  <c r="AA11" i="2"/>
  <c r="AD11" i="2" s="1"/>
  <c r="AE3" i="2"/>
  <c r="AD7" i="2"/>
  <c r="AA12" i="2"/>
  <c r="AD12" i="2" s="1"/>
  <c r="AE4" i="2"/>
  <c r="AA10" i="2"/>
  <c r="AD10" i="2" s="1"/>
  <c r="AD15" i="2" s="1"/>
  <c r="AE2" i="2"/>
  <c r="AE7" i="2" l="1"/>
  <c r="AF7" i="2" s="1"/>
  <c r="AG7" i="2" s="1"/>
</calcChain>
</file>

<file path=xl/sharedStrings.xml><?xml version="1.0" encoding="utf-8"?>
<sst xmlns="http://schemas.openxmlformats.org/spreadsheetml/2006/main" count="307" uniqueCount="86">
  <si>
    <t xml:space="preserve"> </t>
  </si>
  <si>
    <t>Precat. Used</t>
  </si>
  <si>
    <t>%Vbur(min)</t>
  </si>
  <si>
    <t>Aryne Used</t>
  </si>
  <si>
    <t>sigma meta</t>
  </si>
  <si>
    <t>charton</t>
  </si>
  <si>
    <t xml:space="preserve"> Yield 1</t>
  </si>
  <si>
    <t>Yield 2</t>
  </si>
  <si>
    <t>Yield 3</t>
  </si>
  <si>
    <t>Yield 4</t>
  </si>
  <si>
    <t>Average Yield</t>
  </si>
  <si>
    <t>B/A 1</t>
  </si>
  <si>
    <t>B/A 2</t>
  </si>
  <si>
    <t>B/A 3</t>
  </si>
  <si>
    <t>B/A 4</t>
  </si>
  <si>
    <t>Average B/A</t>
  </si>
  <si>
    <t>EEP-2023-532 &amp; 533</t>
  </si>
  <si>
    <t>TrixiePhos G3</t>
  </si>
  <si>
    <t>6-Me</t>
  </si>
  <si>
    <t>EEP-2023-514 &amp; 515</t>
  </si>
  <si>
    <t>6-Et</t>
  </si>
  <si>
    <t>EEP-2023-516 &amp; 517</t>
  </si>
  <si>
    <t>6-iPr</t>
  </si>
  <si>
    <r>
      <rPr>
        <sz val="10"/>
        <color theme="1"/>
        <rFont val="Arial"/>
        <family val="2"/>
      </rPr>
      <t xml:space="preserve">EEP-2023-518 &amp; 519 &amp; </t>
    </r>
    <r>
      <rPr>
        <sz val="10"/>
        <color rgb="FF980000"/>
        <rFont val="Arial"/>
        <family val="2"/>
      </rPr>
      <t>2024 32 &amp; 33</t>
    </r>
  </si>
  <si>
    <t>6-tBu</t>
  </si>
  <si>
    <t>EEP-2023-520 &amp; 531</t>
  </si>
  <si>
    <t>6-OMe</t>
  </si>
  <si>
    <t>6-Ph</t>
  </si>
  <si>
    <t>EEP-2023-606 &amp; 607</t>
  </si>
  <si>
    <t>PtBu3 G3</t>
  </si>
  <si>
    <t>EEP-2023-608 &amp; 609</t>
  </si>
  <si>
    <t>EEP-2023-610 &amp; 611</t>
  </si>
  <si>
    <t>EEP-2023-612 &amp; 613</t>
  </si>
  <si>
    <t>EEP-2023-614 &amp; 615</t>
  </si>
  <si>
    <t>EEP-2023-562 &amp; 563</t>
  </si>
  <si>
    <t>P(o-tol)3 G2</t>
  </si>
  <si>
    <t>EEP-2023-564 &amp; 565</t>
  </si>
  <si>
    <t>EEP-2023-566 &amp; 567</t>
  </si>
  <si>
    <t>EEP-2023-568</t>
  </si>
  <si>
    <t>EEP-2023-570 &amp; 571</t>
  </si>
  <si>
    <t>EEP-2023-698 &amp; 699</t>
  </si>
  <si>
    <t>EEP-2023-581 &amp; 582</t>
  </si>
  <si>
    <t>CataXcium G3</t>
  </si>
  <si>
    <t>EEP-2023-583 &amp; 584</t>
  </si>
  <si>
    <t>EEP-2023-585 &amp; 586</t>
  </si>
  <si>
    <t>EEP-2023-587 &amp; 588</t>
  </si>
  <si>
    <t>EEP-2023-589 &amp; 590</t>
  </si>
  <si>
    <t>EEP-2023-631 &amp; 632</t>
  </si>
  <si>
    <t>PCy3 G3</t>
  </si>
  <si>
    <t>EEP-2023-633 &amp; 634</t>
  </si>
  <si>
    <t>EEP-2023-635 &amp; 636</t>
  </si>
  <si>
    <t>EEP-2023-639 &amp; 640</t>
  </si>
  <si>
    <t>EEP-2023-702 &amp; 703</t>
  </si>
  <si>
    <t>EEP-2023-641 &amp; 642</t>
  </si>
  <si>
    <t>PPh3 G2</t>
  </si>
  <si>
    <t>EEP-2023-643 &amp; 644</t>
  </si>
  <si>
    <t>EEP-2023-645 &amp; 646</t>
  </si>
  <si>
    <t>EEP-2023-647 &amp; 648 &amp; 2024 14 &amp; 15</t>
  </si>
  <si>
    <t>EEP-2023-649 &amp; 650</t>
  </si>
  <si>
    <t>EEP-2023-704 &amp; 705</t>
  </si>
  <si>
    <t>EEP-2023-681 &amp; 682</t>
  </si>
  <si>
    <t>PPh2Me G3</t>
  </si>
  <si>
    <t>EEP-2023-683 &amp; 684</t>
  </si>
  <si>
    <t>EEP-2023-685 &amp; 686</t>
  </si>
  <si>
    <t>EEP-2023-687 &amp; 688</t>
  </si>
  <si>
    <t>EEP-2023-689 &amp; 690</t>
  </si>
  <si>
    <t>EEP-2023-661 &amp; 662</t>
  </si>
  <si>
    <t>PEt3 G3</t>
  </si>
  <si>
    <t>EEP-2023-663 &amp; 664</t>
  </si>
  <si>
    <t>EEP-2023-665 &amp; 666</t>
  </si>
  <si>
    <t>EEP-2023-667 &amp; 668</t>
  </si>
  <si>
    <t>EEP-2023-669 &amp; 670 &amp; 706</t>
  </si>
  <si>
    <r>
      <rPr>
        <sz val="10"/>
        <color theme="1"/>
        <rFont val="Arial"/>
        <family val="2"/>
      </rPr>
      <t xml:space="preserve">EEP-2023-518 &amp; 519 &amp; </t>
    </r>
    <r>
      <rPr>
        <sz val="10"/>
        <color rgb="FF980000"/>
        <rFont val="Arial"/>
        <family val="2"/>
      </rPr>
      <t>2024 32 &amp; 33</t>
    </r>
  </si>
  <si>
    <t>EEP-2024 12 &amp; 13</t>
  </si>
  <si>
    <t>%Vbur(boltz)</t>
  </si>
  <si>
    <t>cone angle  (Boltz)</t>
  </si>
  <si>
    <t>Cone angle(Min)</t>
  </si>
  <si>
    <t>o</t>
  </si>
  <si>
    <t>Norm cone(sigma meta)</t>
  </si>
  <si>
    <t>Norm cone(charton)</t>
  </si>
  <si>
    <r>
      <rPr>
        <sz val="10"/>
        <color theme="1"/>
        <rFont val="Calibri"/>
        <family val="2"/>
      </rPr>
      <t>ΔΔ</t>
    </r>
    <r>
      <rPr>
        <sz val="7.5"/>
        <color theme="1"/>
        <rFont val="Arial"/>
        <family val="2"/>
      </rPr>
      <t>G</t>
    </r>
  </si>
  <si>
    <t>Predicted B/A</t>
  </si>
  <si>
    <t>predicted percentage B</t>
  </si>
  <si>
    <t>actual percentage B</t>
  </si>
  <si>
    <t>Reaction ID</t>
  </si>
  <si>
    <t>Measured Gibbs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</si>
</sst>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98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7.5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rgb="FFD9D2E9"/>
      </patternFill>
    </fill>
    <fill>
      <patternFill patternType="solid">
        <fgColor rgb="FFF5C7D9"/>
        <bgColor indexed="64"/>
      </patternFill>
    </fill>
    <fill>
      <patternFill patternType="solid">
        <fgColor rgb="FFF5C7D9"/>
        <bgColor rgb="FFEAD1D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0" fontId="2" fillId="3" borderId="0" xfId="0" applyFont="1" applyFill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0" fontId="2" fillId="4" borderId="0" xfId="0" applyFont="1" applyFill="1" applyAlignment="1">
      <alignment horizontal="left"/>
    </xf>
    <xf numFmtId="0" fontId="1" fillId="5" borderId="0" xfId="0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0" fontId="1" fillId="7" borderId="0" xfId="0" applyFont="1" applyFill="1"/>
    <xf numFmtId="164" fontId="1" fillId="7" borderId="0" xfId="0" applyNumberFormat="1" applyFont="1" applyFill="1"/>
    <xf numFmtId="2" fontId="1" fillId="7" borderId="0" xfId="0" applyNumberFormat="1" applyFont="1" applyFill="1"/>
    <xf numFmtId="0" fontId="1" fillId="8" borderId="0" xfId="0" applyFont="1" applyFill="1"/>
    <xf numFmtId="164" fontId="1" fillId="8" borderId="0" xfId="0" applyNumberFormat="1" applyFont="1" applyFill="1"/>
    <xf numFmtId="2" fontId="1" fillId="8" borderId="0" xfId="0" applyNumberFormat="1" applyFont="1" applyFill="1"/>
    <xf numFmtId="0" fontId="2" fillId="8" borderId="0" xfId="0" applyFont="1" applyFill="1" applyAlignment="1">
      <alignment horizontal="left"/>
    </xf>
    <xf numFmtId="10" fontId="1" fillId="6" borderId="0" xfId="0" applyNumberFormat="1" applyFont="1" applyFill="1"/>
    <xf numFmtId="0" fontId="5" fillId="0" borderId="1" xfId="0" applyFont="1" applyBorder="1"/>
    <xf numFmtId="0" fontId="5" fillId="5" borderId="0" xfId="0" applyFont="1" applyFill="1"/>
    <xf numFmtId="0" fontId="5" fillId="0" borderId="0" xfId="0" applyFont="1"/>
    <xf numFmtId="0" fontId="6" fillId="0" borderId="1" xfId="0" applyFont="1" applyBorder="1"/>
    <xf numFmtId="0" fontId="1" fillId="9" borderId="0" xfId="0" applyFont="1" applyFill="1"/>
    <xf numFmtId="2" fontId="1" fillId="9" borderId="0" xfId="0" applyNumberFormat="1" applyFont="1" applyFill="1"/>
    <xf numFmtId="164" fontId="1" fillId="9" borderId="0" xfId="0" applyNumberFormat="1" applyFont="1" applyFill="1"/>
    <xf numFmtId="2" fontId="1" fillId="10" borderId="0" xfId="0" applyNumberFormat="1" applyFont="1" applyFill="1"/>
    <xf numFmtId="0" fontId="0" fillId="10" borderId="0" xfId="0" applyFill="1"/>
    <xf numFmtId="0" fontId="1" fillId="10" borderId="0" xfId="0" applyFont="1" applyFill="1"/>
    <xf numFmtId="164" fontId="1" fillId="10" borderId="0" xfId="0" applyNumberFormat="1" applyFont="1" applyFill="1"/>
    <xf numFmtId="0" fontId="2" fillId="11" borderId="0" xfId="0" applyFont="1" applyFill="1" applyAlignment="1">
      <alignment horizontal="left"/>
    </xf>
    <xf numFmtId="0" fontId="1" fillId="11" borderId="0" xfId="0" applyFont="1" applyFill="1"/>
    <xf numFmtId="164" fontId="1" fillId="11" borderId="0" xfId="0" applyNumberFormat="1" applyFont="1" applyFill="1"/>
    <xf numFmtId="2" fontId="1" fillId="11" borderId="0" xfId="0" applyNumberFormat="1" applyFont="1" applyFill="1"/>
    <xf numFmtId="0" fontId="1" fillId="12" borderId="0" xfId="0" applyFont="1" applyFill="1"/>
    <xf numFmtId="0" fontId="5" fillId="12" borderId="0" xfId="0" applyFont="1" applyFill="1"/>
    <xf numFmtId="164" fontId="1" fillId="12" borderId="0" xfId="0" applyNumberFormat="1" applyFont="1" applyFill="1"/>
    <xf numFmtId="2" fontId="1" fillId="12" borderId="0" xfId="0" applyNumberFormat="1" applyFont="1" applyFill="1"/>
    <xf numFmtId="0" fontId="2" fillId="13" borderId="0" xfId="0" applyFont="1" applyFill="1" applyAlignment="1">
      <alignment horizontal="left"/>
    </xf>
    <xf numFmtId="0" fontId="1" fillId="13" borderId="0" xfId="0" applyFont="1" applyFill="1"/>
    <xf numFmtId="164" fontId="1" fillId="13" borderId="0" xfId="0" applyNumberFormat="1" applyFont="1" applyFill="1"/>
    <xf numFmtId="2" fontId="1" fillId="13" borderId="0" xfId="0" applyNumberFormat="1" applyFont="1" applyFill="1"/>
    <xf numFmtId="0" fontId="1" fillId="14" borderId="0" xfId="0" applyFont="1" applyFill="1"/>
    <xf numFmtId="164" fontId="1" fillId="14" borderId="0" xfId="0" applyNumberFormat="1" applyFont="1" applyFill="1"/>
    <xf numFmtId="2" fontId="1" fillId="14" borderId="0" xfId="0" applyNumberFormat="1" applyFont="1" applyFill="1"/>
    <xf numFmtId="0" fontId="2" fillId="15" borderId="0" xfId="0" applyFont="1" applyFill="1" applyAlignment="1">
      <alignment horizontal="left"/>
    </xf>
    <xf numFmtId="0" fontId="1" fillId="15" borderId="0" xfId="0" applyFont="1" applyFill="1"/>
    <xf numFmtId="2" fontId="1" fillId="16" borderId="0" xfId="0" applyNumberFormat="1" applyFont="1" applyFill="1"/>
    <xf numFmtId="164" fontId="1" fillId="15" borderId="0" xfId="0" applyNumberFormat="1" applyFont="1" applyFill="1"/>
    <xf numFmtId="2" fontId="1" fillId="15" borderId="0" xfId="0" applyNumberFormat="1" applyFont="1" applyFill="1"/>
    <xf numFmtId="0" fontId="0" fillId="15" borderId="0" xfId="0" applyFill="1"/>
    <xf numFmtId="0" fontId="5" fillId="15" borderId="0" xfId="0" applyFont="1" applyFill="1"/>
    <xf numFmtId="10" fontId="1" fillId="15" borderId="0" xfId="0" applyNumberFormat="1" applyFont="1" applyFill="1"/>
    <xf numFmtId="0" fontId="1" fillId="17" borderId="0" xfId="0" applyFont="1" applyFill="1"/>
    <xf numFmtId="10" fontId="1" fillId="17" borderId="0" xfId="0" applyNumberFormat="1" applyFont="1" applyFill="1"/>
    <xf numFmtId="2" fontId="1" fillId="17" borderId="0" xfId="0" applyNumberFormat="1" applyFont="1" applyFill="1"/>
    <xf numFmtId="164" fontId="1" fillId="17" borderId="0" xfId="0" applyNumberFormat="1" applyFont="1" applyFill="1"/>
    <xf numFmtId="0" fontId="2" fillId="14" borderId="0" xfId="0" applyFont="1" applyFill="1" applyAlignment="1">
      <alignment horizontal="left"/>
    </xf>
    <xf numFmtId="4" fontId="1" fillId="17" borderId="0" xfId="0" applyNumberFormat="1" applyFont="1" applyFill="1"/>
    <xf numFmtId="0" fontId="1" fillId="18" borderId="0" xfId="0" applyFont="1" applyFill="1"/>
    <xf numFmtId="164" fontId="1" fillId="18" borderId="0" xfId="0" applyNumberFormat="1" applyFont="1" applyFill="1"/>
    <xf numFmtId="2" fontId="1" fillId="18" borderId="0" xfId="0" applyNumberFormat="1" applyFont="1" applyFill="1"/>
    <xf numFmtId="0" fontId="3" fillId="0" borderId="1" xfId="0" applyFont="1" applyBorder="1"/>
    <xf numFmtId="0" fontId="0" fillId="0" borderId="0" xfId="0" applyFill="1"/>
    <xf numFmtId="0" fontId="2" fillId="19" borderId="0" xfId="0" applyFont="1" applyFill="1" applyAlignment="1">
      <alignment horizontal="left"/>
    </xf>
    <xf numFmtId="0" fontId="1" fillId="19" borderId="0" xfId="0" applyFont="1" applyFill="1"/>
    <xf numFmtId="2" fontId="1" fillId="19" borderId="0" xfId="0" applyNumberFormat="1" applyFont="1" applyFill="1"/>
    <xf numFmtId="164" fontId="1" fillId="19" borderId="0" xfId="0" applyNumberFormat="1" applyFont="1" applyFill="1"/>
    <xf numFmtId="10" fontId="1" fillId="1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3398"/>
      <color rgb="FF7F0040"/>
      <color rgb="FF157C7F"/>
      <color rgb="FF064E90"/>
      <color rgb="FF0C638A"/>
      <color rgb="FF3E277D"/>
      <color rgb="FF66166C"/>
      <color rgb="FF989898"/>
      <color rgb="FFF5C7D9"/>
      <color rgb="FFBA2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24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'Full Training + validation'!$V$23:$V$44</c:f>
              <c:numCache>
                <c:formatCode>0.00</c:formatCode>
                <c:ptCount val="22"/>
                <c:pt idx="0">
                  <c:v>1.595585526826333</c:v>
                </c:pt>
                <c:pt idx="1">
                  <c:v>0.99123648392219033</c:v>
                </c:pt>
                <c:pt idx="2">
                  <c:v>-0.25474306586396717</c:v>
                </c:pt>
                <c:pt idx="3">
                  <c:v>1.7450146872601209</c:v>
                </c:pt>
                <c:pt idx="4">
                  <c:v>-0.69556364247050928</c:v>
                </c:pt>
                <c:pt idx="5">
                  <c:v>0.61439190926005272</c:v>
                </c:pt>
                <c:pt idx="6">
                  <c:v>-0.29797925830154015</c:v>
                </c:pt>
                <c:pt idx="7">
                  <c:v>-0.62078440598227913</c:v>
                </c:pt>
                <c:pt idx="8">
                  <c:v>0.29070901989757381</c:v>
                </c:pt>
                <c:pt idx="9">
                  <c:v>-4.9587442926128815E-2</c:v>
                </c:pt>
                <c:pt idx="10">
                  <c:v>-0.56754939329520815</c:v>
                </c:pt>
                <c:pt idx="11">
                  <c:v>-0.75117935154108739</c:v>
                </c:pt>
                <c:pt idx="12">
                  <c:v>-0.74735187579228024</c:v>
                </c:pt>
                <c:pt idx="13">
                  <c:v>-0.1257496909661617</c:v>
                </c:pt>
                <c:pt idx="14">
                  <c:v>0.6912229957690178</c:v>
                </c:pt>
                <c:pt idx="15">
                  <c:v>-0.41284134913213522</c:v>
                </c:pt>
                <c:pt idx="16">
                  <c:v>1.3445292867177749</c:v>
                </c:pt>
                <c:pt idx="17">
                  <c:v>0.87171704564628627</c:v>
                </c:pt>
                <c:pt idx="18">
                  <c:v>-3.8351484388420377E-2</c:v>
                </c:pt>
                <c:pt idx="19">
                  <c:v>1.5126523149827651</c:v>
                </c:pt>
                <c:pt idx="20">
                  <c:v>-0.51583286978596632</c:v>
                </c:pt>
                <c:pt idx="21">
                  <c:v>1.6306689395977298</c:v>
                </c:pt>
              </c:numCache>
            </c:numRef>
          </c:xVal>
          <c:yVal>
            <c:numRef>
              <c:f>'Full Training + validation'!$W$23:$W$44</c:f>
              <c:numCache>
                <c:formatCode>0.00</c:formatCode>
                <c:ptCount val="22"/>
                <c:pt idx="0">
                  <c:v>2.6219587905324926</c:v>
                </c:pt>
                <c:pt idx="1">
                  <c:v>2.3597251343091394</c:v>
                </c:pt>
                <c:pt idx="2">
                  <c:v>1.2230283954755952</c:v>
                </c:pt>
                <c:pt idx="3">
                  <c:v>2.5572159763190125</c:v>
                </c:pt>
                <c:pt idx="4">
                  <c:v>0.80736187363330503</c:v>
                </c:pt>
                <c:pt idx="5">
                  <c:v>2.4527743811450584</c:v>
                </c:pt>
                <c:pt idx="6">
                  <c:v>0.63033232979825971</c:v>
                </c:pt>
                <c:pt idx="7">
                  <c:v>0.6831170878555507</c:v>
                </c:pt>
                <c:pt idx="8">
                  <c:v>1.340406288464193</c:v>
                </c:pt>
                <c:pt idx="9">
                  <c:v>1.3338396930522434</c:v>
                </c:pt>
                <c:pt idx="10">
                  <c:v>0.53692117008535167</c:v>
                </c:pt>
                <c:pt idx="11">
                  <c:v>0.62724435757634533</c:v>
                </c:pt>
                <c:pt idx="12">
                  <c:v>0.649246159657485</c:v>
                </c:pt>
                <c:pt idx="13">
                  <c:v>1.3806266853623839</c:v>
                </c:pt>
                <c:pt idx="14">
                  <c:v>2.4648495780983879</c:v>
                </c:pt>
                <c:pt idx="15">
                  <c:v>1.1417667772527205</c:v>
                </c:pt>
                <c:pt idx="16">
                  <c:v>2.2334015172263912</c:v>
                </c:pt>
                <c:pt idx="17">
                  <c:v>2.3713422426626618</c:v>
                </c:pt>
                <c:pt idx="18">
                  <c:v>0.74867798957591547</c:v>
                </c:pt>
                <c:pt idx="19">
                  <c:v>2.4424970313279828</c:v>
                </c:pt>
                <c:pt idx="20">
                  <c:v>0.63772877127991323</c:v>
                </c:pt>
                <c:pt idx="21">
                  <c:v>2.609113921993448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A-43F2-A305-EDBA3E231754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93398"/>
                </a:solidFill>
              </a:ln>
              <a:effectLst/>
            </c:spPr>
          </c:marker>
          <c:xVal>
            <c:numRef>
              <c:f>'Full Training + validation'!$V$7:$V$22</c:f>
              <c:numCache>
                <c:formatCode>0.00</c:formatCode>
                <c:ptCount val="16"/>
                <c:pt idx="0">
                  <c:v>-0.36671935575980447</c:v>
                </c:pt>
                <c:pt idx="1">
                  <c:v>-0.65983962474136404</c:v>
                </c:pt>
                <c:pt idx="2">
                  <c:v>-0.56068337176436511</c:v>
                </c:pt>
                <c:pt idx="3">
                  <c:v>-0.74726797587868898</c:v>
                </c:pt>
                <c:pt idx="4">
                  <c:v>1.425252976797361</c:v>
                </c:pt>
                <c:pt idx="5">
                  <c:v>0.65226524808288666</c:v>
                </c:pt>
                <c:pt idx="6">
                  <c:v>-0.47002638789559903</c:v>
                </c:pt>
                <c:pt idx="7">
                  <c:v>1.2853771992480076</c:v>
                </c:pt>
                <c:pt idx="8">
                  <c:v>-0.50660756272891638</c:v>
                </c:pt>
                <c:pt idx="9">
                  <c:v>-0.65215033542009948</c:v>
                </c:pt>
                <c:pt idx="10">
                  <c:v>0.4508118715227144</c:v>
                </c:pt>
                <c:pt idx="11">
                  <c:v>1.2443017637621994</c:v>
                </c:pt>
                <c:pt idx="12">
                  <c:v>1.2282038445085051</c:v>
                </c:pt>
                <c:pt idx="13">
                  <c:v>0.5980220385704369</c:v>
                </c:pt>
                <c:pt idx="14">
                  <c:v>0.56415656325430852</c:v>
                </c:pt>
                <c:pt idx="15">
                  <c:v>-0.21129962351926446</c:v>
                </c:pt>
              </c:numCache>
            </c:numRef>
          </c:xVal>
          <c:yVal>
            <c:numRef>
              <c:f>'Full Training + validation'!$W$7:$W$22</c:f>
              <c:numCache>
                <c:formatCode>0.00</c:formatCode>
                <c:ptCount val="16"/>
                <c:pt idx="0">
                  <c:v>1.151616670370645</c:v>
                </c:pt>
                <c:pt idx="1">
                  <c:v>0.77114291394163481</c:v>
                </c:pt>
                <c:pt idx="2">
                  <c:v>0.74501024682232853</c:v>
                </c:pt>
                <c:pt idx="3">
                  <c:v>0.67973988534888874</c:v>
                </c:pt>
                <c:pt idx="4">
                  <c:v>2.2526688200349589</c:v>
                </c:pt>
                <c:pt idx="5">
                  <c:v>2.1636864308434571</c:v>
                </c:pt>
                <c:pt idx="6">
                  <c:v>0.64323038541029354</c:v>
                </c:pt>
                <c:pt idx="7">
                  <c:v>2.3923567653970688</c:v>
                </c:pt>
                <c:pt idx="8">
                  <c:v>0.54155312841822301</c:v>
                </c:pt>
                <c:pt idx="9">
                  <c:v>0.57513482633154134</c:v>
                </c:pt>
                <c:pt idx="10">
                  <c:v>2.1176876656901644</c:v>
                </c:pt>
                <c:pt idx="11">
                  <c:v>2.7006336103341408</c:v>
                </c:pt>
                <c:pt idx="12">
                  <c:v>2.827476687157207</c:v>
                </c:pt>
                <c:pt idx="13">
                  <c:v>2.2490054325576225</c:v>
                </c:pt>
                <c:pt idx="14">
                  <c:v>2.0995748702601698</c:v>
                </c:pt>
                <c:pt idx="15">
                  <c:v>1.4454718150553854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A-43F2-A305-EDBA3E231754}"/>
            </c:ext>
          </c:extLst>
        </c:ser>
        <c:ser>
          <c:idx val="2"/>
          <c:order val="2"/>
          <c:tx>
            <c:v>TrixiePhos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93398"/>
                </a:solidFill>
              </a:ln>
              <a:effectLst/>
            </c:spPr>
          </c:marker>
          <c:xVal>
            <c:numRef>
              <c:f>'Full Training + validation'!$V$2:$V$6</c:f>
              <c:numCache>
                <c:formatCode>0.00</c:formatCode>
                <c:ptCount val="5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</c:numCache>
            </c:numRef>
          </c:xVal>
          <c:yVal>
            <c:numRef>
              <c:f>'Full Training + validation'!$W$2:$W$6</c:f>
              <c:numCache>
                <c:formatCode>0.00</c:formatCode>
                <c:ptCount val="5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A-43F2-A305-EDBA3E231754}"/>
            </c:ext>
          </c:extLst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'Full Training + validation'!$V$2:$V$44</c:f>
              <c:numCache>
                <c:formatCode>0.00</c:formatCode>
                <c:ptCount val="43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  <c:pt idx="5">
                  <c:v>-0.36671935575980447</c:v>
                </c:pt>
                <c:pt idx="6">
                  <c:v>-0.65983962474136404</c:v>
                </c:pt>
                <c:pt idx="7">
                  <c:v>-0.56068337176436511</c:v>
                </c:pt>
                <c:pt idx="8">
                  <c:v>-0.74726797587868898</c:v>
                </c:pt>
                <c:pt idx="9">
                  <c:v>1.425252976797361</c:v>
                </c:pt>
                <c:pt idx="10">
                  <c:v>0.65226524808288666</c:v>
                </c:pt>
                <c:pt idx="11">
                  <c:v>-0.47002638789559903</c:v>
                </c:pt>
                <c:pt idx="12">
                  <c:v>1.2853771992480076</c:v>
                </c:pt>
                <c:pt idx="13">
                  <c:v>-0.50660756272891638</c:v>
                </c:pt>
                <c:pt idx="14">
                  <c:v>-0.65215033542009948</c:v>
                </c:pt>
                <c:pt idx="15">
                  <c:v>0.4508118715227144</c:v>
                </c:pt>
                <c:pt idx="16">
                  <c:v>1.2443017637621994</c:v>
                </c:pt>
                <c:pt idx="17">
                  <c:v>1.2282038445085051</c:v>
                </c:pt>
                <c:pt idx="18">
                  <c:v>0.5980220385704369</c:v>
                </c:pt>
                <c:pt idx="19">
                  <c:v>0.56415656325430852</c:v>
                </c:pt>
                <c:pt idx="20">
                  <c:v>-0.21129962351926446</c:v>
                </c:pt>
                <c:pt idx="21">
                  <c:v>1.595585526826333</c:v>
                </c:pt>
                <c:pt idx="22">
                  <c:v>0.99123648392219033</c:v>
                </c:pt>
                <c:pt idx="23">
                  <c:v>-0.25474306586396717</c:v>
                </c:pt>
                <c:pt idx="24">
                  <c:v>1.7450146872601209</c:v>
                </c:pt>
                <c:pt idx="25">
                  <c:v>-0.69556364247050928</c:v>
                </c:pt>
                <c:pt idx="26">
                  <c:v>0.61439190926005272</c:v>
                </c:pt>
                <c:pt idx="27">
                  <c:v>-0.29797925830154015</c:v>
                </c:pt>
                <c:pt idx="28">
                  <c:v>-0.62078440598227913</c:v>
                </c:pt>
                <c:pt idx="29">
                  <c:v>0.29070901989757381</c:v>
                </c:pt>
                <c:pt idx="30">
                  <c:v>-4.9587442926128815E-2</c:v>
                </c:pt>
                <c:pt idx="31">
                  <c:v>-0.56754939329520815</c:v>
                </c:pt>
                <c:pt idx="32">
                  <c:v>-0.75117935154108739</c:v>
                </c:pt>
                <c:pt idx="33">
                  <c:v>-0.74735187579228024</c:v>
                </c:pt>
                <c:pt idx="34">
                  <c:v>-0.1257496909661617</c:v>
                </c:pt>
                <c:pt idx="35">
                  <c:v>0.6912229957690178</c:v>
                </c:pt>
                <c:pt idx="36">
                  <c:v>-0.41284134913213522</c:v>
                </c:pt>
                <c:pt idx="37">
                  <c:v>1.3445292867177749</c:v>
                </c:pt>
                <c:pt idx="38">
                  <c:v>0.87171704564628627</c:v>
                </c:pt>
                <c:pt idx="39">
                  <c:v>-3.8351484388420377E-2</c:v>
                </c:pt>
                <c:pt idx="40">
                  <c:v>1.5126523149827651</c:v>
                </c:pt>
                <c:pt idx="41">
                  <c:v>-0.51583286978596632</c:v>
                </c:pt>
                <c:pt idx="42">
                  <c:v>1.6306689395977298</c:v>
                </c:pt>
              </c:numCache>
            </c:numRef>
          </c:xVal>
          <c:yVal>
            <c:numRef>
              <c:f>'Full Training + validation'!$W$2:$W$44</c:f>
              <c:numCache>
                <c:formatCode>0.00</c:formatCode>
                <c:ptCount val="43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  <c:pt idx="5">
                  <c:v>1.151616670370645</c:v>
                </c:pt>
                <c:pt idx="6">
                  <c:v>0.77114291394163481</c:v>
                </c:pt>
                <c:pt idx="7">
                  <c:v>0.74501024682232853</c:v>
                </c:pt>
                <c:pt idx="8">
                  <c:v>0.67973988534888874</c:v>
                </c:pt>
                <c:pt idx="9">
                  <c:v>2.2526688200349589</c:v>
                </c:pt>
                <c:pt idx="10">
                  <c:v>2.1636864308434571</c:v>
                </c:pt>
                <c:pt idx="11">
                  <c:v>0.64323038541029354</c:v>
                </c:pt>
                <c:pt idx="12">
                  <c:v>2.3923567653970688</c:v>
                </c:pt>
                <c:pt idx="13">
                  <c:v>0.54155312841822301</c:v>
                </c:pt>
                <c:pt idx="14">
                  <c:v>0.57513482633154134</c:v>
                </c:pt>
                <c:pt idx="15">
                  <c:v>2.1176876656901644</c:v>
                </c:pt>
                <c:pt idx="16">
                  <c:v>2.7006336103341408</c:v>
                </c:pt>
                <c:pt idx="17">
                  <c:v>2.827476687157207</c:v>
                </c:pt>
                <c:pt idx="18">
                  <c:v>2.2490054325576225</c:v>
                </c:pt>
                <c:pt idx="19">
                  <c:v>2.0995748702601698</c:v>
                </c:pt>
                <c:pt idx="20">
                  <c:v>1.4454718150553854</c:v>
                </c:pt>
                <c:pt idx="21">
                  <c:v>2.6219587905324926</c:v>
                </c:pt>
                <c:pt idx="22">
                  <c:v>2.3597251343091394</c:v>
                </c:pt>
                <c:pt idx="23">
                  <c:v>1.2230283954755952</c:v>
                </c:pt>
                <c:pt idx="24">
                  <c:v>2.5572159763190125</c:v>
                </c:pt>
                <c:pt idx="25">
                  <c:v>0.80736187363330503</c:v>
                </c:pt>
                <c:pt idx="26">
                  <c:v>2.4527743811450584</c:v>
                </c:pt>
                <c:pt idx="27">
                  <c:v>0.63033232979825971</c:v>
                </c:pt>
                <c:pt idx="28">
                  <c:v>0.6831170878555507</c:v>
                </c:pt>
                <c:pt idx="29">
                  <c:v>1.340406288464193</c:v>
                </c:pt>
                <c:pt idx="30">
                  <c:v>1.3338396930522434</c:v>
                </c:pt>
                <c:pt idx="31">
                  <c:v>0.53692117008535167</c:v>
                </c:pt>
                <c:pt idx="32">
                  <c:v>0.62724435757634533</c:v>
                </c:pt>
                <c:pt idx="33">
                  <c:v>0.649246159657485</c:v>
                </c:pt>
                <c:pt idx="34">
                  <c:v>1.3806266853623839</c:v>
                </c:pt>
                <c:pt idx="35">
                  <c:v>2.4648495780983879</c:v>
                </c:pt>
                <c:pt idx="36">
                  <c:v>1.1417667772527205</c:v>
                </c:pt>
                <c:pt idx="37">
                  <c:v>2.2334015172263912</c:v>
                </c:pt>
                <c:pt idx="38">
                  <c:v>2.3713422426626618</c:v>
                </c:pt>
                <c:pt idx="39">
                  <c:v>0.74867798957591547</c:v>
                </c:pt>
                <c:pt idx="40">
                  <c:v>2.4424970313279828</c:v>
                </c:pt>
                <c:pt idx="41">
                  <c:v>0.63772877127991323</c:v>
                </c:pt>
                <c:pt idx="42">
                  <c:v>2.609113921993448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AA-43F2-A305-EDBA3E231754}"/>
            </c:ext>
          </c:extLst>
        </c:ser>
        <c:ser>
          <c:idx val="4"/>
          <c:order val="4"/>
          <c:tx>
            <c:v>validation + Trixie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 Training + validation'!$V$2:$V$22</c:f>
              <c:numCache>
                <c:formatCode>0.00</c:formatCode>
                <c:ptCount val="21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  <c:pt idx="5">
                  <c:v>-0.36671935575980447</c:v>
                </c:pt>
                <c:pt idx="6">
                  <c:v>-0.65983962474136404</c:v>
                </c:pt>
                <c:pt idx="7">
                  <c:v>-0.56068337176436511</c:v>
                </c:pt>
                <c:pt idx="8">
                  <c:v>-0.74726797587868898</c:v>
                </c:pt>
                <c:pt idx="9">
                  <c:v>1.425252976797361</c:v>
                </c:pt>
                <c:pt idx="10">
                  <c:v>0.65226524808288666</c:v>
                </c:pt>
                <c:pt idx="11">
                  <c:v>-0.47002638789559903</c:v>
                </c:pt>
                <c:pt idx="12">
                  <c:v>1.2853771992480076</c:v>
                </c:pt>
                <c:pt idx="13">
                  <c:v>-0.50660756272891638</c:v>
                </c:pt>
                <c:pt idx="14">
                  <c:v>-0.65215033542009948</c:v>
                </c:pt>
                <c:pt idx="15">
                  <c:v>0.4508118715227144</c:v>
                </c:pt>
                <c:pt idx="16">
                  <c:v>1.2443017637621994</c:v>
                </c:pt>
                <c:pt idx="17">
                  <c:v>1.2282038445085051</c:v>
                </c:pt>
                <c:pt idx="18">
                  <c:v>0.5980220385704369</c:v>
                </c:pt>
                <c:pt idx="19">
                  <c:v>0.56415656325430852</c:v>
                </c:pt>
                <c:pt idx="20">
                  <c:v>-0.21129962351926446</c:v>
                </c:pt>
              </c:numCache>
            </c:numRef>
          </c:xVal>
          <c:yVal>
            <c:numRef>
              <c:f>'Full Training + validation'!$W$2:$W$22</c:f>
              <c:numCache>
                <c:formatCode>0.00</c:formatCode>
                <c:ptCount val="21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  <c:pt idx="5">
                  <c:v>1.151616670370645</c:v>
                </c:pt>
                <c:pt idx="6">
                  <c:v>0.77114291394163481</c:v>
                </c:pt>
                <c:pt idx="7">
                  <c:v>0.74501024682232853</c:v>
                </c:pt>
                <c:pt idx="8">
                  <c:v>0.67973988534888874</c:v>
                </c:pt>
                <c:pt idx="9">
                  <c:v>2.2526688200349589</c:v>
                </c:pt>
                <c:pt idx="10">
                  <c:v>2.1636864308434571</c:v>
                </c:pt>
                <c:pt idx="11">
                  <c:v>0.64323038541029354</c:v>
                </c:pt>
                <c:pt idx="12">
                  <c:v>2.3923567653970688</c:v>
                </c:pt>
                <c:pt idx="13">
                  <c:v>0.54155312841822301</c:v>
                </c:pt>
                <c:pt idx="14">
                  <c:v>0.57513482633154134</c:v>
                </c:pt>
                <c:pt idx="15">
                  <c:v>2.1176876656901644</c:v>
                </c:pt>
                <c:pt idx="16">
                  <c:v>2.7006336103341408</c:v>
                </c:pt>
                <c:pt idx="17">
                  <c:v>2.827476687157207</c:v>
                </c:pt>
                <c:pt idx="18">
                  <c:v>2.2490054325576225</c:v>
                </c:pt>
                <c:pt idx="19">
                  <c:v>2.0995748702601698</c:v>
                </c:pt>
                <c:pt idx="20">
                  <c:v>1.4454718150553854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AA-43F2-A305-EDBA3E23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</c:scatterChart>
      <c:valAx>
        <c:axId val="73377163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Measured </a:t>
                </a:r>
                <a:r>
                  <a:rPr lang="el-GR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ΔΔ</a:t>
                </a:r>
                <a:r>
                  <a:rPr lang="en-US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G</a:t>
                </a:r>
                <a:r>
                  <a:rPr lang="en-US" sz="1200" b="0" i="0" u="none" strike="noStrike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‡</a:t>
                </a:r>
                <a:r>
                  <a:rPr lang="en-US"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 (kcal/mol)</a:t>
                </a:r>
                <a:endParaRPr lang="en-US" sz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98989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Predicted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ΔΔ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G</a:t>
                </a:r>
                <a:r>
                  <a:rPr lang="en-US" sz="1200" b="0" i="0" u="none" strike="noStrike" kern="12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‡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 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657091</xdr:colOff>
      <xdr:row>44</xdr:row>
      <xdr:rowOff>90538</xdr:rowOff>
    </xdr:from>
    <xdr:to>
      <xdr:col>22</xdr:col>
      <xdr:colOff>1435069</xdr:colOff>
      <xdr:row>56</xdr:row>
      <xdr:rowOff>102591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22201-A8CD-4852-4CDF-2164E0F3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568662</xdr:colOff>
      <xdr:row>45</xdr:row>
      <xdr:rowOff>36834</xdr:rowOff>
    </xdr:from>
    <xdr:to>
      <xdr:col>19</xdr:col>
      <xdr:colOff>568662</xdr:colOff>
      <xdr:row>53</xdr:row>
      <xdr:rowOff>89481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E20011-8B25-48F3-A71B-033E9C5A56F7}"/>
            </a:ext>
          </a:extLst>
        </xdr:cNvPr>
        <xdr:cNvCxnSpPr/>
      </xdr:nvCxnSpPr>
      <xdr:spPr>
        <a:xfrm>
          <a:off x="16254186" y="7401810"/>
          <a:ext cx="0" cy="1650389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184005</xdr:colOff>
      <xdr:row>62</xdr:row>
      <xdr:rowOff>21649</xdr:rowOff>
    </xdr:from>
    <xdr:ext cx="1966308" cy="175346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699D5A-5DF9-0042-404E-B9402B450077}"/>
            </a:ext>
          </a:extLst>
        </xdr:cNvPr>
        <xdr:cNvSpPr txBox="1"/>
      </xdr:nvSpPr>
      <xdr:spPr>
        <a:xfrm>
          <a:off x="21561136" y="10672331"/>
          <a:ext cx="1966308" cy="17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R² = 0.90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-25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pred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0.94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-25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TrixiePhos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LOLO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0.90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5-fold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0.89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LOO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(Q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) = 0.89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22</xdr:col>
      <xdr:colOff>976475</xdr:colOff>
      <xdr:row>52</xdr:row>
      <xdr:rowOff>100889</xdr:rowOff>
    </xdr:from>
    <xdr:to>
      <xdr:col>22</xdr:col>
      <xdr:colOff>1040483</xdr:colOff>
      <xdr:row>52</xdr:row>
      <xdr:rowOff>165979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5DDF55-180F-85D8-B31D-59E049B8F2CF}"/>
            </a:ext>
          </a:extLst>
        </xdr:cNvPr>
        <xdr:cNvSpPr>
          <a:spLocks noChangeAspect="1"/>
        </xdr:cNvSpPr>
      </xdr:nvSpPr>
      <xdr:spPr>
        <a:xfrm>
          <a:off x="20288714" y="8854243"/>
          <a:ext cx="64008" cy="65090"/>
        </a:xfrm>
        <a:prstGeom prst="rect">
          <a:avLst/>
        </a:prstGeom>
        <a:noFill/>
        <a:ln>
          <a:solidFill>
            <a:srgbClr val="09339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1093699</xdr:colOff>
      <xdr:row>51</xdr:row>
      <xdr:rowOff>96400</xdr:rowOff>
    </xdr:from>
    <xdr:to>
      <xdr:col>22</xdr:col>
      <xdr:colOff>1157707</xdr:colOff>
      <xdr:row>51</xdr:row>
      <xdr:rowOff>161491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00147C-AA02-488B-B16C-ED55F210C894}"/>
            </a:ext>
          </a:extLst>
        </xdr:cNvPr>
        <xdr:cNvSpPr>
          <a:spLocks noChangeAspect="1"/>
        </xdr:cNvSpPr>
      </xdr:nvSpPr>
      <xdr:spPr>
        <a:xfrm>
          <a:off x="20405938" y="8650815"/>
          <a:ext cx="64008" cy="65091"/>
        </a:xfrm>
        <a:prstGeom prst="rect">
          <a:avLst/>
        </a:prstGeom>
        <a:noFill/>
        <a:ln>
          <a:solidFill>
            <a:srgbClr val="09339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976894</xdr:colOff>
      <xdr:row>50</xdr:row>
      <xdr:rowOff>90067</xdr:rowOff>
    </xdr:from>
    <xdr:to>
      <xdr:col>22</xdr:col>
      <xdr:colOff>1040902</xdr:colOff>
      <xdr:row>50</xdr:row>
      <xdr:rowOff>153790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AD3B720-379C-4783-0603-14AE6E8D7723}"/>
            </a:ext>
          </a:extLst>
        </xdr:cNvPr>
        <xdr:cNvSpPr/>
      </xdr:nvSpPr>
      <xdr:spPr>
        <a:xfrm>
          <a:off x="20289133" y="8445542"/>
          <a:ext cx="64008" cy="63723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963231</xdr:colOff>
      <xdr:row>51</xdr:row>
      <xdr:rowOff>127601</xdr:rowOff>
    </xdr:from>
    <xdr:to>
      <xdr:col>22</xdr:col>
      <xdr:colOff>1054671</xdr:colOff>
      <xdr:row>51</xdr:row>
      <xdr:rowOff>127601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CB651CE-3FA5-AE77-8215-1912C16B2AFF}"/>
            </a:ext>
          </a:extLst>
        </xdr:cNvPr>
        <xdr:cNvCxnSpPr/>
      </xdr:nvCxnSpPr>
      <xdr:spPr>
        <a:xfrm rot="2700000">
          <a:off x="20321190" y="8636296"/>
          <a:ext cx="0" cy="91440"/>
        </a:xfrm>
        <a:prstGeom prst="line">
          <a:avLst/>
        </a:prstGeom>
        <a:ln w="12700">
          <a:solidFill>
            <a:srgbClr val="0933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964097</xdr:colOff>
      <xdr:row>51</xdr:row>
      <xdr:rowOff>129242</xdr:rowOff>
    </xdr:from>
    <xdr:to>
      <xdr:col>22</xdr:col>
      <xdr:colOff>1055537</xdr:colOff>
      <xdr:row>51</xdr:row>
      <xdr:rowOff>129242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DEF06FA-B6F9-49C5-B933-66E040129525}"/>
            </a:ext>
          </a:extLst>
        </xdr:cNvPr>
        <xdr:cNvCxnSpPr/>
      </xdr:nvCxnSpPr>
      <xdr:spPr>
        <a:xfrm rot="18900000" flipH="1">
          <a:off x="20322056" y="8637937"/>
          <a:ext cx="0" cy="91440"/>
        </a:xfrm>
        <a:prstGeom prst="line">
          <a:avLst/>
        </a:prstGeom>
        <a:ln w="12700">
          <a:solidFill>
            <a:srgbClr val="0933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44"/>
  <sheetViews>
    <sheetView topLeftCell="H1" zoomScale="67" zoomScaleNormal="316" workbookViewId="0">
      <pane ySplit="1" topLeftCell="A17" activePane="bottomLeft" state="frozen"/>
      <selection pane="bottomLeft" activeCell="W53" sqref="W53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2" max="12" width="7" customWidth="1"/>
    <col min="13" max="13" width="8.5546875" customWidth="1"/>
    <col min="14" max="15" width="7.44140625" customWidth="1"/>
    <col min="16" max="16" width="8.88671875" customWidth="1"/>
    <col min="21" max="21" width="29.44140625" customWidth="1"/>
    <col min="23" max="23" width="31.88671875" customWidth="1"/>
    <col min="25" max="25" width="19" bestFit="1" customWidth="1"/>
    <col min="26" max="26" width="20.5546875" customWidth="1"/>
    <col min="27" max="27" width="18" customWidth="1"/>
  </cols>
  <sheetData>
    <row r="1" spans="1:39" ht="13.8" x14ac:dyDescent="0.3">
      <c r="A1" s="1" t="s">
        <v>0</v>
      </c>
      <c r="B1" s="1" t="s">
        <v>1</v>
      </c>
      <c r="C1" s="28" t="s">
        <v>75</v>
      </c>
      <c r="D1" s="28" t="s">
        <v>76</v>
      </c>
      <c r="E1" s="28" t="s">
        <v>74</v>
      </c>
      <c r="F1" s="1" t="s">
        <v>2</v>
      </c>
      <c r="G1" s="1" t="s">
        <v>3</v>
      </c>
      <c r="H1" s="28" t="s">
        <v>78</v>
      </c>
      <c r="I1" s="28" t="s">
        <v>79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31" t="s">
        <v>80</v>
      </c>
      <c r="W1" s="1"/>
      <c r="Y1" s="30" t="s">
        <v>81</v>
      </c>
      <c r="Z1" s="30" t="s">
        <v>82</v>
      </c>
      <c r="AA1" s="30" t="s">
        <v>83</v>
      </c>
    </row>
    <row r="2" spans="1:39" s="36" customFormat="1" ht="13.2" x14ac:dyDescent="0.25">
      <c r="A2" s="32" t="s">
        <v>16</v>
      </c>
      <c r="B2" s="32" t="s">
        <v>17</v>
      </c>
      <c r="C2" s="32">
        <v>213.3</v>
      </c>
      <c r="D2" s="32">
        <v>212.2</v>
      </c>
      <c r="E2" s="32">
        <v>58.4</v>
      </c>
      <c r="F2" s="32">
        <v>57.2</v>
      </c>
      <c r="G2" s="32" t="s">
        <v>18</v>
      </c>
      <c r="H2" s="33">
        <f t="shared" ref="H2:H44" si="0">(D2*J2)/25.46</f>
        <v>-0.58342498036135115</v>
      </c>
      <c r="I2" s="33">
        <f t="shared" ref="I2:I44" si="1">(D2*K2)/263.13</f>
        <v>0.41935165127503515</v>
      </c>
      <c r="J2" s="32">
        <v>-7.0000000000000007E-2</v>
      </c>
      <c r="K2" s="32">
        <v>0.52</v>
      </c>
      <c r="L2" s="34">
        <v>0.54600000000000004</v>
      </c>
      <c r="M2" s="34">
        <v>0.54200000000000004</v>
      </c>
      <c r="N2" s="32"/>
      <c r="O2" s="32"/>
      <c r="P2" s="34">
        <f t="shared" ref="P2:P11" si="2">AVERAGE(L2:N2)</f>
        <v>0.54400000000000004</v>
      </c>
      <c r="Q2" s="33">
        <f>1/2.13</f>
        <v>0.46948356807511737</v>
      </c>
      <c r="R2" s="33">
        <f>1/2.04</f>
        <v>0.49019607843137253</v>
      </c>
      <c r="S2" s="32"/>
      <c r="T2" s="32"/>
      <c r="U2" s="33">
        <f t="shared" ref="U2:U11" si="3">AVERAGE(Q2:S2)</f>
        <v>0.47983982325324492</v>
      </c>
      <c r="V2" s="33">
        <f t="shared" ref="V2:V44" si="4">LN(U2)*(0.001987203611*373.15)</f>
        <v>-0.54450400204623883</v>
      </c>
      <c r="W2" s="33">
        <f t="shared" ref="W2:W44" si="5">(H2*2.02272638933993)+(I2*4.76734437496854)</f>
        <v>0.81908463186277225</v>
      </c>
      <c r="X2" s="33">
        <f>(W2-1.3422)/0.9347</f>
        <v>-0.55966124760589264</v>
      </c>
      <c r="Y2" s="33">
        <f>EXP(X2/(0.001987203611*373.15))</f>
        <v>0.47013115427906499</v>
      </c>
      <c r="Z2" s="35">
        <f>Y2/(Y2+1)</f>
        <v>0.31978858002612143</v>
      </c>
      <c r="AA2" s="33">
        <f>U2/(U2+1)</f>
        <v>0.32425118969860972</v>
      </c>
      <c r="AB2" s="32">
        <v>1</v>
      </c>
      <c r="AC2" s="32"/>
      <c r="AD2" s="33">
        <f>X2-V2</f>
        <v>-1.5157245559653809E-2</v>
      </c>
      <c r="AE2" s="33">
        <f>Z2-AA2</f>
        <v>-4.4626096724882935E-3</v>
      </c>
      <c r="AF2" s="32"/>
      <c r="AG2" s="32"/>
      <c r="AH2" s="32"/>
      <c r="AI2" s="32"/>
      <c r="AJ2" s="32"/>
      <c r="AK2" s="32"/>
      <c r="AL2" s="32"/>
      <c r="AM2" s="32"/>
    </row>
    <row r="3" spans="1:39" s="36" customFormat="1" ht="13.2" x14ac:dyDescent="0.25">
      <c r="A3" s="37" t="s">
        <v>19</v>
      </c>
      <c r="B3" s="37" t="s">
        <v>17</v>
      </c>
      <c r="C3" s="37">
        <v>213.3</v>
      </c>
      <c r="D3" s="37">
        <v>212.2</v>
      </c>
      <c r="E3" s="37">
        <v>58.4</v>
      </c>
      <c r="F3" s="37">
        <v>57.2</v>
      </c>
      <c r="G3" s="37" t="s">
        <v>20</v>
      </c>
      <c r="H3" s="35">
        <f t="shared" si="0"/>
        <v>-0.58342498036135115</v>
      </c>
      <c r="I3" s="35">
        <f t="shared" si="1"/>
        <v>0.45160947060388407</v>
      </c>
      <c r="J3" s="37">
        <v>-7.0000000000000007E-2</v>
      </c>
      <c r="K3" s="37">
        <v>0.56000000000000005</v>
      </c>
      <c r="L3" s="38">
        <v>0.64400000000000002</v>
      </c>
      <c r="M3" s="38">
        <v>0.60599999999999998</v>
      </c>
      <c r="N3" s="37"/>
      <c r="O3" s="37"/>
      <c r="P3" s="38">
        <f t="shared" si="2"/>
        <v>0.625</v>
      </c>
      <c r="Q3" s="35">
        <f>1/1.93</f>
        <v>0.5181347150259068</v>
      </c>
      <c r="R3" s="35">
        <f>1/2.04</f>
        <v>0.49019607843137253</v>
      </c>
      <c r="S3" s="37"/>
      <c r="T3" s="37"/>
      <c r="U3" s="35">
        <f t="shared" si="3"/>
        <v>0.50416539672863969</v>
      </c>
      <c r="V3" s="35">
        <f t="shared" si="4"/>
        <v>-0.50783407992184604</v>
      </c>
      <c r="W3" s="35">
        <f t="shared" si="5"/>
        <v>0.97286876538891165</v>
      </c>
      <c r="X3" s="35">
        <f>(W3-1.3422)/0.9347</f>
        <v>-0.39513344881896695</v>
      </c>
      <c r="Y3" s="35">
        <f>EXP(X3/(0.001987203611*373.15))</f>
        <v>0.58692046385469465</v>
      </c>
      <c r="Z3" s="35">
        <f>Y3/(Y3+1)</f>
        <v>0.36984869577460788</v>
      </c>
      <c r="AA3" s="35">
        <f>U3/(U3+1)</f>
        <v>0.33517949410691977</v>
      </c>
      <c r="AB3" s="37">
        <v>2</v>
      </c>
      <c r="AC3" s="37"/>
      <c r="AD3" s="35">
        <f>X3-V3</f>
        <v>0.11270063110287909</v>
      </c>
      <c r="AE3" s="33">
        <f t="shared" ref="AE3:AE6" si="6">Z3-AA3</f>
        <v>3.466920166768811E-2</v>
      </c>
      <c r="AF3" s="37"/>
      <c r="AG3" s="37"/>
      <c r="AH3" s="37"/>
      <c r="AI3" s="37"/>
      <c r="AJ3" s="37"/>
      <c r="AK3" s="37"/>
      <c r="AL3" s="37"/>
      <c r="AM3" s="37"/>
    </row>
    <row r="4" spans="1:39" s="36" customFormat="1" ht="13.2" x14ac:dyDescent="0.25">
      <c r="A4" s="32" t="s">
        <v>21</v>
      </c>
      <c r="B4" s="32" t="s">
        <v>17</v>
      </c>
      <c r="C4" s="32">
        <v>213.3</v>
      </c>
      <c r="D4" s="32">
        <v>212.2</v>
      </c>
      <c r="E4" s="32">
        <v>58.4</v>
      </c>
      <c r="F4" s="32">
        <v>57.2</v>
      </c>
      <c r="G4" s="32" t="s">
        <v>22</v>
      </c>
      <c r="H4" s="33">
        <f t="shared" si="0"/>
        <v>-0.58342498036135115</v>
      </c>
      <c r="I4" s="33">
        <f t="shared" si="1"/>
        <v>0.6128985672481283</v>
      </c>
      <c r="J4" s="32">
        <v>-7.0000000000000007E-2</v>
      </c>
      <c r="K4" s="32">
        <v>0.76</v>
      </c>
      <c r="L4" s="34">
        <v>0.59499999999999997</v>
      </c>
      <c r="M4" s="34">
        <v>0.65400000000000003</v>
      </c>
      <c r="N4" s="32"/>
      <c r="O4" s="32"/>
      <c r="P4" s="34">
        <f t="shared" si="2"/>
        <v>0.62450000000000006</v>
      </c>
      <c r="Q4" s="32">
        <f>1.23/1</f>
        <v>1.23</v>
      </c>
      <c r="R4" s="33">
        <f>1.21/1</f>
        <v>1.21</v>
      </c>
      <c r="S4" s="32"/>
      <c r="T4" s="32"/>
      <c r="U4" s="32">
        <f t="shared" si="3"/>
        <v>1.22</v>
      </c>
      <c r="V4" s="33">
        <f t="shared" si="4"/>
        <v>0.14745288848840082</v>
      </c>
      <c r="W4" s="33">
        <f t="shared" si="5"/>
        <v>1.7417894330196064</v>
      </c>
      <c r="X4" s="33">
        <f>(W4-1.3422)/0.9347</f>
        <v>0.42750554511565891</v>
      </c>
      <c r="Y4" s="33">
        <f>EXP(X4/(0.001987203611*373.15))</f>
        <v>1.7798375067643335</v>
      </c>
      <c r="Z4" s="35">
        <f>Y4/(Y4+1)</f>
        <v>0.64026674308600984</v>
      </c>
      <c r="AA4" s="33">
        <f>U4/(U4+1)</f>
        <v>0.5495495495495496</v>
      </c>
      <c r="AB4" s="32">
        <v>3</v>
      </c>
      <c r="AC4" s="32"/>
      <c r="AD4" s="33">
        <f>X4-V4</f>
        <v>0.28005265662725809</v>
      </c>
      <c r="AE4" s="33">
        <f t="shared" si="6"/>
        <v>9.0717193536460239E-2</v>
      </c>
      <c r="AF4" s="32"/>
      <c r="AG4" s="32"/>
      <c r="AH4" s="32"/>
      <c r="AI4" s="32"/>
      <c r="AJ4" s="32"/>
      <c r="AK4" s="32"/>
      <c r="AL4" s="32"/>
      <c r="AM4" s="32"/>
    </row>
    <row r="5" spans="1:39" s="36" customFormat="1" ht="13.2" x14ac:dyDescent="0.25">
      <c r="A5" s="32" t="s">
        <v>72</v>
      </c>
      <c r="B5" s="32" t="s">
        <v>17</v>
      </c>
      <c r="C5" s="32">
        <v>213.3</v>
      </c>
      <c r="D5" s="32">
        <v>212.2</v>
      </c>
      <c r="E5" s="32">
        <v>58.4</v>
      </c>
      <c r="F5" s="32">
        <v>57.2</v>
      </c>
      <c r="G5" s="32" t="s">
        <v>24</v>
      </c>
      <c r="H5" s="33">
        <f t="shared" si="0"/>
        <v>-0.83346425765907295</v>
      </c>
      <c r="I5" s="33">
        <f t="shared" si="1"/>
        <v>0.9999923991943146</v>
      </c>
      <c r="J5" s="32">
        <v>-0.1</v>
      </c>
      <c r="K5" s="32">
        <v>1.24</v>
      </c>
      <c r="L5" s="34">
        <v>0.49199999999999999</v>
      </c>
      <c r="M5" s="34">
        <v>0.68</v>
      </c>
      <c r="N5" s="34">
        <v>0.48399999999999999</v>
      </c>
      <c r="O5" s="34">
        <v>0.47199999999999998</v>
      </c>
      <c r="P5" s="34">
        <f t="shared" si="2"/>
        <v>0.55200000000000005</v>
      </c>
      <c r="Q5" s="32">
        <f>12.3/1</f>
        <v>12.3</v>
      </c>
      <c r="R5" s="32">
        <f>12.51/1</f>
        <v>12.51</v>
      </c>
      <c r="S5" s="32">
        <f>11.46/1</f>
        <v>11.46</v>
      </c>
      <c r="T5" s="32">
        <f>11.43/1</f>
        <v>11.43</v>
      </c>
      <c r="U5" s="32">
        <f t="shared" si="3"/>
        <v>12.090000000000002</v>
      </c>
      <c r="V5" s="33">
        <f t="shared" si="4"/>
        <v>1.848161157689775</v>
      </c>
      <c r="W5" s="33">
        <f t="shared" si="5"/>
        <v>3.0814379907716889</v>
      </c>
      <c r="X5" s="33">
        <f>(W5-1.3422)/0.9347</f>
        <v>1.860744614070492</v>
      </c>
      <c r="Y5" s="33">
        <f>EXP(X5/(0.001987203611*373.15))</f>
        <v>12.296914330210628</v>
      </c>
      <c r="Z5" s="35">
        <f>Y5/(Y5+1)</f>
        <v>0.92479458202359044</v>
      </c>
      <c r="AA5" s="33">
        <f>U5/(U5+1)</f>
        <v>0.92360580595874719</v>
      </c>
      <c r="AB5" s="32">
        <v>4</v>
      </c>
      <c r="AC5" s="32"/>
      <c r="AD5" s="33">
        <f>X5-V5</f>
        <v>1.2583456380717006E-2</v>
      </c>
      <c r="AE5" s="33">
        <f t="shared" si="6"/>
        <v>1.1887760648432444E-3</v>
      </c>
      <c r="AF5" s="32"/>
      <c r="AG5" s="32"/>
      <c r="AH5" s="32"/>
      <c r="AI5" s="32"/>
      <c r="AJ5" s="32"/>
      <c r="AK5" s="32"/>
      <c r="AL5" s="32"/>
      <c r="AM5" s="32"/>
    </row>
    <row r="6" spans="1:39" s="36" customFormat="1" ht="13.2" x14ac:dyDescent="0.25">
      <c r="A6" s="32" t="s">
        <v>25</v>
      </c>
      <c r="B6" s="32" t="s">
        <v>17</v>
      </c>
      <c r="C6" s="32">
        <v>213.3</v>
      </c>
      <c r="D6" s="32">
        <v>212.2</v>
      </c>
      <c r="E6" s="32">
        <v>58.4</v>
      </c>
      <c r="F6" s="32">
        <v>57.2</v>
      </c>
      <c r="G6" s="32" t="s">
        <v>26</v>
      </c>
      <c r="H6" s="33">
        <f t="shared" si="0"/>
        <v>1.0001571091908876</v>
      </c>
      <c r="I6" s="33">
        <f t="shared" si="1"/>
        <v>0.29032037395963972</v>
      </c>
      <c r="J6" s="32">
        <v>0.12</v>
      </c>
      <c r="K6" s="32">
        <v>0.36</v>
      </c>
      <c r="L6" s="34">
        <v>0.309</v>
      </c>
      <c r="M6" s="34">
        <v>0.32300000000000001</v>
      </c>
      <c r="N6" s="32"/>
      <c r="O6" s="32"/>
      <c r="P6" s="34">
        <f t="shared" si="2"/>
        <v>0.316</v>
      </c>
      <c r="Q6" s="32">
        <f>12.88/1</f>
        <v>12.88</v>
      </c>
      <c r="R6" s="32">
        <f>12.86/1</f>
        <v>12.86</v>
      </c>
      <c r="S6" s="32"/>
      <c r="T6" s="32"/>
      <c r="U6" s="33">
        <f t="shared" si="3"/>
        <v>12.870000000000001</v>
      </c>
      <c r="V6" s="33">
        <f t="shared" si="4"/>
        <v>1.8945215671162077</v>
      </c>
      <c r="W6" s="33">
        <f t="shared" si="5"/>
        <v>3.4071013799815977</v>
      </c>
      <c r="X6" s="33">
        <f>(W6-1.3422)/0.9347</f>
        <v>2.2091594950054536</v>
      </c>
      <c r="Y6" s="33">
        <f>EXP(X6/(0.001987203611*373.15))</f>
        <v>19.672288459540578</v>
      </c>
      <c r="Z6" s="35">
        <f>Y6/(Y6+1)</f>
        <v>0.95162606201257394</v>
      </c>
      <c r="AA6" s="33">
        <f>U6/(U6+1)</f>
        <v>0.92790194664744052</v>
      </c>
      <c r="AB6" s="32">
        <v>5</v>
      </c>
      <c r="AC6" s="32"/>
      <c r="AD6" s="33">
        <f>X6-V6</f>
        <v>0.31463792788924594</v>
      </c>
      <c r="AE6" s="33">
        <f t="shared" si="6"/>
        <v>2.3724115365133414E-2</v>
      </c>
      <c r="AF6" s="32"/>
      <c r="AG6" s="32"/>
      <c r="AH6" s="32"/>
      <c r="AI6" s="32"/>
      <c r="AJ6" s="32"/>
      <c r="AK6" s="32"/>
      <c r="AL6" s="32"/>
      <c r="AM6" s="32"/>
    </row>
    <row r="7" spans="1:39" s="36" customFormat="1" ht="13.2" x14ac:dyDescent="0.25">
      <c r="A7" s="39" t="s">
        <v>69</v>
      </c>
      <c r="B7" s="40" t="s">
        <v>67</v>
      </c>
      <c r="C7" s="40">
        <v>159</v>
      </c>
      <c r="D7" s="40">
        <v>140.30000000000001</v>
      </c>
      <c r="E7" s="40">
        <v>26.6</v>
      </c>
      <c r="F7" s="40">
        <v>24.4</v>
      </c>
      <c r="G7" s="40" t="s">
        <v>22</v>
      </c>
      <c r="H7" s="33">
        <f t="shared" si="0"/>
        <v>-0.38574234092694426</v>
      </c>
      <c r="I7" s="33">
        <f t="shared" si="1"/>
        <v>0.4052293543115571</v>
      </c>
      <c r="J7" s="40">
        <v>-7.0000000000000007E-2</v>
      </c>
      <c r="K7" s="40">
        <v>0.76</v>
      </c>
      <c r="L7" s="41">
        <v>0.505</v>
      </c>
      <c r="M7" s="41">
        <v>0.45400000000000001</v>
      </c>
      <c r="N7" s="40"/>
      <c r="O7" s="40"/>
      <c r="P7" s="41">
        <f t="shared" si="2"/>
        <v>0.47950000000000004</v>
      </c>
      <c r="Q7" s="42">
        <f>1/1.62</f>
        <v>0.61728395061728392</v>
      </c>
      <c r="R7" s="42">
        <f>1/1.66</f>
        <v>0.60240963855421692</v>
      </c>
      <c r="S7" s="40"/>
      <c r="T7" s="40"/>
      <c r="U7" s="42">
        <f t="shared" si="3"/>
        <v>0.60984679458575042</v>
      </c>
      <c r="V7" s="33">
        <f t="shared" si="4"/>
        <v>-0.36671935575980447</v>
      </c>
      <c r="W7" s="42">
        <f t="shared" si="5"/>
        <v>1.151616670370645</v>
      </c>
      <c r="X7" s="40"/>
      <c r="Y7" s="40"/>
      <c r="Z7" s="40"/>
      <c r="AA7" s="40"/>
      <c r="AB7" s="40">
        <v>8</v>
      </c>
      <c r="AC7" s="40"/>
      <c r="AD7" s="42">
        <f>AVERAGE(AD2:AD6)</f>
        <v>0.14096348528808927</v>
      </c>
      <c r="AE7" s="33">
        <f>AVERAGE(AE2:AE6)</f>
        <v>2.9167335392327343E-2</v>
      </c>
      <c r="AF7" s="33">
        <f>EXP(AE7/(0.001987203611*373.15))</f>
        <v>1.0401180914504013</v>
      </c>
      <c r="AG7" s="35">
        <f>AF7/(AF7+1)</f>
        <v>0.50983229637993155</v>
      </c>
      <c r="AH7" s="40"/>
      <c r="AI7" s="40"/>
      <c r="AJ7" s="40"/>
      <c r="AK7" s="40"/>
      <c r="AL7" s="40"/>
      <c r="AM7" s="40"/>
    </row>
    <row r="8" spans="1:39" s="36" customFormat="1" ht="13.2" x14ac:dyDescent="0.25">
      <c r="A8" s="43" t="s">
        <v>43</v>
      </c>
      <c r="B8" s="43" t="s">
        <v>42</v>
      </c>
      <c r="C8" s="43">
        <v>176.3</v>
      </c>
      <c r="D8" s="44">
        <v>168.2</v>
      </c>
      <c r="E8" s="43">
        <v>35.799999999999997</v>
      </c>
      <c r="F8" s="43">
        <v>32.799999999999997</v>
      </c>
      <c r="G8" s="43" t="s">
        <v>20</v>
      </c>
      <c r="H8" s="33">
        <f t="shared" si="0"/>
        <v>-0.46245090337784761</v>
      </c>
      <c r="I8" s="33">
        <f t="shared" si="1"/>
        <v>0.35796754455972335</v>
      </c>
      <c r="J8" s="43">
        <v>-7.0000000000000007E-2</v>
      </c>
      <c r="K8" s="43">
        <v>0.56000000000000005</v>
      </c>
      <c r="L8" s="45">
        <v>0.85099999999999998</v>
      </c>
      <c r="M8" s="45">
        <v>0.81200000000000006</v>
      </c>
      <c r="N8" s="43"/>
      <c r="O8" s="43"/>
      <c r="P8" s="45">
        <f t="shared" si="2"/>
        <v>0.83150000000000002</v>
      </c>
      <c r="Q8" s="46">
        <f>1/2.41</f>
        <v>0.41493775933609955</v>
      </c>
      <c r="R8" s="46">
        <f>1/2.46</f>
        <v>0.4065040650406504</v>
      </c>
      <c r="S8" s="43"/>
      <c r="T8" s="43"/>
      <c r="U8" s="46">
        <f t="shared" si="3"/>
        <v>0.41072091218837498</v>
      </c>
      <c r="V8" s="33">
        <f t="shared" si="4"/>
        <v>-0.65983962474136404</v>
      </c>
      <c r="W8" s="46">
        <f t="shared" si="5"/>
        <v>0.77114291394163481</v>
      </c>
      <c r="X8" s="43"/>
      <c r="Y8" s="43"/>
      <c r="AB8" s="43">
        <v>9</v>
      </c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</row>
    <row r="9" spans="1:39" s="36" customFormat="1" ht="13.2" x14ac:dyDescent="0.25">
      <c r="A9" s="47" t="s">
        <v>36</v>
      </c>
      <c r="B9" s="48" t="s">
        <v>35</v>
      </c>
      <c r="C9" s="48">
        <v>176.8</v>
      </c>
      <c r="D9" s="48">
        <v>162.5</v>
      </c>
      <c r="E9" s="48">
        <v>40</v>
      </c>
      <c r="F9" s="48">
        <v>34.4</v>
      </c>
      <c r="G9" s="48" t="s">
        <v>20</v>
      </c>
      <c r="H9" s="33">
        <f t="shared" si="0"/>
        <v>-0.44677926158680287</v>
      </c>
      <c r="I9" s="33">
        <f t="shared" si="1"/>
        <v>0.34583665868582075</v>
      </c>
      <c r="J9" s="48">
        <v>-7.0000000000000007E-2</v>
      </c>
      <c r="K9" s="48">
        <v>0.56000000000000005</v>
      </c>
      <c r="L9" s="49">
        <v>0.59199999999999997</v>
      </c>
      <c r="M9" s="49">
        <v>0.62</v>
      </c>
      <c r="N9" s="48"/>
      <c r="O9" s="48"/>
      <c r="P9" s="49">
        <f t="shared" si="2"/>
        <v>0.60599999999999998</v>
      </c>
      <c r="Q9" s="50">
        <f>1/2.13</f>
        <v>0.46948356807511737</v>
      </c>
      <c r="R9" s="50">
        <f>1/2.13</f>
        <v>0.46948356807511737</v>
      </c>
      <c r="S9" s="48"/>
      <c r="T9" s="48"/>
      <c r="U9" s="50">
        <f t="shared" si="3"/>
        <v>0.46948356807511737</v>
      </c>
      <c r="V9" s="33">
        <f t="shared" si="4"/>
        <v>-0.56068337176436511</v>
      </c>
      <c r="W9" s="50">
        <f t="shared" si="5"/>
        <v>0.74501024682232853</v>
      </c>
      <c r="X9" s="48"/>
      <c r="Y9" s="48"/>
      <c r="AB9" s="48">
        <v>12</v>
      </c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</row>
    <row r="10" spans="1:39" s="36" customFormat="1" ht="13.2" x14ac:dyDescent="0.25">
      <c r="A10" s="51" t="s">
        <v>28</v>
      </c>
      <c r="B10" s="51" t="s">
        <v>29</v>
      </c>
      <c r="C10" s="51">
        <v>176.1</v>
      </c>
      <c r="D10" s="51">
        <v>176.1</v>
      </c>
      <c r="E10" s="51">
        <v>36.299999999999997</v>
      </c>
      <c r="F10" s="51">
        <v>36.299999999999997</v>
      </c>
      <c r="G10" s="51" t="s">
        <v>18</v>
      </c>
      <c r="H10" s="33">
        <f t="shared" si="0"/>
        <v>-0.48417124901806752</v>
      </c>
      <c r="I10" s="33">
        <f t="shared" si="1"/>
        <v>0.34801048911184584</v>
      </c>
      <c r="J10" s="51">
        <v>-7.0000000000000007E-2</v>
      </c>
      <c r="K10" s="51">
        <v>0.52</v>
      </c>
      <c r="L10" s="52">
        <v>0.81200000000000006</v>
      </c>
      <c r="M10" s="52">
        <v>0.78900000000000003</v>
      </c>
      <c r="N10" s="51"/>
      <c r="O10" s="51"/>
      <c r="P10" s="52">
        <f t="shared" si="2"/>
        <v>0.80049999999999999</v>
      </c>
      <c r="Q10" s="53">
        <f>1/2.78</f>
        <v>0.35971223021582738</v>
      </c>
      <c r="R10" s="53">
        <f>1/2.7</f>
        <v>0.37037037037037035</v>
      </c>
      <c r="S10" s="51"/>
      <c r="T10" s="51"/>
      <c r="U10" s="53">
        <f t="shared" si="3"/>
        <v>0.36504130029309889</v>
      </c>
      <c r="V10" s="33">
        <f t="shared" si="4"/>
        <v>-0.74726797587868898</v>
      </c>
      <c r="W10" s="53">
        <f t="shared" si="5"/>
        <v>0.67973988534888874</v>
      </c>
      <c r="X10" s="51"/>
      <c r="Y10" s="51"/>
      <c r="Z10" s="43">
        <f t="shared" ref="Z10:AA14" si="7">ABS((1-Z2)-Z2)</f>
        <v>0.36042283994775715</v>
      </c>
      <c r="AA10" s="43">
        <f t="shared" si="7"/>
        <v>0.3514976206027805</v>
      </c>
      <c r="AB10" s="51">
        <v>16</v>
      </c>
      <c r="AC10" s="51"/>
      <c r="AD10" s="51">
        <f>Z10-AA10</f>
        <v>8.9252193449766426E-3</v>
      </c>
      <c r="AE10" s="51"/>
      <c r="AF10" s="51"/>
      <c r="AG10" s="51"/>
      <c r="AH10" s="51"/>
      <c r="AI10" s="51"/>
      <c r="AJ10" s="51"/>
      <c r="AK10" s="51"/>
      <c r="AL10" s="51"/>
      <c r="AM10" s="51"/>
    </row>
    <row r="11" spans="1:39" s="36" customFormat="1" ht="13.2" x14ac:dyDescent="0.25">
      <c r="A11" s="39" t="s">
        <v>70</v>
      </c>
      <c r="B11" s="40" t="s">
        <v>67</v>
      </c>
      <c r="C11" s="40">
        <v>159</v>
      </c>
      <c r="D11" s="40">
        <v>140.30000000000001</v>
      </c>
      <c r="E11" s="40">
        <v>26.6</v>
      </c>
      <c r="F11" s="40">
        <v>24.4</v>
      </c>
      <c r="G11" s="40" t="s">
        <v>26</v>
      </c>
      <c r="H11" s="33">
        <f t="shared" si="0"/>
        <v>0.66127258444619019</v>
      </c>
      <c r="I11" s="33">
        <f t="shared" si="1"/>
        <v>0.1919507467791586</v>
      </c>
      <c r="J11" s="40">
        <v>0.12</v>
      </c>
      <c r="K11" s="40">
        <v>0.36</v>
      </c>
      <c r="L11" s="41">
        <v>0.39100000000000001</v>
      </c>
      <c r="M11" s="41">
        <v>0.36699999999999999</v>
      </c>
      <c r="N11" s="40"/>
      <c r="O11" s="40"/>
      <c r="P11" s="41">
        <f t="shared" si="2"/>
        <v>0.379</v>
      </c>
      <c r="Q11" s="40">
        <f>6.84/1</f>
        <v>6.84</v>
      </c>
      <c r="R11" s="40">
        <f>6.83/1</f>
        <v>6.83</v>
      </c>
      <c r="S11" s="40"/>
      <c r="T11" s="40"/>
      <c r="U11" s="42">
        <f t="shared" si="3"/>
        <v>6.835</v>
      </c>
      <c r="V11" s="33">
        <f t="shared" si="4"/>
        <v>1.425252976797361</v>
      </c>
      <c r="W11" s="42">
        <f t="shared" si="5"/>
        <v>2.2526688200349589</v>
      </c>
      <c r="X11" s="40"/>
      <c r="Y11" s="40"/>
      <c r="Z11" s="43">
        <f t="shared" si="7"/>
        <v>0.26030260845078423</v>
      </c>
      <c r="AA11" s="43">
        <f t="shared" si="7"/>
        <v>0.32964101178616051</v>
      </c>
      <c r="AB11" s="40">
        <v>19</v>
      </c>
      <c r="AC11" s="40"/>
      <c r="AD11" s="51">
        <f t="shared" ref="AD11:AD14" si="8">Z11-AA11</f>
        <v>-6.9338403335376275E-2</v>
      </c>
      <c r="AE11" s="40"/>
      <c r="AF11" s="40"/>
      <c r="AG11" s="40"/>
      <c r="AH11" s="40"/>
      <c r="AI11" s="40"/>
      <c r="AJ11" s="40"/>
      <c r="AK11" s="40"/>
      <c r="AL11" s="40"/>
      <c r="AM11" s="40"/>
    </row>
    <row r="12" spans="1:39" s="36" customFormat="1" ht="13.2" x14ac:dyDescent="0.25">
      <c r="A12" s="62" t="s">
        <v>57</v>
      </c>
      <c r="B12" s="62" t="s">
        <v>54</v>
      </c>
      <c r="C12" s="62">
        <v>159</v>
      </c>
      <c r="D12" s="62">
        <v>149</v>
      </c>
      <c r="E12" s="62">
        <v>28.2</v>
      </c>
      <c r="F12" s="62">
        <v>28.2</v>
      </c>
      <c r="G12" s="62" t="s">
        <v>24</v>
      </c>
      <c r="H12" s="33">
        <f t="shared" si="0"/>
        <v>-0.58523173605655932</v>
      </c>
      <c r="I12" s="33">
        <f t="shared" si="1"/>
        <v>0.70216242921749705</v>
      </c>
      <c r="J12" s="62">
        <v>-0.1</v>
      </c>
      <c r="K12" s="62">
        <v>1.24</v>
      </c>
      <c r="L12" s="63">
        <v>0.19</v>
      </c>
      <c r="M12" s="63">
        <v>0.16900000000000001</v>
      </c>
      <c r="N12" s="63"/>
      <c r="O12" s="63"/>
      <c r="P12" s="63">
        <f>AVERAGE(L12:O12)</f>
        <v>0.17949999999999999</v>
      </c>
      <c r="Q12" s="62">
        <v>2.4</v>
      </c>
      <c r="R12" s="62">
        <v>2.42</v>
      </c>
      <c r="S12" s="62"/>
      <c r="T12" s="62"/>
      <c r="U12" s="64">
        <f>AVERAGE(Q12:T12)</f>
        <v>2.41</v>
      </c>
      <c r="V12" s="33">
        <f t="shared" si="4"/>
        <v>0.65226524808288666</v>
      </c>
      <c r="W12" s="64">
        <f t="shared" si="5"/>
        <v>2.1636864308434571</v>
      </c>
      <c r="X12" s="62" t="s">
        <v>0</v>
      </c>
      <c r="Y12" s="62"/>
      <c r="Z12" s="43">
        <f t="shared" si="7"/>
        <v>0.28053348617201967</v>
      </c>
      <c r="AA12" s="43">
        <f t="shared" si="7"/>
        <v>9.9099099099099197E-2</v>
      </c>
      <c r="AB12" s="62">
        <v>20</v>
      </c>
      <c r="AC12" s="62"/>
      <c r="AD12" s="51">
        <f t="shared" si="8"/>
        <v>0.18143438707292048</v>
      </c>
      <c r="AE12" s="62"/>
      <c r="AF12" s="62"/>
      <c r="AG12" s="62"/>
      <c r="AH12" s="62"/>
      <c r="AI12" s="62"/>
      <c r="AJ12" s="62"/>
      <c r="AK12" s="62"/>
      <c r="AL12" s="62"/>
      <c r="AM12" s="62"/>
    </row>
    <row r="13" spans="1:39" s="36" customFormat="1" ht="13.2" x14ac:dyDescent="0.25">
      <c r="A13" s="39" t="s">
        <v>68</v>
      </c>
      <c r="B13" s="40" t="s">
        <v>67</v>
      </c>
      <c r="C13" s="40">
        <v>159</v>
      </c>
      <c r="D13" s="40">
        <v>140.30000000000001</v>
      </c>
      <c r="E13" s="40">
        <v>26.6</v>
      </c>
      <c r="F13" s="40">
        <v>24.4</v>
      </c>
      <c r="G13" s="40" t="s">
        <v>20</v>
      </c>
      <c r="H13" s="33">
        <f t="shared" si="0"/>
        <v>-0.38574234092694426</v>
      </c>
      <c r="I13" s="33">
        <f t="shared" si="1"/>
        <v>0.29859005054535787</v>
      </c>
      <c r="J13" s="40">
        <v>-7.0000000000000007E-2</v>
      </c>
      <c r="K13" s="40">
        <v>0.56000000000000005</v>
      </c>
      <c r="L13" s="41">
        <v>0.48099999999999998</v>
      </c>
      <c r="M13" s="41">
        <v>0.498</v>
      </c>
      <c r="N13" s="40"/>
      <c r="O13" s="40"/>
      <c r="P13" s="41">
        <f t="shared" ref="P13:P39" si="9">AVERAGE(L13:N13)</f>
        <v>0.48949999999999999</v>
      </c>
      <c r="Q13" s="42">
        <f>1/1.9</f>
        <v>0.52631578947368418</v>
      </c>
      <c r="R13" s="42">
        <f>1/1.87</f>
        <v>0.53475935828876997</v>
      </c>
      <c r="S13" s="40"/>
      <c r="T13" s="40"/>
      <c r="U13" s="42">
        <f t="shared" ref="U13:U39" si="10">AVERAGE(Q13:S13)</f>
        <v>0.53053757388122702</v>
      </c>
      <c r="V13" s="33">
        <f t="shared" si="4"/>
        <v>-0.47002638789559903</v>
      </c>
      <c r="W13" s="42">
        <f t="shared" si="5"/>
        <v>0.64323038541029354</v>
      </c>
      <c r="X13" s="40"/>
      <c r="Y13" s="40"/>
      <c r="Z13" s="43">
        <f t="shared" si="7"/>
        <v>0.84958916404718088</v>
      </c>
      <c r="AA13" s="43">
        <f t="shared" si="7"/>
        <v>0.84721161191749439</v>
      </c>
      <c r="AB13" s="40">
        <v>26</v>
      </c>
      <c r="AC13" s="40"/>
      <c r="AD13" s="51">
        <f t="shared" si="8"/>
        <v>2.3775521296864888E-3</v>
      </c>
      <c r="AE13" s="40"/>
      <c r="AF13" s="40"/>
      <c r="AG13" s="40"/>
      <c r="AH13" s="40"/>
      <c r="AI13" s="40"/>
      <c r="AJ13" s="40"/>
      <c r="AK13" s="40"/>
      <c r="AL13" s="40"/>
      <c r="AM13" s="40"/>
    </row>
    <row r="14" spans="1:39" s="36" customFormat="1" ht="13.2" x14ac:dyDescent="0.25">
      <c r="A14" s="62" t="s">
        <v>58</v>
      </c>
      <c r="B14" s="62" t="s">
        <v>54</v>
      </c>
      <c r="C14" s="62">
        <v>159</v>
      </c>
      <c r="D14" s="62">
        <v>149</v>
      </c>
      <c r="E14" s="62">
        <v>28.2</v>
      </c>
      <c r="F14" s="62">
        <v>28.2</v>
      </c>
      <c r="G14" s="62" t="s">
        <v>26</v>
      </c>
      <c r="H14" s="33">
        <f t="shared" si="0"/>
        <v>0.70227808326787111</v>
      </c>
      <c r="I14" s="33">
        <f t="shared" si="1"/>
        <v>0.20385360848249914</v>
      </c>
      <c r="J14" s="62">
        <v>0.12</v>
      </c>
      <c r="K14" s="62">
        <v>0.36</v>
      </c>
      <c r="L14" s="65">
        <v>0.42099999999999999</v>
      </c>
      <c r="M14" s="65">
        <v>0.42499999999999999</v>
      </c>
      <c r="N14" s="62"/>
      <c r="O14" s="62"/>
      <c r="P14" s="65">
        <f t="shared" si="9"/>
        <v>0.42299999999999999</v>
      </c>
      <c r="Q14" s="62">
        <f>5.66/1</f>
        <v>5.66</v>
      </c>
      <c r="R14" s="62">
        <f>5.66/1</f>
        <v>5.66</v>
      </c>
      <c r="S14" s="62"/>
      <c r="T14" s="62"/>
      <c r="U14" s="64">
        <f t="shared" si="10"/>
        <v>5.66</v>
      </c>
      <c r="V14" s="33">
        <f t="shared" si="4"/>
        <v>1.2853771992480076</v>
      </c>
      <c r="W14" s="64">
        <f t="shared" si="5"/>
        <v>2.3923567653970688</v>
      </c>
      <c r="X14" s="62"/>
      <c r="Y14" s="62"/>
      <c r="Z14" s="43">
        <f t="shared" si="7"/>
        <v>0.90325212402514787</v>
      </c>
      <c r="AA14" s="43">
        <f t="shared" si="7"/>
        <v>0.85580389329488105</v>
      </c>
      <c r="AB14" s="62">
        <v>27</v>
      </c>
      <c r="AC14" s="62"/>
      <c r="AD14" s="51">
        <f t="shared" si="8"/>
        <v>4.7448230730266827E-2</v>
      </c>
      <c r="AE14" s="62"/>
      <c r="AF14" s="62"/>
      <c r="AG14" s="62"/>
      <c r="AH14" s="62"/>
      <c r="AI14" s="62"/>
      <c r="AJ14" s="62"/>
      <c r="AK14" s="62"/>
      <c r="AL14" s="62"/>
      <c r="AM14" s="62"/>
    </row>
    <row r="15" spans="1:39" s="36" customFormat="1" ht="13.2" x14ac:dyDescent="0.25">
      <c r="A15" s="40" t="s">
        <v>66</v>
      </c>
      <c r="B15" s="40" t="s">
        <v>67</v>
      </c>
      <c r="C15" s="40">
        <v>159</v>
      </c>
      <c r="D15" s="40">
        <v>140.30000000000001</v>
      </c>
      <c r="E15" s="40">
        <v>26.6</v>
      </c>
      <c r="F15" s="40">
        <v>24.4</v>
      </c>
      <c r="G15" s="40" t="s">
        <v>18</v>
      </c>
      <c r="H15" s="33">
        <f t="shared" si="0"/>
        <v>-0.38574234092694426</v>
      </c>
      <c r="I15" s="33">
        <f t="shared" si="1"/>
        <v>0.27726218979211797</v>
      </c>
      <c r="J15" s="40">
        <v>-7.0000000000000007E-2</v>
      </c>
      <c r="K15" s="40">
        <v>0.52</v>
      </c>
      <c r="L15" s="41">
        <v>0.47099999999999997</v>
      </c>
      <c r="M15" s="41">
        <v>0.48899999999999999</v>
      </c>
      <c r="N15" s="40"/>
      <c r="O15" s="40"/>
      <c r="P15" s="41">
        <f t="shared" si="9"/>
        <v>0.48</v>
      </c>
      <c r="Q15" s="40">
        <f>0.5/1</f>
        <v>0.5</v>
      </c>
      <c r="R15" s="40">
        <f>0.51/1</f>
        <v>0.51</v>
      </c>
      <c r="S15" s="40"/>
      <c r="T15" s="40"/>
      <c r="U15" s="42">
        <f t="shared" si="10"/>
        <v>0.505</v>
      </c>
      <c r="V15" s="33">
        <f t="shared" si="4"/>
        <v>-0.50660756272891638</v>
      </c>
      <c r="W15" s="42">
        <f t="shared" si="5"/>
        <v>0.54155312841822301</v>
      </c>
      <c r="X15" s="40"/>
      <c r="Y15" s="40"/>
      <c r="Z15" s="40"/>
      <c r="AA15" s="40"/>
      <c r="AB15" s="40">
        <v>28</v>
      </c>
      <c r="AC15" s="40"/>
      <c r="AD15" s="40">
        <f>AVERAGE(AD10:AD14)</f>
        <v>3.4169397188494835E-2</v>
      </c>
      <c r="AE15" s="40"/>
      <c r="AF15" s="40"/>
      <c r="AG15" s="40"/>
      <c r="AH15" s="40"/>
      <c r="AI15" s="40"/>
      <c r="AJ15" s="40"/>
      <c r="AK15" s="40"/>
      <c r="AL15" s="40"/>
      <c r="AM15" s="40"/>
    </row>
    <row r="16" spans="1:39" s="36" customFormat="1" ht="13.2" x14ac:dyDescent="0.25">
      <c r="A16" s="62" t="s">
        <v>53</v>
      </c>
      <c r="B16" s="62" t="s">
        <v>54</v>
      </c>
      <c r="C16" s="62">
        <v>159</v>
      </c>
      <c r="D16" s="62">
        <v>149</v>
      </c>
      <c r="E16" s="62">
        <v>28.2</v>
      </c>
      <c r="F16" s="62">
        <v>28.2</v>
      </c>
      <c r="G16" s="62" t="s">
        <v>18</v>
      </c>
      <c r="H16" s="33">
        <f t="shared" si="0"/>
        <v>-0.40966221523959157</v>
      </c>
      <c r="I16" s="33">
        <f t="shared" si="1"/>
        <v>0.29445521225249877</v>
      </c>
      <c r="J16" s="62">
        <v>-7.0000000000000007E-2</v>
      </c>
      <c r="K16" s="62">
        <v>0.52</v>
      </c>
      <c r="L16" s="65">
        <v>0.65700000000000003</v>
      </c>
      <c r="M16" s="65">
        <v>0.68899999999999995</v>
      </c>
      <c r="N16" s="62"/>
      <c r="O16" s="62"/>
      <c r="P16" s="65">
        <f t="shared" si="9"/>
        <v>0.67300000000000004</v>
      </c>
      <c r="Q16" s="64">
        <f>1/2.44</f>
        <v>0.4098360655737705</v>
      </c>
      <c r="R16" s="64">
        <f>1/2.38</f>
        <v>0.42016806722689076</v>
      </c>
      <c r="S16" s="62"/>
      <c r="T16" s="62"/>
      <c r="U16" s="64">
        <f t="shared" si="10"/>
        <v>0.41500206640033066</v>
      </c>
      <c r="V16" s="33">
        <f t="shared" si="4"/>
        <v>-0.65215033542009948</v>
      </c>
      <c r="W16" s="64">
        <f t="shared" si="5"/>
        <v>0.57513482633154134</v>
      </c>
      <c r="X16" s="62"/>
      <c r="Y16" s="62"/>
      <c r="Z16" s="62"/>
      <c r="AA16" s="62"/>
      <c r="AB16" s="62">
        <v>29</v>
      </c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</row>
    <row r="17" spans="1:39" s="36" customFormat="1" ht="13.2" x14ac:dyDescent="0.25">
      <c r="A17" s="39" t="s">
        <v>71</v>
      </c>
      <c r="B17" s="40" t="s">
        <v>67</v>
      </c>
      <c r="C17" s="40">
        <v>159</v>
      </c>
      <c r="D17" s="40">
        <v>140.30000000000001</v>
      </c>
      <c r="E17" s="40">
        <v>26.6</v>
      </c>
      <c r="F17" s="40">
        <v>24.4</v>
      </c>
      <c r="G17" s="40" t="s">
        <v>27</v>
      </c>
      <c r="H17" s="33">
        <f t="shared" si="0"/>
        <v>0.3306362922230951</v>
      </c>
      <c r="I17" s="33">
        <f t="shared" si="1"/>
        <v>0.30392201573366778</v>
      </c>
      <c r="J17" s="40">
        <v>0.06</v>
      </c>
      <c r="K17" s="40">
        <v>0.56999999999999995</v>
      </c>
      <c r="L17" s="41">
        <v>0.52400000000000002</v>
      </c>
      <c r="M17" s="41">
        <v>0.42499999999999999</v>
      </c>
      <c r="N17" s="41">
        <v>0.40300000000000002</v>
      </c>
      <c r="O17" s="41"/>
      <c r="P17" s="41">
        <f t="shared" si="9"/>
        <v>0.45066666666666672</v>
      </c>
      <c r="Q17" s="40">
        <f>1.88/1</f>
        <v>1.88</v>
      </c>
      <c r="R17" s="40">
        <f>1.83/1</f>
        <v>1.83</v>
      </c>
      <c r="S17" s="40">
        <f>1.8/1</f>
        <v>1.8</v>
      </c>
      <c r="T17" s="40"/>
      <c r="U17" s="42">
        <f t="shared" si="10"/>
        <v>1.8366666666666667</v>
      </c>
      <c r="V17" s="33">
        <f t="shared" si="4"/>
        <v>0.4508118715227144</v>
      </c>
      <c r="W17" s="42">
        <f t="shared" si="5"/>
        <v>2.1176876656901644</v>
      </c>
      <c r="X17" s="40"/>
      <c r="Y17" s="40"/>
      <c r="Z17" s="40"/>
      <c r="AA17" s="40"/>
      <c r="AB17" s="40">
        <v>30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1:39" s="36" customFormat="1" ht="13.2" x14ac:dyDescent="0.25">
      <c r="A18" s="43" t="s">
        <v>46</v>
      </c>
      <c r="B18" s="43" t="s">
        <v>42</v>
      </c>
      <c r="C18" s="43">
        <v>176.3</v>
      </c>
      <c r="D18" s="44">
        <v>168.2</v>
      </c>
      <c r="E18" s="43">
        <v>35.799999999999997</v>
      </c>
      <c r="F18" s="43">
        <v>32.799999999999997</v>
      </c>
      <c r="G18" s="43" t="s">
        <v>26</v>
      </c>
      <c r="H18" s="33">
        <f t="shared" si="0"/>
        <v>0.79277297721916717</v>
      </c>
      <c r="I18" s="33">
        <f t="shared" si="1"/>
        <v>0.23012199293125069</v>
      </c>
      <c r="J18" s="43">
        <v>0.12</v>
      </c>
      <c r="K18" s="43">
        <v>0.36</v>
      </c>
      <c r="L18" s="45">
        <v>0.25700000000000001</v>
      </c>
      <c r="M18" s="45">
        <v>0.28599999999999998</v>
      </c>
      <c r="N18" s="43"/>
      <c r="O18" s="43"/>
      <c r="P18" s="45">
        <f t="shared" si="9"/>
        <v>0.27149999999999996</v>
      </c>
      <c r="Q18" s="46">
        <f>5.32/1</f>
        <v>5.32</v>
      </c>
      <c r="R18" s="46">
        <f>5.39/1</f>
        <v>5.39</v>
      </c>
      <c r="S18" s="43"/>
      <c r="T18" s="43"/>
      <c r="U18" s="46">
        <f t="shared" si="10"/>
        <v>5.3550000000000004</v>
      </c>
      <c r="V18" s="33">
        <f t="shared" si="4"/>
        <v>1.2443017637621994</v>
      </c>
      <c r="W18" s="46">
        <f t="shared" si="5"/>
        <v>2.7006336103341408</v>
      </c>
      <c r="X18" s="43"/>
      <c r="Y18" s="43"/>
      <c r="Z18" s="43"/>
      <c r="AA18" s="43"/>
      <c r="AB18" s="43">
        <v>33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 spans="1:39" s="36" customFormat="1" ht="13.2" x14ac:dyDescent="0.25">
      <c r="A19" s="66" t="s">
        <v>33</v>
      </c>
      <c r="B19" s="51" t="s">
        <v>29</v>
      </c>
      <c r="C19" s="51">
        <v>176.1</v>
      </c>
      <c r="D19" s="51">
        <v>176.1</v>
      </c>
      <c r="E19" s="51">
        <v>36.299999999999997</v>
      </c>
      <c r="F19" s="51">
        <v>36.299999999999997</v>
      </c>
      <c r="G19" s="51" t="s">
        <v>26</v>
      </c>
      <c r="H19" s="33">
        <f t="shared" si="0"/>
        <v>0.83000785545954425</v>
      </c>
      <c r="I19" s="33">
        <f t="shared" si="1"/>
        <v>0.24093033861589327</v>
      </c>
      <c r="J19" s="51">
        <v>0.12</v>
      </c>
      <c r="K19" s="51">
        <v>0.36</v>
      </c>
      <c r="L19" s="52">
        <v>0.3</v>
      </c>
      <c r="M19" s="52">
        <v>0.29699999999999999</v>
      </c>
      <c r="N19" s="51"/>
      <c r="O19" s="51"/>
      <c r="P19" s="52">
        <f t="shared" si="9"/>
        <v>0.29849999999999999</v>
      </c>
      <c r="Q19" s="51">
        <f>5.28/1</f>
        <v>5.28</v>
      </c>
      <c r="R19" s="51">
        <f>5.2/1</f>
        <v>5.2</v>
      </c>
      <c r="S19" s="51"/>
      <c r="T19" s="51"/>
      <c r="U19" s="51">
        <f t="shared" si="10"/>
        <v>5.24</v>
      </c>
      <c r="V19" s="33">
        <f t="shared" si="4"/>
        <v>1.2282038445085051</v>
      </c>
      <c r="W19" s="53">
        <f t="shared" si="5"/>
        <v>2.827476687157207</v>
      </c>
      <c r="X19" s="51"/>
      <c r="Y19" s="51"/>
      <c r="Z19" s="51"/>
      <c r="AA19" s="51">
        <f>U19/(U19+1)</f>
        <v>0.83974358974358976</v>
      </c>
      <c r="AB19" s="51">
        <v>34</v>
      </c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</row>
    <row r="20" spans="1:39" s="36" customFormat="1" ht="13.2" x14ac:dyDescent="0.25">
      <c r="A20" s="62" t="s">
        <v>59</v>
      </c>
      <c r="B20" s="62" t="s">
        <v>54</v>
      </c>
      <c r="C20" s="62">
        <v>159</v>
      </c>
      <c r="D20" s="62">
        <v>149</v>
      </c>
      <c r="E20" s="62">
        <v>28.2</v>
      </c>
      <c r="F20" s="62">
        <v>28.2</v>
      </c>
      <c r="G20" s="62" t="s">
        <v>27</v>
      </c>
      <c r="H20" s="33">
        <f t="shared" si="0"/>
        <v>0.35113904163393556</v>
      </c>
      <c r="I20" s="33">
        <f t="shared" si="1"/>
        <v>0.32276821343062362</v>
      </c>
      <c r="J20" s="62">
        <v>0.06</v>
      </c>
      <c r="K20" s="62">
        <v>0.56999999999999995</v>
      </c>
      <c r="L20" s="65">
        <v>0.501</v>
      </c>
      <c r="M20" s="65">
        <v>0.48399999999999999</v>
      </c>
      <c r="N20" s="62"/>
      <c r="O20" s="62"/>
      <c r="P20" s="65">
        <f t="shared" si="9"/>
        <v>0.49249999999999999</v>
      </c>
      <c r="Q20" s="67">
        <f>2.28/1</f>
        <v>2.2799999999999998</v>
      </c>
      <c r="R20" s="62">
        <f>2.2/1</f>
        <v>2.2000000000000002</v>
      </c>
      <c r="S20" s="65"/>
      <c r="T20" s="65"/>
      <c r="U20" s="67">
        <f t="shared" si="10"/>
        <v>2.2400000000000002</v>
      </c>
      <c r="V20" s="33">
        <f t="shared" si="4"/>
        <v>0.5980220385704369</v>
      </c>
      <c r="W20" s="64">
        <f t="shared" si="5"/>
        <v>2.2490054325576225</v>
      </c>
      <c r="X20" s="64"/>
      <c r="Y20" s="64"/>
      <c r="Z20" s="62"/>
      <c r="AA20" s="62"/>
      <c r="AB20" s="62">
        <v>38</v>
      </c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1:39" s="36" customFormat="1" ht="13.2" x14ac:dyDescent="0.25">
      <c r="A21" s="68" t="s">
        <v>65</v>
      </c>
      <c r="B21" s="68" t="s">
        <v>61</v>
      </c>
      <c r="C21" s="68">
        <v>142.30000000000001</v>
      </c>
      <c r="D21" s="68">
        <v>139.1</v>
      </c>
      <c r="E21" s="68">
        <v>25.7</v>
      </c>
      <c r="F21" s="68">
        <v>25.7</v>
      </c>
      <c r="G21" s="68" t="s">
        <v>27</v>
      </c>
      <c r="H21" s="33">
        <f t="shared" si="0"/>
        <v>0.32780832678711702</v>
      </c>
      <c r="I21" s="33">
        <f t="shared" si="1"/>
        <v>0.30132254018926002</v>
      </c>
      <c r="J21" s="68">
        <v>0.06</v>
      </c>
      <c r="K21" s="68">
        <v>0.56999999999999995</v>
      </c>
      <c r="L21" s="69">
        <v>0.54400000000000004</v>
      </c>
      <c r="M21" s="69">
        <v>0.59199999999999997</v>
      </c>
      <c r="N21" s="68"/>
      <c r="O21" s="68"/>
      <c r="P21" s="69">
        <f t="shared" si="9"/>
        <v>0.56800000000000006</v>
      </c>
      <c r="Q21" s="68">
        <f>2.15/1</f>
        <v>2.15</v>
      </c>
      <c r="R21" s="68">
        <f>2.13/1</f>
        <v>2.13</v>
      </c>
      <c r="S21" s="68"/>
      <c r="T21" s="68"/>
      <c r="U21" s="70">
        <f t="shared" si="10"/>
        <v>2.1399999999999997</v>
      </c>
      <c r="V21" s="33">
        <f t="shared" si="4"/>
        <v>0.56415656325430852</v>
      </c>
      <c r="W21" s="70">
        <f t="shared" si="5"/>
        <v>2.0995748702601698</v>
      </c>
      <c r="X21" s="68"/>
      <c r="Y21" s="68"/>
      <c r="Z21" s="68"/>
      <c r="AA21" s="68"/>
      <c r="AB21" s="68">
        <v>42</v>
      </c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</row>
    <row r="22" spans="1:39" s="36" customFormat="1" ht="13.2" x14ac:dyDescent="0.25">
      <c r="A22" s="66" t="s">
        <v>31</v>
      </c>
      <c r="B22" s="51" t="s">
        <v>29</v>
      </c>
      <c r="C22" s="51">
        <v>176.1</v>
      </c>
      <c r="D22" s="51">
        <v>176.1</v>
      </c>
      <c r="E22" s="51">
        <v>36.299999999999997</v>
      </c>
      <c r="F22" s="51">
        <v>36.299999999999997</v>
      </c>
      <c r="G22" s="51" t="s">
        <v>22</v>
      </c>
      <c r="H22" s="33">
        <f t="shared" si="0"/>
        <v>-0.48417124901806752</v>
      </c>
      <c r="I22" s="33">
        <f t="shared" si="1"/>
        <v>0.50863071485577471</v>
      </c>
      <c r="J22" s="51">
        <v>-7.0000000000000007E-2</v>
      </c>
      <c r="K22" s="51">
        <v>0.76</v>
      </c>
      <c r="L22" s="52">
        <v>0.79100000000000004</v>
      </c>
      <c r="M22" s="52">
        <v>0.80300000000000005</v>
      </c>
      <c r="N22" s="51"/>
      <c r="O22" s="51"/>
      <c r="P22" s="52">
        <f t="shared" si="9"/>
        <v>0.79700000000000004</v>
      </c>
      <c r="Q22" s="53">
        <f>1/1.35</f>
        <v>0.7407407407407407</v>
      </c>
      <c r="R22" s="53">
        <f>1/1.31</f>
        <v>0.76335877862595414</v>
      </c>
      <c r="S22" s="51"/>
      <c r="T22" s="51"/>
      <c r="U22" s="53">
        <f t="shared" si="10"/>
        <v>0.75204975968334742</v>
      </c>
      <c r="V22" s="33">
        <f t="shared" si="4"/>
        <v>-0.21129962351926446</v>
      </c>
      <c r="W22" s="53">
        <f t="shared" si="5"/>
        <v>1.4454718150553854</v>
      </c>
      <c r="X22" s="51"/>
      <c r="Y22" s="51"/>
      <c r="Z22" s="51"/>
      <c r="AA22" s="51"/>
      <c r="AB22" s="51">
        <v>43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</row>
    <row r="23" spans="1:39" s="59" customFormat="1" ht="13.2" x14ac:dyDescent="0.25">
      <c r="A23" s="54" t="s">
        <v>51</v>
      </c>
      <c r="B23" s="55" t="s">
        <v>48</v>
      </c>
      <c r="C23" s="55">
        <v>169.2</v>
      </c>
      <c r="D23" s="55">
        <v>163.30000000000001</v>
      </c>
      <c r="E23" s="55">
        <v>32</v>
      </c>
      <c r="F23" s="55">
        <v>30.2</v>
      </c>
      <c r="G23" s="55" t="s">
        <v>26</v>
      </c>
      <c r="H23" s="56">
        <f t="shared" si="0"/>
        <v>0.76967792615868025</v>
      </c>
      <c r="I23" s="56">
        <f t="shared" si="1"/>
        <v>0.22341808231672558</v>
      </c>
      <c r="J23" s="55">
        <v>0.12</v>
      </c>
      <c r="K23" s="55">
        <v>0.36</v>
      </c>
      <c r="L23" s="57">
        <v>0.36099999999999999</v>
      </c>
      <c r="M23" s="57">
        <v>0.39500000000000002</v>
      </c>
      <c r="N23" s="55"/>
      <c r="O23" s="55"/>
      <c r="P23" s="57">
        <f t="shared" si="9"/>
        <v>0.378</v>
      </c>
      <c r="Q23" s="58">
        <f>8.6/1</f>
        <v>8.6</v>
      </c>
      <c r="R23" s="58">
        <f>8.6/1</f>
        <v>8.6</v>
      </c>
      <c r="S23" s="55"/>
      <c r="T23" s="55"/>
      <c r="U23" s="58">
        <f t="shared" si="10"/>
        <v>8.6</v>
      </c>
      <c r="V23" s="56">
        <f t="shared" si="4"/>
        <v>1.595585526826333</v>
      </c>
      <c r="W23" s="58">
        <f t="shared" si="5"/>
        <v>2.6219587905324926</v>
      </c>
      <c r="X23" s="55"/>
      <c r="Y23" s="55"/>
      <c r="Z23" s="55"/>
      <c r="AA23" s="55"/>
      <c r="AB23" s="55">
        <v>7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</row>
    <row r="24" spans="1:39" s="59" customFormat="1" ht="13.2" x14ac:dyDescent="0.25">
      <c r="A24" s="54" t="s">
        <v>38</v>
      </c>
      <c r="B24" s="55" t="s">
        <v>35</v>
      </c>
      <c r="C24" s="55">
        <v>176.8</v>
      </c>
      <c r="D24" s="55">
        <v>162.5</v>
      </c>
      <c r="E24" s="55">
        <v>40</v>
      </c>
      <c r="F24" s="55">
        <v>34.4</v>
      </c>
      <c r="G24" s="55" t="s">
        <v>24</v>
      </c>
      <c r="H24" s="56">
        <f t="shared" si="0"/>
        <v>-0.63825608798114686</v>
      </c>
      <c r="I24" s="56">
        <f t="shared" si="1"/>
        <v>0.76578117280431723</v>
      </c>
      <c r="J24" s="55">
        <v>-0.1</v>
      </c>
      <c r="K24" s="55">
        <v>1.24</v>
      </c>
      <c r="L24" s="57">
        <v>0.27300000000000002</v>
      </c>
      <c r="M24" s="57">
        <v>0.155</v>
      </c>
      <c r="N24" s="57">
        <v>9.2999999999999999E-2</v>
      </c>
      <c r="O24" s="57"/>
      <c r="P24" s="57">
        <f t="shared" si="9"/>
        <v>0.17366666666666666</v>
      </c>
      <c r="Q24" s="55">
        <f>4.15/1</f>
        <v>4.1500000000000004</v>
      </c>
      <c r="R24" s="55">
        <v>3.63</v>
      </c>
      <c r="S24" s="55">
        <v>3.64</v>
      </c>
      <c r="T24" s="55"/>
      <c r="U24" s="58">
        <f t="shared" si="10"/>
        <v>3.8066666666666666</v>
      </c>
      <c r="V24" s="56">
        <f t="shared" si="4"/>
        <v>0.99123648392219033</v>
      </c>
      <c r="W24" s="58">
        <f t="shared" si="5"/>
        <v>2.3597251343091394</v>
      </c>
      <c r="X24" s="55"/>
      <c r="Y24" s="55"/>
      <c r="Z24" s="55"/>
      <c r="AA24" s="55"/>
      <c r="AB24" s="55">
        <v>10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</row>
    <row r="25" spans="1:39" s="59" customFormat="1" ht="13.2" x14ac:dyDescent="0.25">
      <c r="A25" s="55" t="s">
        <v>56</v>
      </c>
      <c r="B25" s="55" t="s">
        <v>54</v>
      </c>
      <c r="C25" s="55">
        <v>159</v>
      </c>
      <c r="D25" s="55">
        <v>149</v>
      </c>
      <c r="E25" s="55">
        <v>28.2</v>
      </c>
      <c r="F25" s="55">
        <v>28.2</v>
      </c>
      <c r="G25" s="55" t="s">
        <v>22</v>
      </c>
      <c r="H25" s="56">
        <f t="shared" si="0"/>
        <v>-0.40966221523959157</v>
      </c>
      <c r="I25" s="56">
        <f t="shared" si="1"/>
        <v>0.43035761790749816</v>
      </c>
      <c r="J25" s="55">
        <v>-7.0000000000000007E-2</v>
      </c>
      <c r="K25" s="55">
        <v>0.76</v>
      </c>
      <c r="L25" s="57">
        <v>0.55800000000000005</v>
      </c>
      <c r="M25" s="57">
        <v>0.58099999999999996</v>
      </c>
      <c r="N25" s="55"/>
      <c r="O25" s="55"/>
      <c r="P25" s="57">
        <f t="shared" si="9"/>
        <v>0.56950000000000001</v>
      </c>
      <c r="Q25" s="58">
        <f>1/1.42</f>
        <v>0.70422535211267612</v>
      </c>
      <c r="R25" s="58">
        <f>1/1.4</f>
        <v>0.7142857142857143</v>
      </c>
      <c r="S25" s="55"/>
      <c r="T25" s="55"/>
      <c r="U25" s="58">
        <f t="shared" si="10"/>
        <v>0.70925553319919521</v>
      </c>
      <c r="V25" s="56">
        <f t="shared" si="4"/>
        <v>-0.25474306586396717</v>
      </c>
      <c r="W25" s="58">
        <f t="shared" si="5"/>
        <v>1.2230283954755952</v>
      </c>
      <c r="X25" s="55"/>
      <c r="Y25" s="55"/>
      <c r="Z25" s="55"/>
      <c r="AA25" s="55"/>
      <c r="AB25" s="55">
        <v>11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</row>
    <row r="26" spans="1:39" s="59" customFormat="1" ht="13.2" x14ac:dyDescent="0.25">
      <c r="A26" s="55" t="s">
        <v>32</v>
      </c>
      <c r="B26" s="55" t="s">
        <v>29</v>
      </c>
      <c r="C26" s="55">
        <v>176.1</v>
      </c>
      <c r="D26" s="55">
        <v>176.1</v>
      </c>
      <c r="E26" s="55">
        <v>36.299999999999997</v>
      </c>
      <c r="F26" s="55">
        <v>36.299999999999997</v>
      </c>
      <c r="G26" s="55" t="s">
        <v>24</v>
      </c>
      <c r="H26" s="56">
        <f t="shared" si="0"/>
        <v>-0.69167321288295358</v>
      </c>
      <c r="I26" s="56">
        <f t="shared" si="1"/>
        <v>0.82987116634363245</v>
      </c>
      <c r="J26" s="55">
        <v>-0.1</v>
      </c>
      <c r="K26" s="55">
        <v>1.24</v>
      </c>
      <c r="L26" s="57">
        <v>0.91</v>
      </c>
      <c r="M26" s="57">
        <v>0.83</v>
      </c>
      <c r="N26" s="55"/>
      <c r="O26" s="55"/>
      <c r="P26" s="57">
        <f t="shared" si="9"/>
        <v>0.87</v>
      </c>
      <c r="Q26" s="55">
        <f>10.48/1</f>
        <v>10.48</v>
      </c>
      <c r="R26" s="55">
        <f>10.56/1</f>
        <v>10.56</v>
      </c>
      <c r="S26" s="55"/>
      <c r="T26" s="55"/>
      <c r="U26" s="55">
        <f t="shared" si="10"/>
        <v>10.52</v>
      </c>
      <c r="V26" s="56">
        <f t="shared" si="4"/>
        <v>1.7450146872601209</v>
      </c>
      <c r="W26" s="58">
        <f t="shared" si="5"/>
        <v>2.5572159763190125</v>
      </c>
      <c r="X26" s="55"/>
      <c r="Y26" s="55"/>
      <c r="Z26" s="55"/>
      <c r="AA26" s="55">
        <f>U26/(U26+1)</f>
        <v>0.91319444444444442</v>
      </c>
      <c r="AB26" s="55">
        <v>13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</row>
    <row r="27" spans="1:39" s="59" customFormat="1" ht="13.2" x14ac:dyDescent="0.25">
      <c r="A27" s="54" t="s">
        <v>30</v>
      </c>
      <c r="B27" s="55" t="s">
        <v>29</v>
      </c>
      <c r="C27" s="55">
        <v>176.1</v>
      </c>
      <c r="D27" s="55">
        <v>176.1</v>
      </c>
      <c r="E27" s="55">
        <v>36.299999999999997</v>
      </c>
      <c r="F27" s="55">
        <v>36.299999999999997</v>
      </c>
      <c r="G27" s="55" t="s">
        <v>20</v>
      </c>
      <c r="H27" s="56">
        <f t="shared" si="0"/>
        <v>-0.48417124901806752</v>
      </c>
      <c r="I27" s="56">
        <f t="shared" si="1"/>
        <v>0.37478052673583401</v>
      </c>
      <c r="J27" s="55">
        <v>-7.0000000000000007E-2</v>
      </c>
      <c r="K27" s="55">
        <v>0.56000000000000005</v>
      </c>
      <c r="L27" s="57">
        <v>0.86499999999999999</v>
      </c>
      <c r="M27" s="57">
        <v>0.89100000000000001</v>
      </c>
      <c r="N27" s="55"/>
      <c r="O27" s="55"/>
      <c r="P27" s="57">
        <f t="shared" si="9"/>
        <v>0.878</v>
      </c>
      <c r="Q27" s="58">
        <f>1/2.57</f>
        <v>0.38910505836575876</v>
      </c>
      <c r="R27" s="58">
        <f>1/2.54</f>
        <v>0.39370078740157477</v>
      </c>
      <c r="S27" s="55"/>
      <c r="T27" s="55"/>
      <c r="U27" s="58">
        <f t="shared" si="10"/>
        <v>0.39140292288366674</v>
      </c>
      <c r="V27" s="56">
        <f t="shared" si="4"/>
        <v>-0.69556364247050928</v>
      </c>
      <c r="W27" s="58">
        <f t="shared" si="5"/>
        <v>0.80736187363330503</v>
      </c>
      <c r="X27" s="55"/>
      <c r="Y27" s="55"/>
      <c r="Z27" s="55"/>
      <c r="AA27" s="55"/>
      <c r="AB27" s="55">
        <v>14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</row>
    <row r="28" spans="1:39" s="59" customFormat="1" ht="13.2" x14ac:dyDescent="0.25">
      <c r="A28" s="54" t="s">
        <v>40</v>
      </c>
      <c r="B28" s="55" t="s">
        <v>35</v>
      </c>
      <c r="C28" s="55">
        <v>176.8</v>
      </c>
      <c r="D28" s="55">
        <v>162.5</v>
      </c>
      <c r="E28" s="55">
        <v>40</v>
      </c>
      <c r="F28" s="55">
        <v>34.4</v>
      </c>
      <c r="G28" s="55" t="s">
        <v>27</v>
      </c>
      <c r="H28" s="56">
        <f t="shared" si="0"/>
        <v>0.38295365278868815</v>
      </c>
      <c r="I28" s="56">
        <f t="shared" si="1"/>
        <v>0.35201231330521032</v>
      </c>
      <c r="J28" s="55">
        <v>0.06</v>
      </c>
      <c r="K28" s="55">
        <v>0.56999999999999995</v>
      </c>
      <c r="L28" s="57">
        <v>0.51900000000000002</v>
      </c>
      <c r="M28" s="57">
        <v>0.52700000000000002</v>
      </c>
      <c r="N28" s="55"/>
      <c r="O28" s="55"/>
      <c r="P28" s="57">
        <f t="shared" si="9"/>
        <v>0.52300000000000002</v>
      </c>
      <c r="Q28" s="58">
        <f>2.29/1</f>
        <v>2.29</v>
      </c>
      <c r="R28" s="58">
        <f>2.29/1</f>
        <v>2.29</v>
      </c>
      <c r="S28" s="55"/>
      <c r="T28" s="55"/>
      <c r="U28" s="58">
        <f t="shared" si="10"/>
        <v>2.29</v>
      </c>
      <c r="V28" s="56">
        <f t="shared" si="4"/>
        <v>0.61439190926005272</v>
      </c>
      <c r="W28" s="58">
        <f t="shared" si="5"/>
        <v>2.4527743811450584</v>
      </c>
      <c r="X28" s="55"/>
      <c r="Y28" s="55"/>
      <c r="Z28" s="55"/>
      <c r="AA28" s="55"/>
      <c r="AB28" s="55">
        <v>15</v>
      </c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</row>
    <row r="29" spans="1:39" s="59" customFormat="1" ht="13.2" x14ac:dyDescent="0.25">
      <c r="A29" s="55" t="s">
        <v>47</v>
      </c>
      <c r="B29" s="55" t="s">
        <v>48</v>
      </c>
      <c r="C29" s="55">
        <v>169.2</v>
      </c>
      <c r="D29" s="55">
        <v>163.30000000000001</v>
      </c>
      <c r="E29" s="55">
        <v>32</v>
      </c>
      <c r="F29" s="55">
        <v>30.2</v>
      </c>
      <c r="G29" s="55" t="s">
        <v>18</v>
      </c>
      <c r="H29" s="56">
        <f t="shared" si="0"/>
        <v>-0.44897879025923026</v>
      </c>
      <c r="I29" s="56">
        <f t="shared" si="1"/>
        <v>0.32271500779082585</v>
      </c>
      <c r="J29" s="55">
        <v>-7.0000000000000007E-2</v>
      </c>
      <c r="K29" s="55">
        <v>0.52</v>
      </c>
      <c r="L29" s="57">
        <v>0.67700000000000005</v>
      </c>
      <c r="M29" s="57">
        <v>0.71399999999999997</v>
      </c>
      <c r="N29" s="55"/>
      <c r="O29" s="55"/>
      <c r="P29" s="57">
        <f t="shared" si="9"/>
        <v>0.69550000000000001</v>
      </c>
      <c r="Q29" s="58">
        <f>1/1.47</f>
        <v>0.68027210884353739</v>
      </c>
      <c r="R29" s="58">
        <f>1/1.52</f>
        <v>0.65789473684210531</v>
      </c>
      <c r="S29" s="55"/>
      <c r="T29" s="55"/>
      <c r="U29" s="58">
        <f t="shared" si="10"/>
        <v>0.6690834228428213</v>
      </c>
      <c r="V29" s="56">
        <f t="shared" si="4"/>
        <v>-0.29797925830154015</v>
      </c>
      <c r="W29" s="58">
        <f t="shared" si="5"/>
        <v>0.63033232979825971</v>
      </c>
      <c r="X29" s="55"/>
      <c r="Y29" s="55"/>
      <c r="Z29" s="55"/>
      <c r="AA29" s="55"/>
      <c r="AB29" s="55">
        <v>17</v>
      </c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</row>
    <row r="30" spans="1:39" s="59" customFormat="1" ht="13.2" x14ac:dyDescent="0.25">
      <c r="A30" s="55" t="s">
        <v>55</v>
      </c>
      <c r="B30" s="55" t="s">
        <v>54</v>
      </c>
      <c r="C30" s="55">
        <v>159</v>
      </c>
      <c r="D30" s="55">
        <v>149</v>
      </c>
      <c r="E30" s="55">
        <v>28.2</v>
      </c>
      <c r="F30" s="55">
        <v>28.2</v>
      </c>
      <c r="G30" s="55" t="s">
        <v>20</v>
      </c>
      <c r="H30" s="56">
        <f t="shared" si="0"/>
        <v>-0.40966221523959157</v>
      </c>
      <c r="I30" s="56">
        <f t="shared" si="1"/>
        <v>0.31710561319499875</v>
      </c>
      <c r="J30" s="55">
        <v>-7.0000000000000007E-2</v>
      </c>
      <c r="K30" s="55">
        <v>0.56000000000000005</v>
      </c>
      <c r="L30" s="57">
        <v>0.56699999999999995</v>
      </c>
      <c r="M30" s="57">
        <v>0.625</v>
      </c>
      <c r="N30" s="55"/>
      <c r="O30" s="55"/>
      <c r="P30" s="57">
        <f t="shared" si="9"/>
        <v>0.59599999999999997</v>
      </c>
      <c r="Q30" s="58">
        <f>1/2.29</f>
        <v>0.4366812227074236</v>
      </c>
      <c r="R30" s="58">
        <f>1/2.33</f>
        <v>0.42918454935622319</v>
      </c>
      <c r="S30" s="55"/>
      <c r="T30" s="55"/>
      <c r="U30" s="58">
        <f t="shared" si="10"/>
        <v>0.43293288603182339</v>
      </c>
      <c r="V30" s="56">
        <f t="shared" si="4"/>
        <v>-0.62078440598227913</v>
      </c>
      <c r="W30" s="58">
        <f t="shared" si="5"/>
        <v>0.6831170878555507</v>
      </c>
      <c r="X30" s="55"/>
      <c r="Y30" s="55"/>
      <c r="Z30" s="55"/>
      <c r="AA30" s="55"/>
      <c r="AB30" s="55">
        <v>18</v>
      </c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</row>
    <row r="31" spans="1:39" s="59" customFormat="1" ht="13.2" x14ac:dyDescent="0.25">
      <c r="A31" s="54" t="s">
        <v>50</v>
      </c>
      <c r="B31" s="55" t="s">
        <v>48</v>
      </c>
      <c r="C31" s="55">
        <v>169.2</v>
      </c>
      <c r="D31" s="55">
        <v>163.30000000000001</v>
      </c>
      <c r="E31" s="55">
        <v>32</v>
      </c>
      <c r="F31" s="55">
        <v>30.2</v>
      </c>
      <c r="G31" s="55" t="s">
        <v>22</v>
      </c>
      <c r="H31" s="56">
        <f t="shared" si="0"/>
        <v>-0.44897879025923026</v>
      </c>
      <c r="I31" s="56">
        <f t="shared" si="1"/>
        <v>0.47166039600197623</v>
      </c>
      <c r="J31" s="55">
        <v>-7.0000000000000007E-2</v>
      </c>
      <c r="K31" s="55">
        <v>0.76</v>
      </c>
      <c r="L31" s="57">
        <v>0.72399999999999998</v>
      </c>
      <c r="M31" s="57">
        <v>0.68799999999999994</v>
      </c>
      <c r="N31" s="55"/>
      <c r="O31" s="55"/>
      <c r="P31" s="57">
        <f t="shared" si="9"/>
        <v>0.70599999999999996</v>
      </c>
      <c r="Q31" s="58">
        <v>1.45</v>
      </c>
      <c r="R31" s="58">
        <v>1.51</v>
      </c>
      <c r="S31" s="55"/>
      <c r="T31" s="55"/>
      <c r="U31" s="58">
        <f t="shared" si="10"/>
        <v>1.48</v>
      </c>
      <c r="V31" s="56">
        <f t="shared" si="4"/>
        <v>0.29070901989757381</v>
      </c>
      <c r="W31" s="58">
        <f t="shared" si="5"/>
        <v>1.340406288464193</v>
      </c>
      <c r="X31" s="55"/>
      <c r="Y31" s="55"/>
      <c r="Z31" s="55"/>
      <c r="AA31" s="55"/>
      <c r="AB31" s="55">
        <v>21</v>
      </c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</row>
    <row r="32" spans="1:39" s="59" customFormat="1" ht="13.2" x14ac:dyDescent="0.25">
      <c r="A32" s="54" t="s">
        <v>37</v>
      </c>
      <c r="B32" s="55" t="s">
        <v>35</v>
      </c>
      <c r="C32" s="55">
        <v>176.8</v>
      </c>
      <c r="D32" s="55">
        <v>162.5</v>
      </c>
      <c r="E32" s="55">
        <v>40</v>
      </c>
      <c r="F32" s="55">
        <v>34.4</v>
      </c>
      <c r="G32" s="55" t="s">
        <v>22</v>
      </c>
      <c r="H32" s="56">
        <f t="shared" si="0"/>
        <v>-0.44677926158680287</v>
      </c>
      <c r="I32" s="56">
        <f t="shared" si="1"/>
        <v>0.46934975107361382</v>
      </c>
      <c r="J32" s="55">
        <v>-7.0000000000000007E-2</v>
      </c>
      <c r="K32" s="55">
        <v>0.76</v>
      </c>
      <c r="L32" s="57">
        <v>0.51800000000000002</v>
      </c>
      <c r="M32" s="57">
        <v>0.44500000000000001</v>
      </c>
      <c r="N32" s="55"/>
      <c r="O32" s="55"/>
      <c r="P32" s="57">
        <f t="shared" si="9"/>
        <v>0.48150000000000004</v>
      </c>
      <c r="Q32" s="58">
        <f>1/1.04</f>
        <v>0.96153846153846145</v>
      </c>
      <c r="R32" s="58">
        <f>1/1.1</f>
        <v>0.90909090909090906</v>
      </c>
      <c r="S32" s="55"/>
      <c r="T32" s="55"/>
      <c r="U32" s="58">
        <f t="shared" si="10"/>
        <v>0.9353146853146852</v>
      </c>
      <c r="V32" s="56">
        <f t="shared" si="4"/>
        <v>-4.9587442926128815E-2</v>
      </c>
      <c r="W32" s="58">
        <f t="shared" si="5"/>
        <v>1.3338396930522434</v>
      </c>
      <c r="X32" s="55"/>
      <c r="Y32" s="55"/>
      <c r="Z32" s="55"/>
      <c r="AA32" s="55"/>
      <c r="AB32" s="55">
        <v>22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</row>
    <row r="33" spans="1:39" s="59" customFormat="1" ht="13.2" x14ac:dyDescent="0.25">
      <c r="A33" s="55" t="s">
        <v>60</v>
      </c>
      <c r="B33" s="55" t="s">
        <v>61</v>
      </c>
      <c r="C33" s="55">
        <v>142.30000000000001</v>
      </c>
      <c r="D33" s="55">
        <v>139.1</v>
      </c>
      <c r="E33" s="55">
        <v>25.7</v>
      </c>
      <c r="F33" s="55">
        <v>25.7</v>
      </c>
      <c r="G33" s="55" t="s">
        <v>18</v>
      </c>
      <c r="H33" s="56">
        <f t="shared" si="0"/>
        <v>-0.38244304791830319</v>
      </c>
      <c r="I33" s="56">
        <f t="shared" si="1"/>
        <v>0.27489073841827233</v>
      </c>
      <c r="J33" s="55">
        <v>-7.0000000000000007E-2</v>
      </c>
      <c r="K33" s="55">
        <v>0.52</v>
      </c>
      <c r="L33" s="57">
        <v>0.52900000000000003</v>
      </c>
      <c r="M33" s="57">
        <v>0.53700000000000003</v>
      </c>
      <c r="N33" s="55"/>
      <c r="O33" s="55"/>
      <c r="P33" s="57">
        <f t="shared" si="9"/>
        <v>0.53300000000000003</v>
      </c>
      <c r="Q33" s="58">
        <f>1/2.17</f>
        <v>0.46082949308755761</v>
      </c>
      <c r="R33" s="58">
        <f>1/2.13</f>
        <v>0.46948356807511737</v>
      </c>
      <c r="S33" s="55"/>
      <c r="T33" s="55"/>
      <c r="U33" s="58">
        <f t="shared" si="10"/>
        <v>0.46515653058133749</v>
      </c>
      <c r="V33" s="56">
        <f t="shared" si="4"/>
        <v>-0.56754939329520815</v>
      </c>
      <c r="W33" s="58">
        <f t="shared" si="5"/>
        <v>0.53692117008535167</v>
      </c>
      <c r="X33" s="55"/>
      <c r="Y33" s="55"/>
      <c r="Z33" s="55"/>
      <c r="AA33" s="55"/>
      <c r="AB33" s="55">
        <v>23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</row>
    <row r="34" spans="1:39" s="59" customFormat="1" ht="13.2" x14ac:dyDescent="0.25">
      <c r="A34" s="55" t="s">
        <v>34</v>
      </c>
      <c r="B34" s="55" t="s">
        <v>35</v>
      </c>
      <c r="C34" s="55">
        <v>176.8</v>
      </c>
      <c r="D34" s="55">
        <v>162.5</v>
      </c>
      <c r="E34" s="55">
        <v>40</v>
      </c>
      <c r="F34" s="55">
        <v>34.4</v>
      </c>
      <c r="G34" s="55" t="s">
        <v>18</v>
      </c>
      <c r="H34" s="56">
        <f t="shared" si="0"/>
        <v>-0.44677926158680287</v>
      </c>
      <c r="I34" s="56">
        <f t="shared" si="1"/>
        <v>0.32113404020826208</v>
      </c>
      <c r="J34" s="55">
        <v>-7.0000000000000007E-2</v>
      </c>
      <c r="K34" s="55">
        <v>0.52</v>
      </c>
      <c r="L34" s="57">
        <v>0.56599999999999995</v>
      </c>
      <c r="M34" s="57">
        <v>0.67800000000000005</v>
      </c>
      <c r="N34" s="57">
        <v>0.61399999999999999</v>
      </c>
      <c r="O34" s="55"/>
      <c r="P34" s="57">
        <f t="shared" si="9"/>
        <v>0.6193333333333334</v>
      </c>
      <c r="Q34" s="58">
        <f>1/2.86</f>
        <v>0.34965034965034969</v>
      </c>
      <c r="R34" s="58">
        <f>1/2.78</f>
        <v>0.35971223021582738</v>
      </c>
      <c r="S34" s="55">
        <f>0.38/1</f>
        <v>0.38</v>
      </c>
      <c r="T34" s="55"/>
      <c r="U34" s="58">
        <f t="shared" si="10"/>
        <v>0.36312085995539239</v>
      </c>
      <c r="V34" s="56">
        <f t="shared" si="4"/>
        <v>-0.75117935154108739</v>
      </c>
      <c r="W34" s="58">
        <f t="shared" si="5"/>
        <v>0.62724435757634533</v>
      </c>
      <c r="X34" s="55"/>
      <c r="Y34" s="55"/>
      <c r="Z34" s="55"/>
      <c r="AA34" s="60" t="s">
        <v>77</v>
      </c>
      <c r="AB34" s="55">
        <v>25</v>
      </c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</row>
    <row r="35" spans="1:39" s="59" customFormat="1" ht="13.2" x14ac:dyDescent="0.25">
      <c r="A35" s="55" t="s">
        <v>41</v>
      </c>
      <c r="B35" s="55" t="s">
        <v>42</v>
      </c>
      <c r="C35" s="55">
        <v>176.3</v>
      </c>
      <c r="D35" s="60">
        <v>168.2</v>
      </c>
      <c r="E35" s="55">
        <v>35.799999999999997</v>
      </c>
      <c r="F35" s="55">
        <v>32.799999999999997</v>
      </c>
      <c r="G35" s="55" t="s">
        <v>18</v>
      </c>
      <c r="H35" s="56">
        <f t="shared" si="0"/>
        <v>-0.46245090337784761</v>
      </c>
      <c r="I35" s="56">
        <f t="shared" si="1"/>
        <v>0.33239843423402882</v>
      </c>
      <c r="J35" s="55">
        <v>-7.0000000000000007E-2</v>
      </c>
      <c r="K35" s="55">
        <v>0.52</v>
      </c>
      <c r="L35" s="57">
        <v>0.79500000000000004</v>
      </c>
      <c r="M35" s="57">
        <v>0.78400000000000003</v>
      </c>
      <c r="N35" s="55"/>
      <c r="O35" s="55"/>
      <c r="P35" s="57">
        <f t="shared" si="9"/>
        <v>0.78950000000000009</v>
      </c>
      <c r="Q35" s="55">
        <f>0.37/1</f>
        <v>0.37</v>
      </c>
      <c r="R35" s="55">
        <f>0.36/1</f>
        <v>0.36</v>
      </c>
      <c r="S35" s="55"/>
      <c r="T35" s="55"/>
      <c r="U35" s="58">
        <f t="shared" si="10"/>
        <v>0.36499999999999999</v>
      </c>
      <c r="V35" s="56">
        <f t="shared" si="4"/>
        <v>-0.74735187579228024</v>
      </c>
      <c r="W35" s="58">
        <f t="shared" si="5"/>
        <v>0.649246159657485</v>
      </c>
      <c r="X35" s="55"/>
      <c r="Y35" s="55"/>
      <c r="Z35" s="55"/>
      <c r="AA35" s="55"/>
      <c r="AB35" s="55">
        <v>31</v>
      </c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</row>
    <row r="36" spans="1:39" s="59" customFormat="1" ht="13.2" x14ac:dyDescent="0.25">
      <c r="A36" s="55" t="s">
        <v>44</v>
      </c>
      <c r="B36" s="55" t="s">
        <v>42</v>
      </c>
      <c r="C36" s="55">
        <v>176.3</v>
      </c>
      <c r="D36" s="60">
        <v>168.2</v>
      </c>
      <c r="E36" s="55">
        <v>35.799999999999997</v>
      </c>
      <c r="F36" s="55">
        <v>32.799999999999997</v>
      </c>
      <c r="G36" s="55" t="s">
        <v>22</v>
      </c>
      <c r="H36" s="56">
        <f t="shared" si="0"/>
        <v>-0.46245090337784761</v>
      </c>
      <c r="I36" s="56">
        <f t="shared" si="1"/>
        <v>0.48581309618819596</v>
      </c>
      <c r="J36" s="55">
        <v>-7.0000000000000007E-2</v>
      </c>
      <c r="K36" s="55">
        <v>0.76</v>
      </c>
      <c r="L36" s="57">
        <v>0.74299999999999999</v>
      </c>
      <c r="M36" s="57">
        <v>0.82699999999999996</v>
      </c>
      <c r="N36" s="55"/>
      <c r="O36" s="55"/>
      <c r="P36" s="57">
        <f t="shared" si="9"/>
        <v>0.78499999999999992</v>
      </c>
      <c r="Q36" s="58">
        <f>1/1.17</f>
        <v>0.85470085470085477</v>
      </c>
      <c r="R36" s="58">
        <f>1/1.2</f>
        <v>0.83333333333333337</v>
      </c>
      <c r="S36" s="55"/>
      <c r="T36" s="55"/>
      <c r="U36" s="58">
        <f t="shared" si="10"/>
        <v>0.84401709401709413</v>
      </c>
      <c r="V36" s="56">
        <f t="shared" si="4"/>
        <v>-0.1257496909661617</v>
      </c>
      <c r="W36" s="58">
        <f t="shared" si="5"/>
        <v>1.3806266853623839</v>
      </c>
      <c r="X36" s="55"/>
      <c r="Y36" s="55"/>
      <c r="Z36" s="55"/>
      <c r="AA36" s="55"/>
      <c r="AB36" s="55">
        <v>32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</row>
    <row r="37" spans="1:39" s="59" customFormat="1" ht="13.2" x14ac:dyDescent="0.25">
      <c r="A37" s="54" t="s">
        <v>52</v>
      </c>
      <c r="B37" s="55" t="s">
        <v>48</v>
      </c>
      <c r="C37" s="55">
        <v>169.2</v>
      </c>
      <c r="D37" s="55">
        <v>163.30000000000001</v>
      </c>
      <c r="E37" s="55">
        <v>32</v>
      </c>
      <c r="F37" s="55">
        <v>30.2</v>
      </c>
      <c r="G37" s="55" t="s">
        <v>27</v>
      </c>
      <c r="H37" s="56">
        <f t="shared" si="0"/>
        <v>0.38483896307934012</v>
      </c>
      <c r="I37" s="56">
        <f t="shared" si="1"/>
        <v>0.35374529700148216</v>
      </c>
      <c r="J37" s="55">
        <v>0.06</v>
      </c>
      <c r="K37" s="55">
        <v>0.56999999999999995</v>
      </c>
      <c r="L37" s="57">
        <v>0.41199999999999998</v>
      </c>
      <c r="M37" s="57">
        <v>0.49199999999999999</v>
      </c>
      <c r="N37" s="55"/>
      <c r="O37" s="55"/>
      <c r="P37" s="57">
        <f t="shared" si="9"/>
        <v>0.45199999999999996</v>
      </c>
      <c r="Q37" s="58">
        <f>2.54/1</f>
        <v>2.54</v>
      </c>
      <c r="R37" s="58">
        <f>2.54/1</f>
        <v>2.54</v>
      </c>
      <c r="S37" s="55"/>
      <c r="T37" s="55"/>
      <c r="U37" s="58">
        <f t="shared" si="10"/>
        <v>2.54</v>
      </c>
      <c r="V37" s="56">
        <f t="shared" si="4"/>
        <v>0.6912229957690178</v>
      </c>
      <c r="W37" s="58">
        <f t="shared" si="5"/>
        <v>2.4648495780983879</v>
      </c>
      <c r="X37" s="55"/>
      <c r="Y37" s="55"/>
      <c r="Z37" s="55"/>
      <c r="AA37" s="55"/>
      <c r="AB37" s="55">
        <v>35</v>
      </c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</row>
    <row r="38" spans="1:39" s="59" customFormat="1" ht="13.2" x14ac:dyDescent="0.25">
      <c r="A38" s="55" t="s">
        <v>63</v>
      </c>
      <c r="B38" s="55" t="s">
        <v>61</v>
      </c>
      <c r="C38" s="55">
        <v>142.30000000000001</v>
      </c>
      <c r="D38" s="55">
        <v>139.1</v>
      </c>
      <c r="E38" s="55">
        <v>25.7</v>
      </c>
      <c r="F38" s="55">
        <v>25.7</v>
      </c>
      <c r="G38" s="55" t="s">
        <v>22</v>
      </c>
      <c r="H38" s="56">
        <f t="shared" si="0"/>
        <v>-0.38244304791830319</v>
      </c>
      <c r="I38" s="56">
        <f t="shared" si="1"/>
        <v>0.40176338691901342</v>
      </c>
      <c r="J38" s="55">
        <v>-7.0000000000000007E-2</v>
      </c>
      <c r="K38" s="55">
        <v>0.76</v>
      </c>
      <c r="L38" s="57">
        <v>0.53500000000000003</v>
      </c>
      <c r="M38" s="57">
        <v>0.49099999999999999</v>
      </c>
      <c r="N38" s="55"/>
      <c r="O38" s="55"/>
      <c r="P38" s="57">
        <f t="shared" si="9"/>
        <v>0.51300000000000001</v>
      </c>
      <c r="Q38" s="58">
        <f>1/1.74</f>
        <v>0.57471264367816088</v>
      </c>
      <c r="R38" s="58">
        <f>1/1.75</f>
        <v>0.5714285714285714</v>
      </c>
      <c r="S38" s="55"/>
      <c r="T38" s="55"/>
      <c r="U38" s="58">
        <f t="shared" si="10"/>
        <v>0.57307060755336614</v>
      </c>
      <c r="V38" s="56">
        <f t="shared" si="4"/>
        <v>-0.41284134913213522</v>
      </c>
      <c r="W38" s="58">
        <f t="shared" si="5"/>
        <v>1.1417667772527205</v>
      </c>
      <c r="X38" s="55"/>
      <c r="Y38" s="55"/>
      <c r="Z38" s="55"/>
      <c r="AA38" s="55"/>
      <c r="AB38" s="55">
        <v>36</v>
      </c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</row>
    <row r="39" spans="1:39" s="59" customFormat="1" ht="13.2" x14ac:dyDescent="0.25">
      <c r="A39" s="55" t="s">
        <v>64</v>
      </c>
      <c r="B39" s="55" t="s">
        <v>61</v>
      </c>
      <c r="C39" s="55">
        <v>142.30000000000001</v>
      </c>
      <c r="D39" s="55">
        <v>139.1</v>
      </c>
      <c r="E39" s="55">
        <v>25.7</v>
      </c>
      <c r="F39" s="55">
        <v>25.7</v>
      </c>
      <c r="G39" s="55" t="s">
        <v>26</v>
      </c>
      <c r="H39" s="56">
        <f t="shared" si="0"/>
        <v>0.65561665357423404</v>
      </c>
      <c r="I39" s="56">
        <f t="shared" si="1"/>
        <v>0.19030897275111158</v>
      </c>
      <c r="J39" s="55">
        <v>0.12</v>
      </c>
      <c r="K39" s="55">
        <v>0.36</v>
      </c>
      <c r="L39" s="57">
        <v>0.373</v>
      </c>
      <c r="M39" s="57">
        <v>0.28799999999999998</v>
      </c>
      <c r="N39" s="55"/>
      <c r="O39" s="55"/>
      <c r="P39" s="57">
        <f t="shared" si="9"/>
        <v>0.33050000000000002</v>
      </c>
      <c r="Q39" s="55">
        <f>6.12/1</f>
        <v>6.12</v>
      </c>
      <c r="R39" s="55">
        <f>6.14/1</f>
        <v>6.14</v>
      </c>
      <c r="S39" s="55"/>
      <c r="T39" s="55"/>
      <c r="U39" s="58">
        <f t="shared" si="10"/>
        <v>6.13</v>
      </c>
      <c r="V39" s="56">
        <f t="shared" si="4"/>
        <v>1.3445292867177749</v>
      </c>
      <c r="W39" s="58">
        <f t="shared" si="5"/>
        <v>2.2334015172263912</v>
      </c>
      <c r="X39" s="55"/>
      <c r="Y39" s="55"/>
      <c r="Z39" s="55"/>
      <c r="AA39" s="55"/>
      <c r="AB39" s="55">
        <v>37</v>
      </c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</row>
    <row r="40" spans="1:39" s="59" customFormat="1" ht="13.2" x14ac:dyDescent="0.25">
      <c r="A40" s="54" t="s">
        <v>73</v>
      </c>
      <c r="B40" s="55" t="s">
        <v>48</v>
      </c>
      <c r="C40" s="55">
        <v>169.2</v>
      </c>
      <c r="D40" s="55">
        <v>163.30000000000001</v>
      </c>
      <c r="E40" s="55">
        <v>32</v>
      </c>
      <c r="F40" s="55">
        <v>30.2</v>
      </c>
      <c r="G40" s="55" t="s">
        <v>24</v>
      </c>
      <c r="H40" s="56">
        <f t="shared" si="0"/>
        <v>-0.6413982717989003</v>
      </c>
      <c r="I40" s="56">
        <f t="shared" si="1"/>
        <v>0.76955117242427706</v>
      </c>
      <c r="J40" s="55">
        <v>-0.1</v>
      </c>
      <c r="K40" s="55">
        <v>1.24</v>
      </c>
      <c r="L40" s="61">
        <v>0.19800000000000001</v>
      </c>
      <c r="M40" s="61">
        <v>0.22900000000000001</v>
      </c>
      <c r="N40" s="61"/>
      <c r="O40" s="61"/>
      <c r="P40" s="61">
        <f>AVERAGE(L40:O40)</f>
        <v>0.21350000000000002</v>
      </c>
      <c r="Q40" s="55">
        <v>3.26</v>
      </c>
      <c r="R40" s="55">
        <v>3.22</v>
      </c>
      <c r="S40" s="55"/>
      <c r="T40" s="55"/>
      <c r="U40" s="58">
        <f>AVERAGE(Q40:T40)</f>
        <v>3.24</v>
      </c>
      <c r="V40" s="56">
        <f t="shared" si="4"/>
        <v>0.87171704564628627</v>
      </c>
      <c r="W40" s="58">
        <f t="shared" si="5"/>
        <v>2.3713422426626618</v>
      </c>
      <c r="X40" s="55"/>
      <c r="Y40" s="55"/>
      <c r="Z40" s="55"/>
      <c r="AA40" s="55"/>
      <c r="AB40" s="55">
        <v>39</v>
      </c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</row>
    <row r="41" spans="1:39" s="59" customFormat="1" ht="13.2" x14ac:dyDescent="0.25">
      <c r="A41" s="54" t="s">
        <v>49</v>
      </c>
      <c r="B41" s="55" t="s">
        <v>48</v>
      </c>
      <c r="C41" s="55">
        <v>169.2</v>
      </c>
      <c r="D41" s="55">
        <v>163.30000000000001</v>
      </c>
      <c r="E41" s="55">
        <v>32</v>
      </c>
      <c r="F41" s="55">
        <v>30.2</v>
      </c>
      <c r="G41" s="55" t="s">
        <v>20</v>
      </c>
      <c r="H41" s="56">
        <f t="shared" si="0"/>
        <v>-0.44897879025923026</v>
      </c>
      <c r="I41" s="56">
        <f t="shared" si="1"/>
        <v>0.34753923915935098</v>
      </c>
      <c r="J41" s="55">
        <v>-7.0000000000000007E-2</v>
      </c>
      <c r="K41" s="55">
        <v>0.56000000000000005</v>
      </c>
      <c r="L41" s="57">
        <v>0.73</v>
      </c>
      <c r="M41" s="57">
        <v>0.69499999999999995</v>
      </c>
      <c r="N41" s="55"/>
      <c r="O41" s="55"/>
      <c r="P41" s="57">
        <f>AVERAGE(L41:N41)</f>
        <v>0.71249999999999991</v>
      </c>
      <c r="Q41" s="58">
        <f>1/1.01</f>
        <v>0.99009900990099009</v>
      </c>
      <c r="R41" s="58">
        <f>1/1.1</f>
        <v>0.90909090909090906</v>
      </c>
      <c r="S41" s="55"/>
      <c r="T41" s="55"/>
      <c r="U41" s="58">
        <f>AVERAGE(Q41:S41)</f>
        <v>0.94959495949594963</v>
      </c>
      <c r="V41" s="56">
        <f t="shared" si="4"/>
        <v>-3.8351484388420377E-2</v>
      </c>
      <c r="W41" s="58">
        <f t="shared" si="5"/>
        <v>0.74867798957591547</v>
      </c>
      <c r="X41" s="55"/>
      <c r="Y41" s="55"/>
      <c r="Z41" s="55"/>
      <c r="AA41" s="55"/>
      <c r="AB41" s="55">
        <v>40</v>
      </c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</row>
    <row r="42" spans="1:39" s="59" customFormat="1" ht="13.2" x14ac:dyDescent="0.25">
      <c r="A42" s="55" t="s">
        <v>45</v>
      </c>
      <c r="B42" s="55" t="s">
        <v>42</v>
      </c>
      <c r="C42" s="55">
        <v>176.3</v>
      </c>
      <c r="D42" s="60">
        <v>168.2</v>
      </c>
      <c r="E42" s="55">
        <v>35.799999999999997</v>
      </c>
      <c r="F42" s="55">
        <v>32.799999999999997</v>
      </c>
      <c r="G42" s="55" t="s">
        <v>24</v>
      </c>
      <c r="H42" s="56">
        <f t="shared" si="0"/>
        <v>-0.66064414768263946</v>
      </c>
      <c r="I42" s="56">
        <f t="shared" si="1"/>
        <v>0.79264242009653019</v>
      </c>
      <c r="J42" s="55">
        <v>-0.1</v>
      </c>
      <c r="K42" s="55">
        <v>1.24</v>
      </c>
      <c r="L42" s="57">
        <v>0.90600000000000003</v>
      </c>
      <c r="M42" s="57">
        <v>0.86599999999999999</v>
      </c>
      <c r="N42" s="55"/>
      <c r="O42" s="55"/>
      <c r="P42" s="57">
        <f>AVERAGE(L42:N42)</f>
        <v>0.88600000000000001</v>
      </c>
      <c r="Q42" s="58">
        <f>7.69/1</f>
        <v>7.69</v>
      </c>
      <c r="R42" s="58">
        <f>7.69/1</f>
        <v>7.69</v>
      </c>
      <c r="S42" s="55"/>
      <c r="T42" s="55"/>
      <c r="U42" s="58">
        <f>AVERAGE(Q42:S42)</f>
        <v>7.69</v>
      </c>
      <c r="V42" s="56">
        <f t="shared" si="4"/>
        <v>1.5126523149827651</v>
      </c>
      <c r="W42" s="58">
        <f t="shared" si="5"/>
        <v>2.4424970313279828</v>
      </c>
      <c r="X42" s="55"/>
      <c r="Y42" s="55"/>
      <c r="Z42" s="55"/>
      <c r="AA42" s="55"/>
      <c r="AB42" s="55">
        <v>41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</row>
    <row r="43" spans="1:39" s="59" customFormat="1" ht="13.2" x14ac:dyDescent="0.25">
      <c r="A43" s="55" t="s">
        <v>62</v>
      </c>
      <c r="B43" s="55" t="s">
        <v>61</v>
      </c>
      <c r="C43" s="55">
        <v>142.30000000000001</v>
      </c>
      <c r="D43" s="55">
        <v>139.1</v>
      </c>
      <c r="E43" s="55">
        <v>25.7</v>
      </c>
      <c r="F43" s="55">
        <v>25.7</v>
      </c>
      <c r="G43" s="55" t="s">
        <v>20</v>
      </c>
      <c r="H43" s="56">
        <f t="shared" si="0"/>
        <v>-0.38244304791830319</v>
      </c>
      <c r="I43" s="56">
        <f t="shared" si="1"/>
        <v>0.29603617983506253</v>
      </c>
      <c r="J43" s="55">
        <v>-7.0000000000000007E-2</v>
      </c>
      <c r="K43" s="55">
        <v>0.56000000000000005</v>
      </c>
      <c r="L43" s="57">
        <v>0.42199999999999999</v>
      </c>
      <c r="M43" s="57">
        <v>0.40300000000000002</v>
      </c>
      <c r="N43" s="55"/>
      <c r="O43" s="55"/>
      <c r="P43" s="57">
        <f>AVERAGE(L43:N43)</f>
        <v>0.41249999999999998</v>
      </c>
      <c r="Q43" s="58">
        <f>1/2.01</f>
        <v>0.49751243781094534</v>
      </c>
      <c r="R43" s="58">
        <f>1/2</f>
        <v>0.5</v>
      </c>
      <c r="S43" s="55"/>
      <c r="T43" s="55"/>
      <c r="U43" s="58">
        <f>AVERAGE(Q43:S43)</f>
        <v>0.49875621890547267</v>
      </c>
      <c r="V43" s="56">
        <f t="shared" si="4"/>
        <v>-0.51583286978596632</v>
      </c>
      <c r="W43" s="58">
        <f t="shared" si="5"/>
        <v>0.63772877127991323</v>
      </c>
      <c r="X43" s="55"/>
      <c r="Y43" s="55"/>
      <c r="Z43" s="55"/>
      <c r="AA43" s="55"/>
      <c r="AB43" s="55">
        <v>44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</row>
    <row r="44" spans="1:39" s="59" customFormat="1" ht="13.2" x14ac:dyDescent="0.25">
      <c r="A44" s="54" t="s">
        <v>39</v>
      </c>
      <c r="B44" s="55" t="s">
        <v>35</v>
      </c>
      <c r="C44" s="55">
        <v>176.8</v>
      </c>
      <c r="D44" s="55">
        <v>162.5</v>
      </c>
      <c r="E44" s="55">
        <v>40</v>
      </c>
      <c r="F44" s="55">
        <v>34.4</v>
      </c>
      <c r="G44" s="55" t="s">
        <v>26</v>
      </c>
      <c r="H44" s="56">
        <f t="shared" si="0"/>
        <v>0.7659073055773763</v>
      </c>
      <c r="I44" s="56">
        <f t="shared" si="1"/>
        <v>0.2223235662980276</v>
      </c>
      <c r="J44" s="55">
        <v>0.12</v>
      </c>
      <c r="K44" s="55">
        <v>0.36</v>
      </c>
      <c r="L44" s="57">
        <v>0.54600000000000004</v>
      </c>
      <c r="M44" s="57">
        <v>0.47899999999999998</v>
      </c>
      <c r="N44" s="57">
        <v>0.433</v>
      </c>
      <c r="O44" s="55"/>
      <c r="P44" s="57">
        <f>AVERAGE(L44:N44)</f>
        <v>0.48599999999999999</v>
      </c>
      <c r="Q44" s="55">
        <f>8.84/1</f>
        <v>8.84</v>
      </c>
      <c r="R44" s="55">
        <f>9.2/1</f>
        <v>9.1999999999999993</v>
      </c>
      <c r="S44" s="55">
        <f>9.01/1</f>
        <v>9.01</v>
      </c>
      <c r="T44" s="55"/>
      <c r="U44" s="58">
        <f>AVERAGE(Q44:S44)</f>
        <v>9.0166666666666657</v>
      </c>
      <c r="V44" s="56">
        <f t="shared" si="4"/>
        <v>1.6306689395977298</v>
      </c>
      <c r="W44" s="58">
        <f t="shared" si="5"/>
        <v>2.609113921993448</v>
      </c>
      <c r="X44" s="55"/>
      <c r="Y44" s="55"/>
      <c r="Z44" s="55"/>
      <c r="AA44" s="55"/>
      <c r="AB44" s="55">
        <v>45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</row>
  </sheetData>
  <autoFilter ref="AB1:AB27" xr:uid="{00000000-0001-0000-0100-000000000000}"/>
  <sortState xmlns:xlrd2="http://schemas.microsoft.com/office/spreadsheetml/2017/richdata2" ref="A2:AM22">
    <sortCondition ref="AB2:AB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AAEF-0465-416F-8DA7-23E7C91A8AF0}">
  <sheetPr>
    <outlinePr summaryBelow="0" summaryRight="0"/>
  </sheetPr>
  <dimension ref="A1:V44"/>
  <sheetViews>
    <sheetView tabSelected="1" zoomScale="73" zoomScaleNormal="120" workbookViewId="0">
      <pane ySplit="1" topLeftCell="A2" activePane="bottomLeft" state="frozen"/>
      <selection pane="bottomLeft" activeCell="I44" sqref="I44"/>
    </sheetView>
  </sheetViews>
  <sheetFormatPr defaultColWidth="12.5546875" defaultRowHeight="15.75" customHeight="1" x14ac:dyDescent="0.25"/>
  <cols>
    <col min="1" max="1" width="32.6640625" bestFit="1" customWidth="1"/>
    <col min="2" max="2" width="13" bestFit="1" customWidth="1"/>
    <col min="3" max="3" width="16.5546875" bestFit="1" customWidth="1"/>
    <col min="4" max="4" width="15" bestFit="1" customWidth="1"/>
    <col min="5" max="5" width="11.5546875" bestFit="1" customWidth="1"/>
    <col min="6" max="6" width="10.88671875" bestFit="1" customWidth="1"/>
    <col min="7" max="7" width="10.6640625" bestFit="1" customWidth="1"/>
    <col min="8" max="8" width="21.88671875" bestFit="1" customWidth="1"/>
    <col min="9" max="9" width="17.88671875" bestFit="1" customWidth="1"/>
    <col min="10" max="10" width="11.109375" bestFit="1" customWidth="1"/>
    <col min="11" max="11" width="7.21875" bestFit="1" customWidth="1"/>
    <col min="12" max="13" width="7.44140625" bestFit="1" customWidth="1"/>
    <col min="14" max="15" width="6.6640625" bestFit="1" customWidth="1"/>
    <col min="16" max="16" width="12.33203125" bestFit="1" customWidth="1"/>
    <col min="17" max="18" width="12.77734375" bestFit="1" customWidth="1"/>
    <col min="19" max="20" width="6.33203125" bestFit="1" customWidth="1"/>
    <col min="21" max="21" width="11.21875" bestFit="1" customWidth="1"/>
    <col min="22" max="22" width="19.33203125" bestFit="1" customWidth="1"/>
  </cols>
  <sheetData>
    <row r="1" spans="1:22" ht="13.2" x14ac:dyDescent="0.25">
      <c r="A1" s="1" t="s">
        <v>84</v>
      </c>
      <c r="B1" s="1" t="s">
        <v>1</v>
      </c>
      <c r="C1" s="28" t="s">
        <v>75</v>
      </c>
      <c r="D1" s="28" t="s">
        <v>76</v>
      </c>
      <c r="E1" s="28" t="s">
        <v>74</v>
      </c>
      <c r="F1" s="1" t="s">
        <v>2</v>
      </c>
      <c r="G1" s="1" t="s">
        <v>3</v>
      </c>
      <c r="H1" s="1" t="s">
        <v>78</v>
      </c>
      <c r="I1" s="1" t="s">
        <v>79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71" t="s">
        <v>85</v>
      </c>
    </row>
    <row r="2" spans="1:22" ht="13.2" x14ac:dyDescent="0.25">
      <c r="A2" s="2" t="s">
        <v>16</v>
      </c>
      <c r="B2" s="2" t="s">
        <v>17</v>
      </c>
      <c r="C2" s="2">
        <v>213.3</v>
      </c>
      <c r="D2" s="2">
        <v>212.2</v>
      </c>
      <c r="E2" s="2">
        <v>58.4</v>
      </c>
      <c r="F2" s="2">
        <v>57.2</v>
      </c>
      <c r="G2" s="2" t="s">
        <v>18</v>
      </c>
      <c r="H2" s="4">
        <f>(D2*J2)/25.46</f>
        <v>-0.58342498036135115</v>
      </c>
      <c r="I2" s="4">
        <f t="shared" ref="I2:I6" si="0">(D2*K2)/263.13</f>
        <v>0.41935165127503515</v>
      </c>
      <c r="J2" s="2">
        <v>-7.0000000000000007E-2</v>
      </c>
      <c r="K2" s="2">
        <v>0.52</v>
      </c>
      <c r="L2" s="3">
        <v>0.54600000000000004</v>
      </c>
      <c r="M2" s="3">
        <v>0.54200000000000004</v>
      </c>
      <c r="N2" s="2"/>
      <c r="O2" s="2"/>
      <c r="P2" s="3">
        <f t="shared" ref="P2:P6" si="1">AVERAGE(L2:N2)</f>
        <v>0.54400000000000004</v>
      </c>
      <c r="Q2" s="4">
        <f>1/2.13</f>
        <v>0.46948356807511737</v>
      </c>
      <c r="R2" s="4">
        <f>1/2.04</f>
        <v>0.49019607843137253</v>
      </c>
      <c r="S2" s="2"/>
      <c r="T2" s="2"/>
      <c r="U2" s="4">
        <f t="shared" ref="U2:U6" si="2">AVERAGE(Q2:S2)</f>
        <v>0.47983982325324492</v>
      </c>
      <c r="V2" s="4">
        <f t="shared" ref="V2:V6" si="3">LN(U2)*(0.001987203611*373.15)</f>
        <v>-0.54450400204623883</v>
      </c>
    </row>
    <row r="3" spans="1:22" ht="13.2" x14ac:dyDescent="0.25">
      <c r="A3" s="2" t="s">
        <v>19</v>
      </c>
      <c r="B3" s="2" t="s">
        <v>17</v>
      </c>
      <c r="C3" s="2">
        <v>213.3</v>
      </c>
      <c r="D3" s="2">
        <v>212.2</v>
      </c>
      <c r="E3" s="2">
        <v>58.4</v>
      </c>
      <c r="F3" s="2">
        <v>57.2</v>
      </c>
      <c r="G3" s="2" t="s">
        <v>20</v>
      </c>
      <c r="H3" s="4">
        <f t="shared" ref="H3:H6" si="4">(D3*J3)/25.46</f>
        <v>-0.58342498036135115</v>
      </c>
      <c r="I3" s="4">
        <f t="shared" si="0"/>
        <v>0.45160947060388407</v>
      </c>
      <c r="J3" s="2">
        <v>-7.0000000000000007E-2</v>
      </c>
      <c r="K3" s="2">
        <v>0.56000000000000005</v>
      </c>
      <c r="L3" s="3">
        <v>0.64400000000000002</v>
      </c>
      <c r="M3" s="3">
        <v>0.60599999999999998</v>
      </c>
      <c r="N3" s="2"/>
      <c r="O3" s="2"/>
      <c r="P3" s="3">
        <f t="shared" si="1"/>
        <v>0.625</v>
      </c>
      <c r="Q3" s="4">
        <f>1/1.93</f>
        <v>0.5181347150259068</v>
      </c>
      <c r="R3" s="4">
        <f>1/2.04</f>
        <v>0.49019607843137253</v>
      </c>
      <c r="S3" s="2"/>
      <c r="T3" s="2"/>
      <c r="U3" s="4">
        <f t="shared" si="2"/>
        <v>0.50416539672863969</v>
      </c>
      <c r="V3" s="4">
        <f t="shared" si="3"/>
        <v>-0.50783407992184604</v>
      </c>
    </row>
    <row r="4" spans="1:22" ht="13.2" x14ac:dyDescent="0.25">
      <c r="A4" s="2" t="s">
        <v>21</v>
      </c>
      <c r="B4" s="2" t="s">
        <v>17</v>
      </c>
      <c r="C4" s="2">
        <v>213.3</v>
      </c>
      <c r="D4" s="2">
        <v>212.2</v>
      </c>
      <c r="E4" s="2">
        <v>58.4</v>
      </c>
      <c r="F4" s="2">
        <v>57.2</v>
      </c>
      <c r="G4" s="2" t="s">
        <v>22</v>
      </c>
      <c r="H4" s="4">
        <f t="shared" si="4"/>
        <v>-0.58342498036135115</v>
      </c>
      <c r="I4" s="4">
        <f t="shared" si="0"/>
        <v>0.6128985672481283</v>
      </c>
      <c r="J4" s="2">
        <v>-7.0000000000000007E-2</v>
      </c>
      <c r="K4" s="2">
        <v>0.76</v>
      </c>
      <c r="L4" s="3">
        <v>0.59499999999999997</v>
      </c>
      <c r="M4" s="3">
        <v>0.65400000000000003</v>
      </c>
      <c r="N4" s="2"/>
      <c r="O4" s="2"/>
      <c r="P4" s="3">
        <f t="shared" si="1"/>
        <v>0.62450000000000006</v>
      </c>
      <c r="Q4" s="2">
        <f>1.23/1</f>
        <v>1.23</v>
      </c>
      <c r="R4" s="4">
        <f>1.21/1</f>
        <v>1.21</v>
      </c>
      <c r="S4" s="2"/>
      <c r="T4" s="2"/>
      <c r="U4" s="2">
        <f t="shared" si="2"/>
        <v>1.22</v>
      </c>
      <c r="V4" s="4">
        <f t="shared" si="3"/>
        <v>0.14745288848840082</v>
      </c>
    </row>
    <row r="5" spans="1:22" ht="13.2" x14ac:dyDescent="0.25">
      <c r="A5" s="2" t="s">
        <v>23</v>
      </c>
      <c r="B5" s="2" t="s">
        <v>17</v>
      </c>
      <c r="C5" s="2">
        <v>213.3</v>
      </c>
      <c r="D5" s="2">
        <v>212.2</v>
      </c>
      <c r="E5" s="2">
        <v>58.4</v>
      </c>
      <c r="F5" s="2">
        <v>57.2</v>
      </c>
      <c r="G5" s="2" t="s">
        <v>24</v>
      </c>
      <c r="H5" s="4">
        <f t="shared" si="4"/>
        <v>-0.83346425765907295</v>
      </c>
      <c r="I5" s="4">
        <f t="shared" si="0"/>
        <v>0.9999923991943146</v>
      </c>
      <c r="J5" s="2">
        <v>-0.1</v>
      </c>
      <c r="K5" s="2">
        <v>1.24</v>
      </c>
      <c r="L5" s="3">
        <v>0.49199999999999999</v>
      </c>
      <c r="M5" s="3">
        <v>0.68</v>
      </c>
      <c r="N5" s="3">
        <v>0.48399999999999999</v>
      </c>
      <c r="O5" s="3">
        <v>0.47199999999999998</v>
      </c>
      <c r="P5" s="3">
        <f t="shared" si="1"/>
        <v>0.55200000000000005</v>
      </c>
      <c r="Q5" s="2">
        <f>12.3/1</f>
        <v>12.3</v>
      </c>
      <c r="R5" s="2">
        <f>12.51/1</f>
        <v>12.51</v>
      </c>
      <c r="S5" s="2">
        <f>11.46/1</f>
        <v>11.46</v>
      </c>
      <c r="T5" s="2">
        <f>11.43/1</f>
        <v>11.43</v>
      </c>
      <c r="U5" s="2">
        <f t="shared" si="2"/>
        <v>12.090000000000002</v>
      </c>
      <c r="V5" s="4">
        <f t="shared" si="3"/>
        <v>1.848161157689775</v>
      </c>
    </row>
    <row r="6" spans="1:22" ht="13.2" x14ac:dyDescent="0.25">
      <c r="A6" s="2" t="s">
        <v>25</v>
      </c>
      <c r="B6" s="2" t="s">
        <v>17</v>
      </c>
      <c r="C6" s="2">
        <v>213.3</v>
      </c>
      <c r="D6" s="2">
        <v>212.2</v>
      </c>
      <c r="E6" s="2">
        <v>58.4</v>
      </c>
      <c r="F6" s="2">
        <v>57.2</v>
      </c>
      <c r="G6" s="2" t="s">
        <v>26</v>
      </c>
      <c r="H6" s="4">
        <f t="shared" si="4"/>
        <v>1.0001571091908876</v>
      </c>
      <c r="I6" s="4">
        <f t="shared" si="0"/>
        <v>0.29032037395963972</v>
      </c>
      <c r="J6" s="2">
        <v>0.12</v>
      </c>
      <c r="K6" s="2">
        <v>0.36</v>
      </c>
      <c r="L6" s="3">
        <v>0.309</v>
      </c>
      <c r="M6" s="3">
        <v>0.32300000000000001</v>
      </c>
      <c r="N6" s="2"/>
      <c r="O6" s="2"/>
      <c r="P6" s="3">
        <f t="shared" si="1"/>
        <v>0.316</v>
      </c>
      <c r="Q6" s="2">
        <f>12.88/1</f>
        <v>12.88</v>
      </c>
      <c r="R6" s="2">
        <f>12.86/1</f>
        <v>12.86</v>
      </c>
      <c r="S6" s="2"/>
      <c r="T6" s="2"/>
      <c r="U6" s="4">
        <f t="shared" si="2"/>
        <v>12.870000000000001</v>
      </c>
      <c r="V6" s="4">
        <f t="shared" si="3"/>
        <v>1.8945215671162077</v>
      </c>
    </row>
    <row r="7" spans="1:22" ht="13.2" x14ac:dyDescent="0.25">
      <c r="A7" s="13" t="s">
        <v>43</v>
      </c>
      <c r="B7" s="13" t="s">
        <v>42</v>
      </c>
      <c r="C7" s="13">
        <v>176.3</v>
      </c>
      <c r="D7" s="29">
        <v>168.2</v>
      </c>
      <c r="E7" s="13">
        <v>35.799999999999997</v>
      </c>
      <c r="F7" s="13">
        <v>32.799999999999997</v>
      </c>
      <c r="G7" s="13" t="s">
        <v>20</v>
      </c>
      <c r="H7" s="15">
        <f t="shared" ref="H7:H44" si="5">(D7*J7)/25.46</f>
        <v>-0.46245090337784761</v>
      </c>
      <c r="I7" s="15">
        <f t="shared" ref="I7:I44" si="6">(D7*K7)/263.13</f>
        <v>0.35796754455972335</v>
      </c>
      <c r="J7" s="13">
        <v>-7.0000000000000007E-2</v>
      </c>
      <c r="K7" s="13">
        <v>0.56000000000000005</v>
      </c>
      <c r="L7" s="14">
        <v>0.85099999999999998</v>
      </c>
      <c r="M7" s="14">
        <v>0.81200000000000006</v>
      </c>
      <c r="N7" s="13"/>
      <c r="O7" s="13"/>
      <c r="P7" s="14">
        <f t="shared" ref="P7:P17" si="7">AVERAGE(L7:N7)</f>
        <v>0.83150000000000002</v>
      </c>
      <c r="Q7" s="15">
        <f>1/2.41</f>
        <v>0.41493775933609955</v>
      </c>
      <c r="R7" s="15">
        <f>1/2.46</f>
        <v>0.4065040650406504</v>
      </c>
      <c r="S7" s="13"/>
      <c r="T7" s="13"/>
      <c r="U7" s="15">
        <f t="shared" ref="U7:U17" si="8">AVERAGE(Q7:S7)</f>
        <v>0.41072091218837498</v>
      </c>
      <c r="V7" s="15">
        <f t="shared" ref="V7:V44" si="9">LN(U7)*(0.001987203611*373.15)</f>
        <v>-0.65983962474136404</v>
      </c>
    </row>
    <row r="8" spans="1:22" ht="13.2" x14ac:dyDescent="0.25">
      <c r="A8" s="13" t="s">
        <v>46</v>
      </c>
      <c r="B8" s="13" t="s">
        <v>42</v>
      </c>
      <c r="C8" s="13">
        <v>176.3</v>
      </c>
      <c r="D8" s="29">
        <v>168.2</v>
      </c>
      <c r="E8" s="13">
        <v>35.799999999999997</v>
      </c>
      <c r="F8" s="13">
        <v>32.799999999999997</v>
      </c>
      <c r="G8" s="13" t="s">
        <v>26</v>
      </c>
      <c r="H8" s="15">
        <f t="shared" si="5"/>
        <v>0.79277297721916717</v>
      </c>
      <c r="I8" s="15">
        <f t="shared" si="6"/>
        <v>0.23012199293125069</v>
      </c>
      <c r="J8" s="13">
        <v>0.12</v>
      </c>
      <c r="K8" s="13">
        <v>0.36</v>
      </c>
      <c r="L8" s="14">
        <v>0.25700000000000001</v>
      </c>
      <c r="M8" s="14">
        <v>0.28599999999999998</v>
      </c>
      <c r="N8" s="13"/>
      <c r="O8" s="13"/>
      <c r="P8" s="14">
        <f t="shared" si="7"/>
        <v>0.27149999999999996</v>
      </c>
      <c r="Q8" s="15">
        <f>5.32/1</f>
        <v>5.32</v>
      </c>
      <c r="R8" s="15">
        <f>5.39/1</f>
        <v>5.39</v>
      </c>
      <c r="S8" s="13"/>
      <c r="T8" s="13"/>
      <c r="U8" s="15">
        <f t="shared" si="8"/>
        <v>5.3550000000000004</v>
      </c>
      <c r="V8" s="15">
        <f t="shared" si="9"/>
        <v>1.2443017637621994</v>
      </c>
    </row>
    <row r="9" spans="1:22" ht="13.2" x14ac:dyDescent="0.25">
      <c r="A9" s="13" t="s">
        <v>41</v>
      </c>
      <c r="B9" s="13" t="s">
        <v>42</v>
      </c>
      <c r="C9" s="13">
        <v>176.3</v>
      </c>
      <c r="D9" s="29">
        <v>168.2</v>
      </c>
      <c r="E9" s="13">
        <v>35.799999999999997</v>
      </c>
      <c r="F9" s="13">
        <v>32.799999999999997</v>
      </c>
      <c r="G9" s="13" t="s">
        <v>18</v>
      </c>
      <c r="H9" s="15">
        <f t="shared" si="5"/>
        <v>-0.46245090337784761</v>
      </c>
      <c r="I9" s="15">
        <f t="shared" si="6"/>
        <v>0.33239843423402882</v>
      </c>
      <c r="J9" s="13">
        <v>-7.0000000000000007E-2</v>
      </c>
      <c r="K9" s="13">
        <v>0.52</v>
      </c>
      <c r="L9" s="14">
        <v>0.79500000000000004</v>
      </c>
      <c r="M9" s="14">
        <v>0.78400000000000003</v>
      </c>
      <c r="N9" s="13"/>
      <c r="O9" s="13"/>
      <c r="P9" s="14">
        <f t="shared" si="7"/>
        <v>0.78950000000000009</v>
      </c>
      <c r="Q9" s="15">
        <f>0.37/1</f>
        <v>0.37</v>
      </c>
      <c r="R9" s="15">
        <f>0.36/1</f>
        <v>0.36</v>
      </c>
      <c r="S9" s="13"/>
      <c r="T9" s="13"/>
      <c r="U9" s="15">
        <f t="shared" si="8"/>
        <v>0.36499999999999999</v>
      </c>
      <c r="V9" s="15">
        <f t="shared" si="9"/>
        <v>-0.74735187579228024</v>
      </c>
    </row>
    <row r="10" spans="1:22" ht="13.2" x14ac:dyDescent="0.25">
      <c r="A10" s="13" t="s">
        <v>44</v>
      </c>
      <c r="B10" s="13" t="s">
        <v>42</v>
      </c>
      <c r="C10" s="13">
        <v>176.3</v>
      </c>
      <c r="D10" s="29">
        <v>168.2</v>
      </c>
      <c r="E10" s="13">
        <v>35.799999999999997</v>
      </c>
      <c r="F10" s="13">
        <v>32.799999999999997</v>
      </c>
      <c r="G10" s="13" t="s">
        <v>22</v>
      </c>
      <c r="H10" s="15">
        <f t="shared" si="5"/>
        <v>-0.46245090337784761</v>
      </c>
      <c r="I10" s="15">
        <f t="shared" si="6"/>
        <v>0.48581309618819596</v>
      </c>
      <c r="J10" s="13">
        <v>-7.0000000000000007E-2</v>
      </c>
      <c r="K10" s="13">
        <v>0.76</v>
      </c>
      <c r="L10" s="14">
        <v>0.74299999999999999</v>
      </c>
      <c r="M10" s="14">
        <v>0.82699999999999996</v>
      </c>
      <c r="N10" s="13"/>
      <c r="O10" s="13"/>
      <c r="P10" s="14">
        <f t="shared" si="7"/>
        <v>0.78499999999999992</v>
      </c>
      <c r="Q10" s="15">
        <f>1/1.17</f>
        <v>0.85470085470085477</v>
      </c>
      <c r="R10" s="15">
        <f>1/1.2</f>
        <v>0.83333333333333337</v>
      </c>
      <c r="S10" s="13"/>
      <c r="T10" s="13"/>
      <c r="U10" s="15">
        <f t="shared" si="8"/>
        <v>0.84401709401709413</v>
      </c>
      <c r="V10" s="15">
        <f t="shared" si="9"/>
        <v>-0.1257496909661617</v>
      </c>
    </row>
    <row r="11" spans="1:22" ht="13.2" x14ac:dyDescent="0.25">
      <c r="A11" s="13" t="s">
        <v>45</v>
      </c>
      <c r="B11" s="13" t="s">
        <v>42</v>
      </c>
      <c r="C11" s="13">
        <v>176.3</v>
      </c>
      <c r="D11" s="29">
        <v>168.2</v>
      </c>
      <c r="E11" s="13">
        <v>35.799999999999997</v>
      </c>
      <c r="F11" s="13">
        <v>32.799999999999997</v>
      </c>
      <c r="G11" s="13" t="s">
        <v>24</v>
      </c>
      <c r="H11" s="15">
        <f t="shared" si="5"/>
        <v>-0.66064414768263946</v>
      </c>
      <c r="I11" s="15">
        <f t="shared" si="6"/>
        <v>0.79264242009653019</v>
      </c>
      <c r="J11" s="13">
        <v>-0.1</v>
      </c>
      <c r="K11" s="13">
        <v>1.24</v>
      </c>
      <c r="L11" s="14">
        <v>0.90600000000000003</v>
      </c>
      <c r="M11" s="14">
        <v>0.86599999999999999</v>
      </c>
      <c r="N11" s="13"/>
      <c r="O11" s="13"/>
      <c r="P11" s="14">
        <f t="shared" si="7"/>
        <v>0.88600000000000001</v>
      </c>
      <c r="Q11" s="15">
        <f>7.69/1</f>
        <v>7.69</v>
      </c>
      <c r="R11" s="15">
        <f>7.69/1</f>
        <v>7.69</v>
      </c>
      <c r="S11" s="13"/>
      <c r="T11" s="13"/>
      <c r="U11" s="15">
        <f t="shared" si="8"/>
        <v>7.69</v>
      </c>
      <c r="V11" s="15">
        <f t="shared" si="9"/>
        <v>1.5126523149827651</v>
      </c>
    </row>
    <row r="12" spans="1:22" ht="13.2" x14ac:dyDescent="0.25">
      <c r="A12" s="12" t="s">
        <v>36</v>
      </c>
      <c r="B12" s="9" t="s">
        <v>35</v>
      </c>
      <c r="C12" s="9">
        <v>176.8</v>
      </c>
      <c r="D12" s="9">
        <v>162.5</v>
      </c>
      <c r="E12" s="9">
        <v>40</v>
      </c>
      <c r="F12" s="9">
        <v>34.4</v>
      </c>
      <c r="G12" s="9" t="s">
        <v>20</v>
      </c>
      <c r="H12" s="11">
        <f t="shared" si="5"/>
        <v>-0.44677926158680287</v>
      </c>
      <c r="I12" s="11">
        <f t="shared" si="6"/>
        <v>0.34583665868582075</v>
      </c>
      <c r="J12" s="9">
        <v>-7.0000000000000007E-2</v>
      </c>
      <c r="K12" s="9">
        <v>0.56000000000000005</v>
      </c>
      <c r="L12" s="10">
        <v>0.59199999999999997</v>
      </c>
      <c r="M12" s="10">
        <v>0.62</v>
      </c>
      <c r="N12" s="9"/>
      <c r="O12" s="9"/>
      <c r="P12" s="10">
        <f t="shared" si="7"/>
        <v>0.60599999999999998</v>
      </c>
      <c r="Q12" s="11">
        <f>1/2.13</f>
        <v>0.46948356807511737</v>
      </c>
      <c r="R12" s="11">
        <f>1/2.13</f>
        <v>0.46948356807511737</v>
      </c>
      <c r="S12" s="9"/>
      <c r="T12" s="9"/>
      <c r="U12" s="11">
        <f t="shared" si="8"/>
        <v>0.46948356807511737</v>
      </c>
      <c r="V12" s="11">
        <f t="shared" si="9"/>
        <v>-0.56068337176436511</v>
      </c>
    </row>
    <row r="13" spans="1:22" ht="13.2" x14ac:dyDescent="0.25">
      <c r="A13" s="12" t="s">
        <v>38</v>
      </c>
      <c r="B13" s="9" t="s">
        <v>35</v>
      </c>
      <c r="C13" s="9">
        <v>176.8</v>
      </c>
      <c r="D13" s="9">
        <v>162.5</v>
      </c>
      <c r="E13" s="9">
        <v>40</v>
      </c>
      <c r="F13" s="9">
        <v>34.4</v>
      </c>
      <c r="G13" s="9" t="s">
        <v>24</v>
      </c>
      <c r="H13" s="11">
        <f t="shared" si="5"/>
        <v>-0.63825608798114686</v>
      </c>
      <c r="I13" s="11">
        <f t="shared" si="6"/>
        <v>0.76578117280431723</v>
      </c>
      <c r="J13" s="9">
        <v>-0.1</v>
      </c>
      <c r="K13" s="9">
        <v>1.24</v>
      </c>
      <c r="L13" s="10">
        <v>0.27300000000000002</v>
      </c>
      <c r="M13" s="10">
        <v>0.155</v>
      </c>
      <c r="N13" s="9">
        <v>9.2999999999999999E-2</v>
      </c>
      <c r="O13" s="9"/>
      <c r="P13" s="10">
        <f t="shared" si="7"/>
        <v>0.17366666666666666</v>
      </c>
      <c r="Q13" s="11">
        <f>4.15/1</f>
        <v>4.1500000000000004</v>
      </c>
      <c r="R13" s="11">
        <v>3.63</v>
      </c>
      <c r="S13" s="9">
        <v>3.64</v>
      </c>
      <c r="T13" s="9"/>
      <c r="U13" s="11">
        <f t="shared" si="8"/>
        <v>3.8066666666666666</v>
      </c>
      <c r="V13" s="11">
        <f t="shared" si="9"/>
        <v>0.99123648392219033</v>
      </c>
    </row>
    <row r="14" spans="1:22" ht="13.2" x14ac:dyDescent="0.25">
      <c r="A14" s="12" t="s">
        <v>40</v>
      </c>
      <c r="B14" s="9" t="s">
        <v>35</v>
      </c>
      <c r="C14" s="9">
        <v>176.8</v>
      </c>
      <c r="D14" s="9">
        <v>162.5</v>
      </c>
      <c r="E14" s="9">
        <v>40</v>
      </c>
      <c r="F14" s="9">
        <v>34.4</v>
      </c>
      <c r="G14" s="9" t="s">
        <v>27</v>
      </c>
      <c r="H14" s="11">
        <f t="shared" si="5"/>
        <v>0.38295365278868815</v>
      </c>
      <c r="I14" s="11">
        <f t="shared" si="6"/>
        <v>0.35201231330521032</v>
      </c>
      <c r="J14" s="9">
        <v>0.06</v>
      </c>
      <c r="K14" s="9">
        <v>0.56999999999999995</v>
      </c>
      <c r="L14" s="10">
        <v>0.51900000000000002</v>
      </c>
      <c r="M14" s="10">
        <v>0.52700000000000002</v>
      </c>
      <c r="N14" s="9"/>
      <c r="O14" s="9"/>
      <c r="P14" s="10">
        <f t="shared" si="7"/>
        <v>0.52300000000000002</v>
      </c>
      <c r="Q14" s="11">
        <f>2.29/1</f>
        <v>2.29</v>
      </c>
      <c r="R14" s="11">
        <f>2.29/1</f>
        <v>2.29</v>
      </c>
      <c r="S14" s="9"/>
      <c r="T14" s="9"/>
      <c r="U14" s="11">
        <f t="shared" si="8"/>
        <v>2.29</v>
      </c>
      <c r="V14" s="11">
        <f t="shared" si="9"/>
        <v>0.61439190926005272</v>
      </c>
    </row>
    <row r="15" spans="1:22" ht="13.2" x14ac:dyDescent="0.25">
      <c r="A15" s="12" t="s">
        <v>37</v>
      </c>
      <c r="B15" s="9" t="s">
        <v>35</v>
      </c>
      <c r="C15" s="9">
        <v>176.8</v>
      </c>
      <c r="D15" s="9">
        <v>162.5</v>
      </c>
      <c r="E15" s="9">
        <v>40</v>
      </c>
      <c r="F15" s="9">
        <v>34.4</v>
      </c>
      <c r="G15" s="9" t="s">
        <v>22</v>
      </c>
      <c r="H15" s="11">
        <f t="shared" si="5"/>
        <v>-0.44677926158680287</v>
      </c>
      <c r="I15" s="11">
        <f t="shared" si="6"/>
        <v>0.46934975107361382</v>
      </c>
      <c r="J15" s="9">
        <v>-7.0000000000000007E-2</v>
      </c>
      <c r="K15" s="9">
        <v>0.76</v>
      </c>
      <c r="L15" s="10">
        <v>0.51800000000000002</v>
      </c>
      <c r="M15" s="10">
        <v>0.44500000000000001</v>
      </c>
      <c r="N15" s="9"/>
      <c r="O15" s="9"/>
      <c r="P15" s="10">
        <f t="shared" si="7"/>
        <v>0.48150000000000004</v>
      </c>
      <c r="Q15" s="11">
        <f>1/1.04</f>
        <v>0.96153846153846145</v>
      </c>
      <c r="R15" s="11">
        <f>1/1.1</f>
        <v>0.90909090909090906</v>
      </c>
      <c r="S15" s="9"/>
      <c r="T15" s="9"/>
      <c r="U15" s="11">
        <f t="shared" si="8"/>
        <v>0.9353146853146852</v>
      </c>
      <c r="V15" s="11">
        <f t="shared" si="9"/>
        <v>-4.9587442926128815E-2</v>
      </c>
    </row>
    <row r="16" spans="1:22" ht="13.2" x14ac:dyDescent="0.25">
      <c r="A16" s="12" t="s">
        <v>34</v>
      </c>
      <c r="B16" s="9" t="s">
        <v>35</v>
      </c>
      <c r="C16" s="9">
        <v>176.8</v>
      </c>
      <c r="D16" s="9">
        <v>162.5</v>
      </c>
      <c r="E16" s="9">
        <v>40</v>
      </c>
      <c r="F16" s="9">
        <v>34.4</v>
      </c>
      <c r="G16" s="9" t="s">
        <v>18</v>
      </c>
      <c r="H16" s="11">
        <f t="shared" si="5"/>
        <v>-0.44677926158680287</v>
      </c>
      <c r="I16" s="11">
        <f t="shared" si="6"/>
        <v>0.32113404020826208</v>
      </c>
      <c r="J16" s="9">
        <v>-7.0000000000000007E-2</v>
      </c>
      <c r="K16" s="9">
        <v>0.52</v>
      </c>
      <c r="L16" s="10">
        <v>0.56599999999999995</v>
      </c>
      <c r="M16" s="10">
        <v>0.67800000000000005</v>
      </c>
      <c r="N16" s="9">
        <v>0.61399999999999999</v>
      </c>
      <c r="O16" s="9"/>
      <c r="P16" s="10">
        <f t="shared" si="7"/>
        <v>0.6193333333333334</v>
      </c>
      <c r="Q16" s="11">
        <f>1/2.86</f>
        <v>0.34965034965034969</v>
      </c>
      <c r="R16" s="11">
        <f>1/2.78</f>
        <v>0.35971223021582738</v>
      </c>
      <c r="S16" s="9">
        <f>0.38/1</f>
        <v>0.38</v>
      </c>
      <c r="T16" s="9"/>
      <c r="U16" s="11">
        <f t="shared" si="8"/>
        <v>0.36312085995539239</v>
      </c>
      <c r="V16" s="11">
        <f t="shared" si="9"/>
        <v>-0.75117935154108739</v>
      </c>
    </row>
    <row r="17" spans="1:22" ht="13.2" x14ac:dyDescent="0.25">
      <c r="A17" s="12" t="s">
        <v>39</v>
      </c>
      <c r="B17" s="9" t="s">
        <v>35</v>
      </c>
      <c r="C17" s="9">
        <v>176.8</v>
      </c>
      <c r="D17" s="9">
        <v>162.5</v>
      </c>
      <c r="E17" s="9">
        <v>40</v>
      </c>
      <c r="F17" s="9">
        <v>34.4</v>
      </c>
      <c r="G17" s="9" t="s">
        <v>26</v>
      </c>
      <c r="H17" s="11">
        <f t="shared" si="5"/>
        <v>0.7659073055773763</v>
      </c>
      <c r="I17" s="11">
        <f t="shared" si="6"/>
        <v>0.2223235662980276</v>
      </c>
      <c r="J17" s="9">
        <v>0.12</v>
      </c>
      <c r="K17" s="9">
        <v>0.36</v>
      </c>
      <c r="L17" s="10">
        <v>0.54600000000000004</v>
      </c>
      <c r="M17" s="10">
        <v>0.47899999999999998</v>
      </c>
      <c r="N17" s="9">
        <v>0.433</v>
      </c>
      <c r="O17" s="9"/>
      <c r="P17" s="10">
        <f t="shared" si="7"/>
        <v>0.48599999999999999</v>
      </c>
      <c r="Q17" s="11">
        <f>8.84/1</f>
        <v>8.84</v>
      </c>
      <c r="R17" s="11">
        <f>9.2/1</f>
        <v>9.1999999999999993</v>
      </c>
      <c r="S17" s="9">
        <f>9.01/1</f>
        <v>9.01</v>
      </c>
      <c r="T17" s="9"/>
      <c r="U17" s="11">
        <f t="shared" si="8"/>
        <v>9.0166666666666657</v>
      </c>
      <c r="V17" s="11">
        <f t="shared" si="9"/>
        <v>1.6306689395977298</v>
      </c>
    </row>
    <row r="18" spans="1:22" s="72" customFormat="1" ht="13.2" x14ac:dyDescent="0.25">
      <c r="A18" s="73" t="s">
        <v>51</v>
      </c>
      <c r="B18" s="74" t="s">
        <v>48</v>
      </c>
      <c r="C18" s="74">
        <v>169.2</v>
      </c>
      <c r="D18" s="74">
        <v>163.30000000000001</v>
      </c>
      <c r="E18" s="74">
        <v>32</v>
      </c>
      <c r="F18" s="74">
        <v>30.2</v>
      </c>
      <c r="G18" s="74" t="s">
        <v>26</v>
      </c>
      <c r="H18" s="75">
        <f t="shared" si="5"/>
        <v>0.76967792615868025</v>
      </c>
      <c r="I18" s="75">
        <f t="shared" si="6"/>
        <v>0.22341808231672558</v>
      </c>
      <c r="J18" s="74">
        <v>0.12</v>
      </c>
      <c r="K18" s="74">
        <v>0.36</v>
      </c>
      <c r="L18" s="76">
        <v>0.36099999999999999</v>
      </c>
      <c r="M18" s="76">
        <v>0.39500000000000002</v>
      </c>
      <c r="N18" s="74"/>
      <c r="O18" s="74"/>
      <c r="P18" s="76">
        <f t="shared" ref="P18:P21" si="10">AVERAGE(L18:N18)</f>
        <v>0.378</v>
      </c>
      <c r="Q18" s="75">
        <f>8.6/1</f>
        <v>8.6</v>
      </c>
      <c r="R18" s="75">
        <f>8.6/1</f>
        <v>8.6</v>
      </c>
      <c r="S18" s="74"/>
      <c r="T18" s="74"/>
      <c r="U18" s="75">
        <f t="shared" ref="U18:U21" si="11">AVERAGE(Q18:S18)</f>
        <v>8.6</v>
      </c>
      <c r="V18" s="75">
        <f t="shared" si="9"/>
        <v>1.595585526826333</v>
      </c>
    </row>
    <row r="19" spans="1:22" s="72" customFormat="1" ht="13.2" x14ac:dyDescent="0.25">
      <c r="A19" s="74" t="s">
        <v>47</v>
      </c>
      <c r="B19" s="74" t="s">
        <v>48</v>
      </c>
      <c r="C19" s="74">
        <v>169.2</v>
      </c>
      <c r="D19" s="74">
        <v>163.30000000000001</v>
      </c>
      <c r="E19" s="74">
        <v>32</v>
      </c>
      <c r="F19" s="74">
        <v>30.2</v>
      </c>
      <c r="G19" s="74" t="s">
        <v>18</v>
      </c>
      <c r="H19" s="75">
        <f t="shared" si="5"/>
        <v>-0.44897879025923026</v>
      </c>
      <c r="I19" s="75">
        <f t="shared" si="6"/>
        <v>0.32271500779082585</v>
      </c>
      <c r="J19" s="74">
        <v>-7.0000000000000007E-2</v>
      </c>
      <c r="K19" s="74">
        <v>0.52</v>
      </c>
      <c r="L19" s="76">
        <v>0.67700000000000005</v>
      </c>
      <c r="M19" s="76">
        <v>0.71399999999999997</v>
      </c>
      <c r="N19" s="74"/>
      <c r="O19" s="74"/>
      <c r="P19" s="76">
        <f t="shared" si="10"/>
        <v>0.69550000000000001</v>
      </c>
      <c r="Q19" s="75">
        <f>1/1.47</f>
        <v>0.68027210884353739</v>
      </c>
      <c r="R19" s="75">
        <f>1/1.52</f>
        <v>0.65789473684210531</v>
      </c>
      <c r="S19" s="74"/>
      <c r="T19" s="74"/>
      <c r="U19" s="75">
        <f t="shared" si="11"/>
        <v>0.6690834228428213</v>
      </c>
      <c r="V19" s="75">
        <f t="shared" si="9"/>
        <v>-0.29797925830154015</v>
      </c>
    </row>
    <row r="20" spans="1:22" s="72" customFormat="1" ht="13.2" x14ac:dyDescent="0.25">
      <c r="A20" s="73" t="s">
        <v>50</v>
      </c>
      <c r="B20" s="74" t="s">
        <v>48</v>
      </c>
      <c r="C20" s="74">
        <v>169.2</v>
      </c>
      <c r="D20" s="74">
        <v>163.30000000000001</v>
      </c>
      <c r="E20" s="74">
        <v>32</v>
      </c>
      <c r="F20" s="74">
        <v>30.2</v>
      </c>
      <c r="G20" s="74" t="s">
        <v>22</v>
      </c>
      <c r="H20" s="75">
        <f t="shared" si="5"/>
        <v>-0.44897879025923026</v>
      </c>
      <c r="I20" s="75">
        <f t="shared" si="6"/>
        <v>0.47166039600197623</v>
      </c>
      <c r="J20" s="74">
        <v>-7.0000000000000007E-2</v>
      </c>
      <c r="K20" s="74">
        <v>0.76</v>
      </c>
      <c r="L20" s="76">
        <v>0.72399999999999998</v>
      </c>
      <c r="M20" s="76">
        <v>0.68799999999999994</v>
      </c>
      <c r="N20" s="74"/>
      <c r="O20" s="74"/>
      <c r="P20" s="76">
        <f t="shared" si="10"/>
        <v>0.70599999999999996</v>
      </c>
      <c r="Q20" s="75">
        <v>1.45</v>
      </c>
      <c r="R20" s="75">
        <v>1.51</v>
      </c>
      <c r="S20" s="74"/>
      <c r="T20" s="74"/>
      <c r="U20" s="75">
        <f t="shared" si="11"/>
        <v>1.48</v>
      </c>
      <c r="V20" s="75">
        <f t="shared" si="9"/>
        <v>0.29070901989757381</v>
      </c>
    </row>
    <row r="21" spans="1:22" s="72" customFormat="1" ht="13.2" x14ac:dyDescent="0.25">
      <c r="A21" s="73" t="s">
        <v>52</v>
      </c>
      <c r="B21" s="74" t="s">
        <v>48</v>
      </c>
      <c r="C21" s="74">
        <v>169.2</v>
      </c>
      <c r="D21" s="74">
        <v>163.30000000000001</v>
      </c>
      <c r="E21" s="74">
        <v>32</v>
      </c>
      <c r="F21" s="74">
        <v>30.2</v>
      </c>
      <c r="G21" s="74" t="s">
        <v>27</v>
      </c>
      <c r="H21" s="75">
        <f t="shared" si="5"/>
        <v>0.38483896307934012</v>
      </c>
      <c r="I21" s="75">
        <f t="shared" si="6"/>
        <v>0.35374529700148216</v>
      </c>
      <c r="J21" s="74">
        <v>0.06</v>
      </c>
      <c r="K21" s="74">
        <v>0.56999999999999995</v>
      </c>
      <c r="L21" s="76">
        <v>0.41199999999999998</v>
      </c>
      <c r="M21" s="76">
        <v>0.49199999999999999</v>
      </c>
      <c r="N21" s="74"/>
      <c r="O21" s="74"/>
      <c r="P21" s="76">
        <f t="shared" si="10"/>
        <v>0.45199999999999996</v>
      </c>
      <c r="Q21" s="75">
        <f>2.54/1</f>
        <v>2.54</v>
      </c>
      <c r="R21" s="75">
        <f>2.54/1</f>
        <v>2.54</v>
      </c>
      <c r="S21" s="74"/>
      <c r="T21" s="74"/>
      <c r="U21" s="75">
        <f t="shared" si="11"/>
        <v>2.54</v>
      </c>
      <c r="V21" s="75">
        <f t="shared" si="9"/>
        <v>0.6912229957690178</v>
      </c>
    </row>
    <row r="22" spans="1:22" s="72" customFormat="1" ht="13.2" x14ac:dyDescent="0.25">
      <c r="A22" s="73" t="s">
        <v>73</v>
      </c>
      <c r="B22" s="74" t="s">
        <v>48</v>
      </c>
      <c r="C22" s="74">
        <v>169.2</v>
      </c>
      <c r="D22" s="74">
        <v>163.30000000000001</v>
      </c>
      <c r="E22" s="74">
        <v>32</v>
      </c>
      <c r="F22" s="74">
        <v>30.2</v>
      </c>
      <c r="G22" s="74" t="s">
        <v>24</v>
      </c>
      <c r="H22" s="75">
        <f t="shared" si="5"/>
        <v>-0.6413982717989003</v>
      </c>
      <c r="I22" s="75">
        <f t="shared" si="6"/>
        <v>0.76955117242427706</v>
      </c>
      <c r="J22" s="74">
        <v>-0.1</v>
      </c>
      <c r="K22" s="74">
        <v>1.24</v>
      </c>
      <c r="L22" s="77">
        <v>0.19800000000000001</v>
      </c>
      <c r="M22" s="77">
        <v>0.22900000000000001</v>
      </c>
      <c r="N22" s="77"/>
      <c r="O22" s="77"/>
      <c r="P22" s="77">
        <f>AVERAGE(L22:O22)</f>
        <v>0.21350000000000002</v>
      </c>
      <c r="Q22" s="74">
        <v>3.26</v>
      </c>
      <c r="R22" s="74">
        <v>3.22</v>
      </c>
      <c r="S22" s="74"/>
      <c r="T22" s="74"/>
      <c r="U22" s="75">
        <f>AVERAGE(Q22:T22)</f>
        <v>3.24</v>
      </c>
      <c r="V22" s="75">
        <f t="shared" si="9"/>
        <v>0.87171704564628627</v>
      </c>
    </row>
    <row r="23" spans="1:22" s="72" customFormat="1" ht="13.2" x14ac:dyDescent="0.25">
      <c r="A23" s="73" t="s">
        <v>49</v>
      </c>
      <c r="B23" s="74" t="s">
        <v>48</v>
      </c>
      <c r="C23" s="74">
        <v>169.2</v>
      </c>
      <c r="D23" s="74">
        <v>163.30000000000001</v>
      </c>
      <c r="E23" s="74">
        <v>32</v>
      </c>
      <c r="F23" s="74">
        <v>30.2</v>
      </c>
      <c r="G23" s="74" t="s">
        <v>20</v>
      </c>
      <c r="H23" s="75">
        <f t="shared" si="5"/>
        <v>-0.44897879025923026</v>
      </c>
      <c r="I23" s="75">
        <f t="shared" si="6"/>
        <v>0.34753923915935098</v>
      </c>
      <c r="J23" s="74">
        <v>-7.0000000000000007E-2</v>
      </c>
      <c r="K23" s="74">
        <v>0.56000000000000005</v>
      </c>
      <c r="L23" s="76">
        <v>0.73</v>
      </c>
      <c r="M23" s="76">
        <v>0.69499999999999995</v>
      </c>
      <c r="N23" s="74"/>
      <c r="O23" s="74"/>
      <c r="P23" s="76">
        <f t="shared" ref="P23:P28" si="12">AVERAGE(L23:N23)</f>
        <v>0.71249999999999991</v>
      </c>
      <c r="Q23" s="75">
        <f>1/1.01</f>
        <v>0.99009900990099009</v>
      </c>
      <c r="R23" s="75">
        <f>1/1.1</f>
        <v>0.90909090909090906</v>
      </c>
      <c r="S23" s="74"/>
      <c r="T23" s="74"/>
      <c r="U23" s="75">
        <f t="shared" ref="U23:U28" si="13">AVERAGE(Q23:S23)</f>
        <v>0.94959495949594963</v>
      </c>
      <c r="V23" s="75">
        <f t="shared" si="9"/>
        <v>-3.8351484388420377E-2</v>
      </c>
    </row>
    <row r="24" spans="1:22" ht="13.2" x14ac:dyDescent="0.25">
      <c r="A24" s="26" t="s">
        <v>69</v>
      </c>
      <c r="B24" s="23" t="s">
        <v>67</v>
      </c>
      <c r="C24" s="23">
        <v>159</v>
      </c>
      <c r="D24" s="23">
        <v>140.30000000000001</v>
      </c>
      <c r="E24" s="23">
        <v>26.6</v>
      </c>
      <c r="F24" s="23">
        <v>24.4</v>
      </c>
      <c r="G24" s="23" t="s">
        <v>22</v>
      </c>
      <c r="H24" s="25">
        <f t="shared" si="5"/>
        <v>-0.38574234092694426</v>
      </c>
      <c r="I24" s="25">
        <f t="shared" si="6"/>
        <v>0.4052293543115571</v>
      </c>
      <c r="J24" s="23">
        <v>-7.0000000000000007E-2</v>
      </c>
      <c r="K24" s="23">
        <v>0.76</v>
      </c>
      <c r="L24" s="24">
        <v>0.505</v>
      </c>
      <c r="M24" s="24">
        <v>0.45400000000000001</v>
      </c>
      <c r="N24" s="23"/>
      <c r="O24" s="23"/>
      <c r="P24" s="24">
        <f t="shared" si="12"/>
        <v>0.47950000000000004</v>
      </c>
      <c r="Q24" s="25">
        <f>1/1.62</f>
        <v>0.61728395061728392</v>
      </c>
      <c r="R24" s="25">
        <f>1/1.66</f>
        <v>0.60240963855421692</v>
      </c>
      <c r="S24" s="23"/>
      <c r="T24" s="23"/>
      <c r="U24" s="25">
        <f t="shared" si="13"/>
        <v>0.60984679458575042</v>
      </c>
      <c r="V24" s="25">
        <f t="shared" si="9"/>
        <v>-0.36671935575980447</v>
      </c>
    </row>
    <row r="25" spans="1:22" ht="13.2" x14ac:dyDescent="0.25">
      <c r="A25" s="26" t="s">
        <v>70</v>
      </c>
      <c r="B25" s="23" t="s">
        <v>67</v>
      </c>
      <c r="C25" s="23">
        <v>159</v>
      </c>
      <c r="D25" s="23">
        <v>140.30000000000001</v>
      </c>
      <c r="E25" s="23">
        <v>26.6</v>
      </c>
      <c r="F25" s="23">
        <v>24.4</v>
      </c>
      <c r="G25" s="23" t="s">
        <v>26</v>
      </c>
      <c r="H25" s="25">
        <f t="shared" si="5"/>
        <v>0.66127258444619019</v>
      </c>
      <c r="I25" s="25">
        <f t="shared" si="6"/>
        <v>0.1919507467791586</v>
      </c>
      <c r="J25" s="23">
        <v>0.12</v>
      </c>
      <c r="K25" s="23">
        <v>0.36</v>
      </c>
      <c r="L25" s="24">
        <v>0.39100000000000001</v>
      </c>
      <c r="M25" s="24">
        <v>0.36699999999999999</v>
      </c>
      <c r="N25" s="23"/>
      <c r="O25" s="23"/>
      <c r="P25" s="24">
        <f t="shared" si="12"/>
        <v>0.379</v>
      </c>
      <c r="Q25" s="23">
        <f>6.84/1</f>
        <v>6.84</v>
      </c>
      <c r="R25" s="23">
        <f>6.83/1</f>
        <v>6.83</v>
      </c>
      <c r="S25" s="23"/>
      <c r="T25" s="23"/>
      <c r="U25" s="25">
        <f t="shared" si="13"/>
        <v>6.835</v>
      </c>
      <c r="V25" s="25">
        <f t="shared" si="9"/>
        <v>1.425252976797361</v>
      </c>
    </row>
    <row r="26" spans="1:22" ht="13.2" x14ac:dyDescent="0.25">
      <c r="A26" s="26" t="s">
        <v>68</v>
      </c>
      <c r="B26" s="23" t="s">
        <v>67</v>
      </c>
      <c r="C26" s="23">
        <v>159</v>
      </c>
      <c r="D26" s="23">
        <v>140.30000000000001</v>
      </c>
      <c r="E26" s="23">
        <v>26.6</v>
      </c>
      <c r="F26" s="23">
        <v>24.4</v>
      </c>
      <c r="G26" s="23" t="s">
        <v>20</v>
      </c>
      <c r="H26" s="25">
        <f t="shared" si="5"/>
        <v>-0.38574234092694426</v>
      </c>
      <c r="I26" s="25">
        <f t="shared" si="6"/>
        <v>0.29859005054535787</v>
      </c>
      <c r="J26" s="23">
        <v>-7.0000000000000007E-2</v>
      </c>
      <c r="K26" s="23">
        <v>0.56000000000000005</v>
      </c>
      <c r="L26" s="24">
        <v>0.48099999999999998</v>
      </c>
      <c r="M26" s="24">
        <v>0.498</v>
      </c>
      <c r="N26" s="23"/>
      <c r="O26" s="23"/>
      <c r="P26" s="24">
        <f t="shared" si="12"/>
        <v>0.48949999999999999</v>
      </c>
      <c r="Q26" s="25">
        <f>1/1.9</f>
        <v>0.52631578947368418</v>
      </c>
      <c r="R26" s="25">
        <f>1/1.87</f>
        <v>0.53475935828876997</v>
      </c>
      <c r="S26" s="23"/>
      <c r="T26" s="23"/>
      <c r="U26" s="25">
        <f t="shared" si="13"/>
        <v>0.53053757388122702</v>
      </c>
      <c r="V26" s="25">
        <f t="shared" si="9"/>
        <v>-0.47002638789559903</v>
      </c>
    </row>
    <row r="27" spans="1:22" ht="13.2" x14ac:dyDescent="0.25">
      <c r="A27" s="23" t="s">
        <v>66</v>
      </c>
      <c r="B27" s="23" t="s">
        <v>67</v>
      </c>
      <c r="C27" s="23">
        <v>159</v>
      </c>
      <c r="D27" s="23">
        <v>140.30000000000001</v>
      </c>
      <c r="E27" s="23">
        <v>26.6</v>
      </c>
      <c r="F27" s="23">
        <v>24.4</v>
      </c>
      <c r="G27" s="23" t="s">
        <v>18</v>
      </c>
      <c r="H27" s="25">
        <f t="shared" si="5"/>
        <v>-0.38574234092694426</v>
      </c>
      <c r="I27" s="25">
        <f t="shared" si="6"/>
        <v>0.27726218979211797</v>
      </c>
      <c r="J27" s="23">
        <v>-7.0000000000000007E-2</v>
      </c>
      <c r="K27" s="23">
        <v>0.52</v>
      </c>
      <c r="L27" s="24">
        <v>0.47099999999999997</v>
      </c>
      <c r="M27" s="24">
        <v>0.48899999999999999</v>
      </c>
      <c r="N27" s="23"/>
      <c r="O27" s="23"/>
      <c r="P27" s="24">
        <f t="shared" si="12"/>
        <v>0.48</v>
      </c>
      <c r="Q27" s="23">
        <f>0.5/1</f>
        <v>0.5</v>
      </c>
      <c r="R27" s="23">
        <f>0.51/1</f>
        <v>0.51</v>
      </c>
      <c r="S27" s="23"/>
      <c r="T27" s="23"/>
      <c r="U27" s="25">
        <f t="shared" si="13"/>
        <v>0.505</v>
      </c>
      <c r="V27" s="25">
        <f t="shared" si="9"/>
        <v>-0.50660756272891638</v>
      </c>
    </row>
    <row r="28" spans="1:22" ht="13.2" x14ac:dyDescent="0.25">
      <c r="A28" s="26" t="s">
        <v>71</v>
      </c>
      <c r="B28" s="23" t="s">
        <v>67</v>
      </c>
      <c r="C28" s="23">
        <v>159</v>
      </c>
      <c r="D28" s="23">
        <v>140.30000000000001</v>
      </c>
      <c r="E28" s="23">
        <v>26.6</v>
      </c>
      <c r="F28" s="23">
        <v>24.4</v>
      </c>
      <c r="G28" s="23" t="s">
        <v>27</v>
      </c>
      <c r="H28" s="25">
        <f t="shared" si="5"/>
        <v>0.3306362922230951</v>
      </c>
      <c r="I28" s="25">
        <f t="shared" si="6"/>
        <v>0.30392201573366778</v>
      </c>
      <c r="J28" s="23">
        <v>0.06</v>
      </c>
      <c r="K28" s="23">
        <v>0.56999999999999995</v>
      </c>
      <c r="L28" s="24">
        <v>0.52400000000000002</v>
      </c>
      <c r="M28" s="24">
        <v>0.42499999999999999</v>
      </c>
      <c r="N28" s="24">
        <v>0.40300000000000002</v>
      </c>
      <c r="O28" s="24"/>
      <c r="P28" s="24">
        <f t="shared" si="12"/>
        <v>0.45066666666666672</v>
      </c>
      <c r="Q28" s="23">
        <f>1.88/1</f>
        <v>1.88</v>
      </c>
      <c r="R28" s="23">
        <f>1.83/1</f>
        <v>1.83</v>
      </c>
      <c r="S28" s="23">
        <f>1.8/1</f>
        <v>1.8</v>
      </c>
      <c r="T28" s="23"/>
      <c r="U28" s="25">
        <f t="shared" si="13"/>
        <v>1.8366666666666667</v>
      </c>
      <c r="V28" s="25">
        <f t="shared" si="9"/>
        <v>0.4508118715227144</v>
      </c>
    </row>
    <row r="29" spans="1:22" ht="13.2" x14ac:dyDescent="0.25">
      <c r="A29" s="20" t="s">
        <v>65</v>
      </c>
      <c r="B29" s="20" t="s">
        <v>61</v>
      </c>
      <c r="C29" s="20">
        <v>142.30000000000001</v>
      </c>
      <c r="D29" s="20">
        <v>139.1</v>
      </c>
      <c r="E29" s="20">
        <v>25.7</v>
      </c>
      <c r="F29" s="20">
        <v>25.7</v>
      </c>
      <c r="G29" s="20" t="s">
        <v>27</v>
      </c>
      <c r="H29" s="22">
        <f t="shared" si="5"/>
        <v>0.32780832678711702</v>
      </c>
      <c r="I29" s="22">
        <f t="shared" si="6"/>
        <v>0.30132254018926002</v>
      </c>
      <c r="J29" s="20">
        <v>0.06</v>
      </c>
      <c r="K29" s="20">
        <v>0.56999999999999995</v>
      </c>
      <c r="L29" s="21">
        <v>0.54400000000000004</v>
      </c>
      <c r="M29" s="21">
        <v>0.59199999999999997</v>
      </c>
      <c r="N29" s="20"/>
      <c r="O29" s="20"/>
      <c r="P29" s="21">
        <f t="shared" ref="P29:P33" si="14">AVERAGE(L29:N29)</f>
        <v>0.56800000000000006</v>
      </c>
      <c r="Q29" s="20">
        <f>2.15/1</f>
        <v>2.15</v>
      </c>
      <c r="R29" s="20">
        <f>2.13/1</f>
        <v>2.13</v>
      </c>
      <c r="S29" s="20"/>
      <c r="T29" s="20"/>
      <c r="U29" s="22">
        <f t="shared" ref="U29:U33" si="15">AVERAGE(Q29:S29)</f>
        <v>2.1399999999999997</v>
      </c>
      <c r="V29" s="22">
        <f t="shared" si="9"/>
        <v>0.56415656325430852</v>
      </c>
    </row>
    <row r="30" spans="1:22" ht="13.2" x14ac:dyDescent="0.25">
      <c r="A30" s="20" t="s">
        <v>60</v>
      </c>
      <c r="B30" s="20" t="s">
        <v>61</v>
      </c>
      <c r="C30" s="20">
        <v>142.30000000000001</v>
      </c>
      <c r="D30" s="20">
        <v>139.1</v>
      </c>
      <c r="E30" s="20">
        <v>25.7</v>
      </c>
      <c r="F30" s="20">
        <v>25.7</v>
      </c>
      <c r="G30" s="20" t="s">
        <v>18</v>
      </c>
      <c r="H30" s="22">
        <f t="shared" si="5"/>
        <v>-0.38244304791830319</v>
      </c>
      <c r="I30" s="22">
        <f t="shared" si="6"/>
        <v>0.27489073841827233</v>
      </c>
      <c r="J30" s="20">
        <v>-7.0000000000000007E-2</v>
      </c>
      <c r="K30" s="20">
        <v>0.52</v>
      </c>
      <c r="L30" s="21">
        <v>0.52900000000000003</v>
      </c>
      <c r="M30" s="21">
        <v>0.53700000000000003</v>
      </c>
      <c r="N30" s="20"/>
      <c r="O30" s="20"/>
      <c r="P30" s="21">
        <f t="shared" si="14"/>
        <v>0.53300000000000003</v>
      </c>
      <c r="Q30" s="20">
        <f>1/2.17</f>
        <v>0.46082949308755761</v>
      </c>
      <c r="R30" s="20">
        <f>1/2.13</f>
        <v>0.46948356807511737</v>
      </c>
      <c r="S30" s="20"/>
      <c r="T30" s="20"/>
      <c r="U30" s="22">
        <f t="shared" si="15"/>
        <v>0.46515653058133749</v>
      </c>
      <c r="V30" s="22">
        <f t="shared" si="9"/>
        <v>-0.56754939329520815</v>
      </c>
    </row>
    <row r="31" spans="1:22" ht="13.2" x14ac:dyDescent="0.25">
      <c r="A31" s="20" t="s">
        <v>63</v>
      </c>
      <c r="B31" s="20" t="s">
        <v>61</v>
      </c>
      <c r="C31" s="20">
        <v>142.30000000000001</v>
      </c>
      <c r="D31" s="20">
        <v>139.1</v>
      </c>
      <c r="E31" s="20">
        <v>25.7</v>
      </c>
      <c r="F31" s="20">
        <v>25.7</v>
      </c>
      <c r="G31" s="20" t="s">
        <v>22</v>
      </c>
      <c r="H31" s="22">
        <f t="shared" si="5"/>
        <v>-0.38244304791830319</v>
      </c>
      <c r="I31" s="22">
        <f t="shared" si="6"/>
        <v>0.40176338691901342</v>
      </c>
      <c r="J31" s="20">
        <v>-7.0000000000000007E-2</v>
      </c>
      <c r="K31" s="20">
        <v>0.76</v>
      </c>
      <c r="L31" s="21">
        <v>0.53500000000000003</v>
      </c>
      <c r="M31" s="21">
        <v>0.49099999999999999</v>
      </c>
      <c r="N31" s="20"/>
      <c r="O31" s="20"/>
      <c r="P31" s="21">
        <f t="shared" si="14"/>
        <v>0.51300000000000001</v>
      </c>
      <c r="Q31" s="20">
        <f>1/1.74</f>
        <v>0.57471264367816088</v>
      </c>
      <c r="R31" s="20">
        <f>1/1.75</f>
        <v>0.5714285714285714</v>
      </c>
      <c r="S31" s="20"/>
      <c r="T31" s="20"/>
      <c r="U31" s="22">
        <f t="shared" si="15"/>
        <v>0.57307060755336614</v>
      </c>
      <c r="V31" s="22">
        <f t="shared" si="9"/>
        <v>-0.41284134913213522</v>
      </c>
    </row>
    <row r="32" spans="1:22" ht="13.2" x14ac:dyDescent="0.25">
      <c r="A32" s="20" t="s">
        <v>64</v>
      </c>
      <c r="B32" s="20" t="s">
        <v>61</v>
      </c>
      <c r="C32" s="20">
        <v>142.30000000000001</v>
      </c>
      <c r="D32" s="20">
        <v>139.1</v>
      </c>
      <c r="E32" s="20">
        <v>25.7</v>
      </c>
      <c r="F32" s="20">
        <v>25.7</v>
      </c>
      <c r="G32" s="20" t="s">
        <v>26</v>
      </c>
      <c r="H32" s="22">
        <f t="shared" si="5"/>
        <v>0.65561665357423404</v>
      </c>
      <c r="I32" s="22">
        <f t="shared" si="6"/>
        <v>0.19030897275111158</v>
      </c>
      <c r="J32" s="20">
        <v>0.12</v>
      </c>
      <c r="K32" s="20">
        <v>0.36</v>
      </c>
      <c r="L32" s="21">
        <v>0.373</v>
      </c>
      <c r="M32" s="21">
        <v>0.28799999999999998</v>
      </c>
      <c r="N32" s="20"/>
      <c r="O32" s="20"/>
      <c r="P32" s="21">
        <f t="shared" si="14"/>
        <v>0.33050000000000002</v>
      </c>
      <c r="Q32" s="20">
        <f>6.12/1</f>
        <v>6.12</v>
      </c>
      <c r="R32" s="20">
        <f>6.14/1</f>
        <v>6.14</v>
      </c>
      <c r="S32" s="20"/>
      <c r="T32" s="20"/>
      <c r="U32" s="22">
        <f t="shared" si="15"/>
        <v>6.13</v>
      </c>
      <c r="V32" s="22">
        <f t="shared" si="9"/>
        <v>1.3445292867177749</v>
      </c>
    </row>
    <row r="33" spans="1:22" ht="13.2" x14ac:dyDescent="0.25">
      <c r="A33" s="20" t="s">
        <v>62</v>
      </c>
      <c r="B33" s="20" t="s">
        <v>61</v>
      </c>
      <c r="C33" s="20">
        <v>142.30000000000001</v>
      </c>
      <c r="D33" s="20">
        <v>139.1</v>
      </c>
      <c r="E33" s="20">
        <v>25.7</v>
      </c>
      <c r="F33" s="20">
        <v>25.7</v>
      </c>
      <c r="G33" s="20" t="s">
        <v>20</v>
      </c>
      <c r="H33" s="22">
        <f t="shared" si="5"/>
        <v>-0.38244304791830319</v>
      </c>
      <c r="I33" s="22">
        <f t="shared" si="6"/>
        <v>0.29603617983506253</v>
      </c>
      <c r="J33" s="20">
        <v>-7.0000000000000007E-2</v>
      </c>
      <c r="K33" s="20">
        <v>0.56000000000000005</v>
      </c>
      <c r="L33" s="21">
        <v>0.42199999999999999</v>
      </c>
      <c r="M33" s="21">
        <v>0.40300000000000002</v>
      </c>
      <c r="N33" s="20"/>
      <c r="O33" s="20"/>
      <c r="P33" s="21">
        <f t="shared" si="14"/>
        <v>0.41249999999999998</v>
      </c>
      <c r="Q33" s="20">
        <f>1/2.01</f>
        <v>0.49751243781094534</v>
      </c>
      <c r="R33" s="20">
        <f>1/2</f>
        <v>0.5</v>
      </c>
      <c r="S33" s="20"/>
      <c r="T33" s="20"/>
      <c r="U33" s="22">
        <f t="shared" si="15"/>
        <v>0.49875621890547267</v>
      </c>
      <c r="V33" s="22">
        <f t="shared" si="9"/>
        <v>-0.51583286978596632</v>
      </c>
    </row>
    <row r="34" spans="1:22" ht="13.2" x14ac:dyDescent="0.25">
      <c r="A34" s="16" t="s">
        <v>57</v>
      </c>
      <c r="B34" s="16" t="s">
        <v>54</v>
      </c>
      <c r="C34" s="16">
        <v>159</v>
      </c>
      <c r="D34" s="16">
        <v>149</v>
      </c>
      <c r="E34" s="16">
        <v>28.2</v>
      </c>
      <c r="F34" s="16">
        <v>28.2</v>
      </c>
      <c r="G34" s="16" t="s">
        <v>24</v>
      </c>
      <c r="H34" s="18">
        <f t="shared" si="5"/>
        <v>-0.58523173605655932</v>
      </c>
      <c r="I34" s="18">
        <f t="shared" si="6"/>
        <v>0.70216242921749705</v>
      </c>
      <c r="J34" s="16">
        <v>-0.1</v>
      </c>
      <c r="K34" s="16">
        <v>1.24</v>
      </c>
      <c r="L34" s="27">
        <v>0.19</v>
      </c>
      <c r="M34" s="27">
        <v>0.16900000000000001</v>
      </c>
      <c r="N34" s="27"/>
      <c r="O34" s="27"/>
      <c r="P34" s="27">
        <f>AVERAGE(L34:O34)</f>
        <v>0.17949999999999999</v>
      </c>
      <c r="Q34" s="16">
        <v>2.4</v>
      </c>
      <c r="R34" s="16">
        <v>2.42</v>
      </c>
      <c r="S34" s="16"/>
      <c r="T34" s="16"/>
      <c r="U34" s="18">
        <f>AVERAGE(Q34:T34)</f>
        <v>2.41</v>
      </c>
      <c r="V34" s="18">
        <f t="shared" si="9"/>
        <v>0.65226524808288666</v>
      </c>
    </row>
    <row r="35" spans="1:22" ht="13.2" x14ac:dyDescent="0.25">
      <c r="A35" s="16" t="s">
        <v>58</v>
      </c>
      <c r="B35" s="16" t="s">
        <v>54</v>
      </c>
      <c r="C35" s="16">
        <v>159</v>
      </c>
      <c r="D35" s="16">
        <v>149</v>
      </c>
      <c r="E35" s="16">
        <v>28.2</v>
      </c>
      <c r="F35" s="16">
        <v>28.2</v>
      </c>
      <c r="G35" s="16" t="s">
        <v>26</v>
      </c>
      <c r="H35" s="18">
        <f t="shared" si="5"/>
        <v>0.70227808326787111</v>
      </c>
      <c r="I35" s="18">
        <f t="shared" si="6"/>
        <v>0.20385360848249914</v>
      </c>
      <c r="J35" s="16">
        <v>0.12</v>
      </c>
      <c r="K35" s="16">
        <v>0.36</v>
      </c>
      <c r="L35" s="17">
        <v>0.42099999999999999</v>
      </c>
      <c r="M35" s="17">
        <v>0.42499999999999999</v>
      </c>
      <c r="N35" s="16"/>
      <c r="O35" s="16"/>
      <c r="P35" s="17">
        <f t="shared" ref="P35:P44" si="16">AVERAGE(L35:N35)</f>
        <v>0.42299999999999999</v>
      </c>
      <c r="Q35" s="16">
        <f>5.66/1</f>
        <v>5.66</v>
      </c>
      <c r="R35" s="16">
        <f>5.66/1</f>
        <v>5.66</v>
      </c>
      <c r="S35" s="16"/>
      <c r="T35" s="16"/>
      <c r="U35" s="18">
        <f t="shared" ref="U35:U44" si="17">AVERAGE(Q35:S35)</f>
        <v>5.66</v>
      </c>
      <c r="V35" s="18">
        <f t="shared" si="9"/>
        <v>1.2853771992480076</v>
      </c>
    </row>
    <row r="36" spans="1:22" ht="13.2" x14ac:dyDescent="0.25">
      <c r="A36" s="16" t="s">
        <v>53</v>
      </c>
      <c r="B36" s="16" t="s">
        <v>54</v>
      </c>
      <c r="C36" s="16">
        <v>159</v>
      </c>
      <c r="D36" s="16">
        <v>149</v>
      </c>
      <c r="E36" s="16">
        <v>28.2</v>
      </c>
      <c r="F36" s="16">
        <v>28.2</v>
      </c>
      <c r="G36" s="16" t="s">
        <v>18</v>
      </c>
      <c r="H36" s="18">
        <f t="shared" si="5"/>
        <v>-0.40966221523959157</v>
      </c>
      <c r="I36" s="18">
        <f t="shared" si="6"/>
        <v>0.29445521225249877</v>
      </c>
      <c r="J36" s="16">
        <v>-7.0000000000000007E-2</v>
      </c>
      <c r="K36" s="16">
        <v>0.52</v>
      </c>
      <c r="L36" s="17">
        <v>0.65700000000000003</v>
      </c>
      <c r="M36" s="17">
        <v>0.68899999999999995</v>
      </c>
      <c r="N36" s="16"/>
      <c r="O36" s="16"/>
      <c r="P36" s="17">
        <f t="shared" si="16"/>
        <v>0.67300000000000004</v>
      </c>
      <c r="Q36" s="18">
        <f>1/2.44</f>
        <v>0.4098360655737705</v>
      </c>
      <c r="R36" s="18">
        <f>1/2.38</f>
        <v>0.42016806722689076</v>
      </c>
      <c r="S36" s="16"/>
      <c r="T36" s="16"/>
      <c r="U36" s="18">
        <f t="shared" si="17"/>
        <v>0.41500206640033066</v>
      </c>
      <c r="V36" s="18">
        <f t="shared" si="9"/>
        <v>-0.65215033542009948</v>
      </c>
    </row>
    <row r="37" spans="1:22" ht="13.2" x14ac:dyDescent="0.25">
      <c r="A37" s="16" t="s">
        <v>59</v>
      </c>
      <c r="B37" s="16" t="s">
        <v>54</v>
      </c>
      <c r="C37" s="16">
        <v>159</v>
      </c>
      <c r="D37" s="16">
        <v>149</v>
      </c>
      <c r="E37" s="16">
        <v>28.2</v>
      </c>
      <c r="F37" s="16">
        <v>28.2</v>
      </c>
      <c r="G37" s="16" t="s">
        <v>27</v>
      </c>
      <c r="H37" s="18">
        <f t="shared" si="5"/>
        <v>0.35113904163393556</v>
      </c>
      <c r="I37" s="18">
        <f t="shared" si="6"/>
        <v>0.32276821343062362</v>
      </c>
      <c r="J37" s="16">
        <v>0.06</v>
      </c>
      <c r="K37" s="16">
        <v>0.56999999999999995</v>
      </c>
      <c r="L37" s="17">
        <v>0.501</v>
      </c>
      <c r="M37" s="17">
        <v>0.48399999999999999</v>
      </c>
      <c r="N37" s="16"/>
      <c r="O37" s="16"/>
      <c r="P37" s="17">
        <f t="shared" si="16"/>
        <v>0.49249999999999999</v>
      </c>
      <c r="Q37" s="19">
        <f>2.28/1</f>
        <v>2.2799999999999998</v>
      </c>
      <c r="R37" s="16">
        <f>2.2/1</f>
        <v>2.2000000000000002</v>
      </c>
      <c r="S37" s="17"/>
      <c r="T37" s="17"/>
      <c r="U37" s="19">
        <f t="shared" si="17"/>
        <v>2.2400000000000002</v>
      </c>
      <c r="V37" s="19">
        <f t="shared" si="9"/>
        <v>0.5980220385704369</v>
      </c>
    </row>
    <row r="38" spans="1:22" ht="13.2" x14ac:dyDescent="0.25">
      <c r="A38" s="16" t="s">
        <v>56</v>
      </c>
      <c r="B38" s="16" t="s">
        <v>54</v>
      </c>
      <c r="C38" s="16">
        <v>159</v>
      </c>
      <c r="D38" s="16">
        <v>149</v>
      </c>
      <c r="E38" s="16">
        <v>28.2</v>
      </c>
      <c r="F38" s="16">
        <v>28.2</v>
      </c>
      <c r="G38" s="16" t="s">
        <v>22</v>
      </c>
      <c r="H38" s="18">
        <f t="shared" si="5"/>
        <v>-0.40966221523959157</v>
      </c>
      <c r="I38" s="18">
        <f t="shared" si="6"/>
        <v>0.43035761790749816</v>
      </c>
      <c r="J38" s="16">
        <v>-7.0000000000000007E-2</v>
      </c>
      <c r="K38" s="16">
        <v>0.76</v>
      </c>
      <c r="L38" s="17">
        <v>0.55800000000000005</v>
      </c>
      <c r="M38" s="17">
        <v>0.58099999999999996</v>
      </c>
      <c r="N38" s="16"/>
      <c r="O38" s="16"/>
      <c r="P38" s="17">
        <f t="shared" si="16"/>
        <v>0.56950000000000001</v>
      </c>
      <c r="Q38" s="19">
        <f>1/1.42</f>
        <v>0.70422535211267612</v>
      </c>
      <c r="R38" s="16">
        <f>1/1.4</f>
        <v>0.7142857142857143</v>
      </c>
      <c r="S38" s="17"/>
      <c r="T38" s="17"/>
      <c r="U38" s="19">
        <f t="shared" si="17"/>
        <v>0.70925553319919521</v>
      </c>
      <c r="V38" s="19">
        <f t="shared" si="9"/>
        <v>-0.25474306586396717</v>
      </c>
    </row>
    <row r="39" spans="1:22" ht="13.2" x14ac:dyDescent="0.25">
      <c r="A39" s="16" t="s">
        <v>55</v>
      </c>
      <c r="B39" s="16" t="s">
        <v>54</v>
      </c>
      <c r="C39" s="16">
        <v>159</v>
      </c>
      <c r="D39" s="16">
        <v>149</v>
      </c>
      <c r="E39" s="16">
        <v>28.2</v>
      </c>
      <c r="F39" s="16">
        <v>28.2</v>
      </c>
      <c r="G39" s="16" t="s">
        <v>20</v>
      </c>
      <c r="H39" s="18">
        <f t="shared" si="5"/>
        <v>-0.40966221523959157</v>
      </c>
      <c r="I39" s="18">
        <f t="shared" si="6"/>
        <v>0.31710561319499875</v>
      </c>
      <c r="J39" s="16">
        <v>-7.0000000000000007E-2</v>
      </c>
      <c r="K39" s="16">
        <v>0.56000000000000005</v>
      </c>
      <c r="L39" s="17">
        <v>0.56699999999999995</v>
      </c>
      <c r="M39" s="17">
        <v>0.625</v>
      </c>
      <c r="N39" s="16"/>
      <c r="O39" s="16"/>
      <c r="P39" s="17">
        <f t="shared" si="16"/>
        <v>0.59599999999999997</v>
      </c>
      <c r="Q39" s="19">
        <f>1/2.29</f>
        <v>0.4366812227074236</v>
      </c>
      <c r="R39" s="16">
        <f>1/2.33</f>
        <v>0.42918454935622319</v>
      </c>
      <c r="S39" s="17"/>
      <c r="T39" s="17"/>
      <c r="U39" s="19">
        <f t="shared" si="17"/>
        <v>0.43293288603182339</v>
      </c>
      <c r="V39" s="19">
        <f t="shared" si="9"/>
        <v>-0.62078440598227913</v>
      </c>
    </row>
    <row r="40" spans="1:22" ht="13.2" x14ac:dyDescent="0.25">
      <c r="A40" s="5" t="s">
        <v>28</v>
      </c>
      <c r="B40" s="5" t="s">
        <v>29</v>
      </c>
      <c r="C40" s="5">
        <v>176.1</v>
      </c>
      <c r="D40" s="5">
        <v>176.1</v>
      </c>
      <c r="E40" s="5">
        <v>36.299999999999997</v>
      </c>
      <c r="F40" s="5">
        <v>36.299999999999997</v>
      </c>
      <c r="G40" s="5" t="s">
        <v>18</v>
      </c>
      <c r="H40" s="7">
        <f t="shared" si="5"/>
        <v>-0.48417124901806752</v>
      </c>
      <c r="I40" s="7">
        <f t="shared" si="6"/>
        <v>0.34801048911184584</v>
      </c>
      <c r="J40" s="5">
        <v>-7.0000000000000007E-2</v>
      </c>
      <c r="K40" s="5">
        <v>0.52</v>
      </c>
      <c r="L40" s="6">
        <v>0.81200000000000006</v>
      </c>
      <c r="M40" s="6">
        <v>0.78900000000000003</v>
      </c>
      <c r="N40" s="5"/>
      <c r="O40" s="5"/>
      <c r="P40" s="6">
        <f t="shared" si="16"/>
        <v>0.80049999999999999</v>
      </c>
      <c r="Q40" s="7">
        <f>1/2.78</f>
        <v>0.35971223021582738</v>
      </c>
      <c r="R40" s="7">
        <f>1/2.7</f>
        <v>0.37037037037037035</v>
      </c>
      <c r="S40" s="5"/>
      <c r="T40" s="5"/>
      <c r="U40" s="7">
        <f t="shared" si="17"/>
        <v>0.36504130029309889</v>
      </c>
      <c r="V40" s="7">
        <f t="shared" si="9"/>
        <v>-0.74726797587868898</v>
      </c>
    </row>
    <row r="41" spans="1:22" ht="13.2" x14ac:dyDescent="0.25">
      <c r="A41" s="8" t="s">
        <v>33</v>
      </c>
      <c r="B41" s="5" t="s">
        <v>29</v>
      </c>
      <c r="C41" s="5">
        <v>176.1</v>
      </c>
      <c r="D41" s="5">
        <v>176.1</v>
      </c>
      <c r="E41" s="5">
        <v>36.299999999999997</v>
      </c>
      <c r="F41" s="5">
        <v>36.299999999999997</v>
      </c>
      <c r="G41" s="5" t="s">
        <v>26</v>
      </c>
      <c r="H41" s="5">
        <f t="shared" si="5"/>
        <v>0.83000785545954425</v>
      </c>
      <c r="I41" s="5">
        <f t="shared" si="6"/>
        <v>0.24093033861589327</v>
      </c>
      <c r="J41" s="5">
        <v>0.12</v>
      </c>
      <c r="K41" s="5">
        <v>0.36</v>
      </c>
      <c r="L41" s="6">
        <v>0.3</v>
      </c>
      <c r="M41" s="6">
        <v>0.29699999999999999</v>
      </c>
      <c r="N41" s="5"/>
      <c r="O41" s="5"/>
      <c r="P41" s="6">
        <f t="shared" si="16"/>
        <v>0.29849999999999999</v>
      </c>
      <c r="Q41" s="5">
        <f>5.28/1</f>
        <v>5.28</v>
      </c>
      <c r="R41" s="5">
        <f>5.2/1</f>
        <v>5.2</v>
      </c>
      <c r="S41" s="5"/>
      <c r="T41" s="5"/>
      <c r="U41" s="5">
        <f t="shared" si="17"/>
        <v>5.24</v>
      </c>
      <c r="V41" s="5">
        <f t="shared" si="9"/>
        <v>1.2282038445085051</v>
      </c>
    </row>
    <row r="42" spans="1:22" ht="13.2" x14ac:dyDescent="0.25">
      <c r="A42" s="8" t="s">
        <v>31</v>
      </c>
      <c r="B42" s="5" t="s">
        <v>29</v>
      </c>
      <c r="C42" s="5">
        <v>176.1</v>
      </c>
      <c r="D42" s="5">
        <v>176.1</v>
      </c>
      <c r="E42" s="5">
        <v>36.299999999999997</v>
      </c>
      <c r="F42" s="5">
        <v>36.299999999999997</v>
      </c>
      <c r="G42" s="5" t="s">
        <v>22</v>
      </c>
      <c r="H42" s="7">
        <f t="shared" si="5"/>
        <v>-0.48417124901806752</v>
      </c>
      <c r="I42" s="7">
        <f t="shared" si="6"/>
        <v>0.50863071485577471</v>
      </c>
      <c r="J42" s="5">
        <v>-7.0000000000000007E-2</v>
      </c>
      <c r="K42" s="5">
        <v>0.76</v>
      </c>
      <c r="L42" s="6">
        <v>0.79100000000000004</v>
      </c>
      <c r="M42" s="6">
        <v>0.80300000000000005</v>
      </c>
      <c r="N42" s="5"/>
      <c r="O42" s="5"/>
      <c r="P42" s="6">
        <f t="shared" si="16"/>
        <v>0.79700000000000004</v>
      </c>
      <c r="Q42" s="7">
        <f>1/1.35</f>
        <v>0.7407407407407407</v>
      </c>
      <c r="R42" s="7">
        <f>1/1.31</f>
        <v>0.76335877862595414</v>
      </c>
      <c r="S42" s="5"/>
      <c r="T42" s="5"/>
      <c r="U42" s="7">
        <f t="shared" si="17"/>
        <v>0.75204975968334742</v>
      </c>
      <c r="V42" s="7">
        <f t="shared" si="9"/>
        <v>-0.21129962351926446</v>
      </c>
    </row>
    <row r="43" spans="1:22" ht="13.2" x14ac:dyDescent="0.25">
      <c r="A43" s="8" t="s">
        <v>32</v>
      </c>
      <c r="B43" s="5" t="s">
        <v>29</v>
      </c>
      <c r="C43" s="5">
        <v>176.1</v>
      </c>
      <c r="D43" s="5">
        <v>176.1</v>
      </c>
      <c r="E43" s="5">
        <v>36.299999999999997</v>
      </c>
      <c r="F43" s="5">
        <v>36.299999999999997</v>
      </c>
      <c r="G43" s="5" t="s">
        <v>24</v>
      </c>
      <c r="H43" s="7">
        <f t="shared" si="5"/>
        <v>-0.69167321288295358</v>
      </c>
      <c r="I43" s="7">
        <f t="shared" si="6"/>
        <v>0.82987116634363245</v>
      </c>
      <c r="J43" s="5">
        <v>-0.1</v>
      </c>
      <c r="K43" s="5">
        <v>1.24</v>
      </c>
      <c r="L43" s="6">
        <v>0.91</v>
      </c>
      <c r="M43" s="6">
        <v>0.83</v>
      </c>
      <c r="N43" s="5"/>
      <c r="O43" s="5"/>
      <c r="P43" s="6">
        <f t="shared" si="16"/>
        <v>0.87</v>
      </c>
      <c r="Q43" s="7">
        <f>10.48/1</f>
        <v>10.48</v>
      </c>
      <c r="R43" s="7">
        <f>10.56/1</f>
        <v>10.56</v>
      </c>
      <c r="S43" s="5"/>
      <c r="T43" s="5"/>
      <c r="U43" s="7">
        <f t="shared" si="17"/>
        <v>10.52</v>
      </c>
      <c r="V43" s="7">
        <f t="shared" si="9"/>
        <v>1.7450146872601209</v>
      </c>
    </row>
    <row r="44" spans="1:22" ht="13.2" x14ac:dyDescent="0.25">
      <c r="A44" s="8" t="s">
        <v>30</v>
      </c>
      <c r="B44" s="5" t="s">
        <v>29</v>
      </c>
      <c r="C44" s="5">
        <v>176.1</v>
      </c>
      <c r="D44" s="5">
        <v>176.1</v>
      </c>
      <c r="E44" s="5">
        <v>36.299999999999997</v>
      </c>
      <c r="F44" s="5">
        <v>36.299999999999997</v>
      </c>
      <c r="G44" s="5" t="s">
        <v>20</v>
      </c>
      <c r="H44" s="7">
        <f t="shared" si="5"/>
        <v>-0.48417124901806752</v>
      </c>
      <c r="I44" s="7">
        <f t="shared" si="6"/>
        <v>0.37478052673583401</v>
      </c>
      <c r="J44" s="5">
        <v>-7.0000000000000007E-2</v>
      </c>
      <c r="K44" s="5">
        <v>0.56000000000000005</v>
      </c>
      <c r="L44" s="6">
        <v>0.86499999999999999</v>
      </c>
      <c r="M44" s="6">
        <v>0.89100000000000001</v>
      </c>
      <c r="N44" s="5"/>
      <c r="O44" s="5"/>
      <c r="P44" s="6">
        <f t="shared" si="16"/>
        <v>0.878</v>
      </c>
      <c r="Q44" s="7">
        <f>1/2.57</f>
        <v>0.38910505836575876</v>
      </c>
      <c r="R44" s="7">
        <f>1/2.54</f>
        <v>0.39370078740157477</v>
      </c>
      <c r="S44" s="5"/>
      <c r="T44" s="5"/>
      <c r="U44" s="7">
        <f t="shared" si="17"/>
        <v>0.39140292288366674</v>
      </c>
      <c r="V44" s="7">
        <f t="shared" si="9"/>
        <v>-0.69556364247050928</v>
      </c>
    </row>
  </sheetData>
  <sortState xmlns:xlrd2="http://schemas.microsoft.com/office/spreadsheetml/2017/richdata2" ref="A2:V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Training + validation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Holcomb</cp:lastModifiedBy>
  <dcterms:created xsi:type="dcterms:W3CDTF">2024-01-23T23:31:13Z</dcterms:created>
  <dcterms:modified xsi:type="dcterms:W3CDTF">2024-02-12T22:02:17Z</dcterms:modified>
</cp:coreProperties>
</file>