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holco\PycharmProjects\AryneLinearRegression\"/>
    </mc:Choice>
  </mc:AlternateContent>
  <xr:revisionPtr revIDLastSave="0" documentId="13_ncr:1_{5EB3F23E-997A-4361-9FE5-362C22FF4428}" xr6:coauthVersionLast="47" xr6:coauthVersionMax="47" xr10:uidLastSave="{00000000-0000-0000-0000-000000000000}"/>
  <bookViews>
    <workbookView xWindow="3360" yWindow="4152" windowWidth="30960" windowHeight="12204" activeTab="1" xr2:uid="{00000000-000D-0000-FFFF-FFFF00000000}"/>
  </bookViews>
  <sheets>
    <sheet name="Full Training + validation" sheetId="2" r:id="rId1"/>
    <sheet name="LOLO" sheetId="44" r:id="rId2"/>
    <sheet name="5-fold" sheetId="54" r:id="rId3"/>
    <sheet name="Isoelectronic" sheetId="59" r:id="rId4"/>
    <sheet name="Isosteric" sheetId="60" r:id="rId5"/>
    <sheet name="Training set regression" sheetId="43" r:id="rId6"/>
    <sheet name="Leave CataCXium A out" sheetId="45" r:id="rId7"/>
    <sheet name="Leave Potol out" sheetId="46" r:id="rId8"/>
    <sheet name="Leave PCy3 out" sheetId="47" r:id="rId9"/>
    <sheet name="Leave PEt3" sheetId="48" r:id="rId10"/>
    <sheet name="Leave PPh2Me out" sheetId="49" r:id="rId11"/>
    <sheet name="Leave PPh3 out" sheetId="50" r:id="rId12"/>
    <sheet name="Leave PtBu3 out" sheetId="51" r:id="rId13"/>
    <sheet name="Leave Trixie out" sheetId="52" r:id="rId14"/>
    <sheet name="leave split 1 out" sheetId="53" r:id="rId15"/>
    <sheet name="Leave split 2 out" sheetId="55" r:id="rId16"/>
    <sheet name="Leave split 3 out" sheetId="56" r:id="rId17"/>
    <sheet name="Leave split 4 out" sheetId="57" r:id="rId18"/>
    <sheet name="Leave split 5 out" sheetId="58" r:id="rId19"/>
  </sheets>
  <definedNames>
    <definedName name="_xlnm._FilterDatabase" localSheetId="2" hidden="1">'5-fold'!$AB$1:$AB$10</definedName>
    <definedName name="_xlnm._FilterDatabase" localSheetId="0" hidden="1">'Full Training + validation'!$AB$1:$AB$23</definedName>
  </definedNames>
  <calcPr calcId="191029"/>
</workbook>
</file>

<file path=xl/calcChain.xml><?xml version="1.0" encoding="utf-8"?>
<calcChain xmlns="http://schemas.openxmlformats.org/spreadsheetml/2006/main">
  <c r="H40" i="44" l="1"/>
  <c r="I40" i="44"/>
  <c r="H41" i="44"/>
  <c r="I41" i="44"/>
  <c r="H42" i="44"/>
  <c r="I42" i="44"/>
  <c r="H43" i="44"/>
  <c r="I43" i="44"/>
  <c r="H44" i="44"/>
  <c r="I44" i="44"/>
  <c r="H24" i="44"/>
  <c r="I24" i="44"/>
  <c r="H25" i="44"/>
  <c r="I25" i="44"/>
  <c r="H26" i="44"/>
  <c r="I26" i="44"/>
  <c r="H27" i="44"/>
  <c r="I27" i="44"/>
  <c r="H28" i="44"/>
  <c r="I28" i="44"/>
  <c r="H5" i="60"/>
  <c r="X5" i="60"/>
  <c r="J5" i="60"/>
  <c r="I3" i="60"/>
  <c r="I4" i="60"/>
  <c r="I5" i="60"/>
  <c r="I6" i="60"/>
  <c r="I7" i="60"/>
  <c r="I8" i="60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2" i="60"/>
  <c r="J2" i="60"/>
  <c r="H2" i="60"/>
  <c r="J3" i="60"/>
  <c r="J4" i="60"/>
  <c r="J6" i="60"/>
  <c r="J7" i="60"/>
  <c r="J8" i="60"/>
  <c r="J9" i="60"/>
  <c r="J10" i="60"/>
  <c r="J11" i="60"/>
  <c r="J12" i="60"/>
  <c r="J13" i="60"/>
  <c r="J14" i="60"/>
  <c r="J15" i="60"/>
  <c r="J16" i="60"/>
  <c r="J17" i="60"/>
  <c r="J18" i="60"/>
  <c r="J19" i="60"/>
  <c r="J20" i="60"/>
  <c r="J21" i="60"/>
  <c r="J22" i="60"/>
  <c r="J23" i="60"/>
  <c r="J24" i="60"/>
  <c r="J25" i="60"/>
  <c r="J26" i="60"/>
  <c r="J27" i="60"/>
  <c r="J28" i="60"/>
  <c r="J29" i="60"/>
  <c r="J30" i="60"/>
  <c r="J31" i="60"/>
  <c r="J32" i="60"/>
  <c r="J33" i="60"/>
  <c r="J34" i="60"/>
  <c r="J35" i="60"/>
  <c r="J36" i="60"/>
  <c r="J37" i="60"/>
  <c r="J38" i="60"/>
  <c r="J39" i="60"/>
  <c r="J40" i="60"/>
  <c r="J41" i="60"/>
  <c r="J42" i="60"/>
  <c r="H6" i="60"/>
  <c r="H7" i="60"/>
  <c r="H8" i="60"/>
  <c r="H9" i="60"/>
  <c r="H10" i="60"/>
  <c r="H11" i="60"/>
  <c r="H12" i="60"/>
  <c r="H13" i="60"/>
  <c r="H14" i="60"/>
  <c r="H15" i="60"/>
  <c r="H16" i="60"/>
  <c r="H17" i="60"/>
  <c r="H18" i="60"/>
  <c r="H19" i="60"/>
  <c r="H20" i="60"/>
  <c r="H21" i="60"/>
  <c r="H22" i="60"/>
  <c r="H23" i="60"/>
  <c r="H24" i="60"/>
  <c r="H25" i="60"/>
  <c r="H26" i="60"/>
  <c r="H27" i="60"/>
  <c r="H28" i="60"/>
  <c r="H29" i="60"/>
  <c r="H30" i="60"/>
  <c r="H31" i="60"/>
  <c r="H32" i="60"/>
  <c r="H33" i="60"/>
  <c r="H34" i="60"/>
  <c r="H35" i="60"/>
  <c r="H36" i="60"/>
  <c r="H37" i="60"/>
  <c r="H38" i="60"/>
  <c r="H39" i="60"/>
  <c r="H40" i="60"/>
  <c r="H41" i="60"/>
  <c r="H42" i="60"/>
  <c r="H3" i="60"/>
  <c r="H4" i="60"/>
  <c r="J46" i="60"/>
  <c r="J47" i="60"/>
  <c r="Y49" i="60"/>
  <c r="W49" i="60"/>
  <c r="T30" i="60"/>
  <c r="S30" i="60"/>
  <c r="R30" i="60"/>
  <c r="T41" i="60"/>
  <c r="S41" i="60"/>
  <c r="R41" i="60"/>
  <c r="T42" i="60"/>
  <c r="S42" i="60"/>
  <c r="R42" i="60"/>
  <c r="T29" i="60"/>
  <c r="S29" i="60"/>
  <c r="R29" i="60"/>
  <c r="T28" i="60"/>
  <c r="S28" i="60"/>
  <c r="R28" i="60"/>
  <c r="T27" i="60"/>
  <c r="S27" i="60"/>
  <c r="R27" i="60"/>
  <c r="T40" i="60"/>
  <c r="S40" i="60"/>
  <c r="R40" i="60"/>
  <c r="T26" i="60"/>
  <c r="S26" i="60"/>
  <c r="R26" i="60"/>
  <c r="T25" i="60"/>
  <c r="S25" i="60"/>
  <c r="R25" i="60"/>
  <c r="T24" i="60"/>
  <c r="S24" i="60"/>
  <c r="R24" i="60"/>
  <c r="W39" i="60"/>
  <c r="X39" i="60" s="1"/>
  <c r="R39" i="60"/>
  <c r="T23" i="60"/>
  <c r="S23" i="60"/>
  <c r="R23" i="60"/>
  <c r="T22" i="60"/>
  <c r="S22" i="60"/>
  <c r="R22" i="60"/>
  <c r="T38" i="60"/>
  <c r="S38" i="60"/>
  <c r="R38" i="60"/>
  <c r="T21" i="60"/>
  <c r="S21" i="60"/>
  <c r="R21" i="60"/>
  <c r="T20" i="60"/>
  <c r="S20" i="60"/>
  <c r="R20" i="60"/>
  <c r="U19" i="60"/>
  <c r="T19" i="60"/>
  <c r="S19" i="60"/>
  <c r="R19" i="60"/>
  <c r="T18" i="60"/>
  <c r="S18" i="60"/>
  <c r="R18" i="60"/>
  <c r="T17" i="60"/>
  <c r="S17" i="60"/>
  <c r="R17" i="60"/>
  <c r="T16" i="60"/>
  <c r="S16" i="60"/>
  <c r="R16" i="60"/>
  <c r="AF37" i="60"/>
  <c r="T37" i="60"/>
  <c r="S37" i="60"/>
  <c r="R37" i="60"/>
  <c r="T15" i="60"/>
  <c r="S15" i="60"/>
  <c r="R15" i="60"/>
  <c r="W35" i="60"/>
  <c r="X35" i="60" s="1"/>
  <c r="R35" i="60"/>
  <c r="T14" i="60"/>
  <c r="S14" i="60"/>
  <c r="R14" i="60"/>
  <c r="W36" i="60"/>
  <c r="X36" i="60" s="1"/>
  <c r="R36" i="60"/>
  <c r="T13" i="60"/>
  <c r="S13" i="60"/>
  <c r="R13" i="60"/>
  <c r="T12" i="60"/>
  <c r="S12" i="60"/>
  <c r="R12" i="60"/>
  <c r="U11" i="60"/>
  <c r="T11" i="60"/>
  <c r="S11" i="60"/>
  <c r="R11" i="60"/>
  <c r="U10" i="60"/>
  <c r="T10" i="60"/>
  <c r="S10" i="60"/>
  <c r="R10" i="60"/>
  <c r="T33" i="60"/>
  <c r="S33" i="60"/>
  <c r="R33" i="60"/>
  <c r="T9" i="60"/>
  <c r="S9" i="60"/>
  <c r="R9" i="60"/>
  <c r="S34" i="60"/>
  <c r="W34" i="60" s="1"/>
  <c r="X34" i="60" s="1"/>
  <c r="R34" i="60"/>
  <c r="T8" i="60"/>
  <c r="S8" i="60"/>
  <c r="R8" i="60"/>
  <c r="T32" i="60"/>
  <c r="S32" i="60"/>
  <c r="R32" i="60"/>
  <c r="T31" i="60"/>
  <c r="S31" i="60"/>
  <c r="R31" i="60"/>
  <c r="T7" i="60"/>
  <c r="S7" i="60"/>
  <c r="R7" i="60"/>
  <c r="T6" i="60"/>
  <c r="S6" i="60"/>
  <c r="R6" i="60"/>
  <c r="T5" i="60"/>
  <c r="S5" i="60"/>
  <c r="R5" i="60"/>
  <c r="T4" i="60"/>
  <c r="S4" i="60"/>
  <c r="R4" i="60"/>
  <c r="V47" i="60"/>
  <c r="U47" i="60"/>
  <c r="T47" i="60"/>
  <c r="S47" i="60"/>
  <c r="R47" i="60"/>
  <c r="H47" i="60"/>
  <c r="T46" i="60"/>
  <c r="S46" i="60"/>
  <c r="R46" i="60"/>
  <c r="H46" i="60"/>
  <c r="T3" i="60"/>
  <c r="S3" i="60"/>
  <c r="R3" i="60"/>
  <c r="T2" i="60"/>
  <c r="S2" i="60"/>
  <c r="R2" i="60"/>
  <c r="H3" i="59"/>
  <c r="H4" i="59"/>
  <c r="H5" i="59"/>
  <c r="H6" i="59"/>
  <c r="H7" i="59"/>
  <c r="H8" i="59"/>
  <c r="H9" i="59"/>
  <c r="H10" i="59"/>
  <c r="H11" i="59"/>
  <c r="H12" i="59"/>
  <c r="H13" i="59"/>
  <c r="H14" i="59"/>
  <c r="H15" i="59"/>
  <c r="H16" i="59"/>
  <c r="H17" i="59"/>
  <c r="H18" i="59"/>
  <c r="H19" i="59"/>
  <c r="H20" i="59"/>
  <c r="H21" i="59"/>
  <c r="H22" i="59"/>
  <c r="H23" i="59"/>
  <c r="H24" i="59"/>
  <c r="H25" i="59"/>
  <c r="H26" i="59"/>
  <c r="H27" i="59"/>
  <c r="H28" i="59"/>
  <c r="H29" i="59"/>
  <c r="H30" i="59"/>
  <c r="H31" i="59"/>
  <c r="H2" i="59"/>
  <c r="Y18" i="60" l="1"/>
  <c r="W22" i="60"/>
  <c r="X22" i="60" s="1"/>
  <c r="Y25" i="60"/>
  <c r="Y41" i="60"/>
  <c r="Y37" i="60"/>
  <c r="W37" i="60"/>
  <c r="X37" i="60" s="1"/>
  <c r="W30" i="60"/>
  <c r="X30" i="60" s="1"/>
  <c r="Y2" i="60"/>
  <c r="Z2" i="60" s="1"/>
  <c r="AA2" i="60" s="1"/>
  <c r="AB2" i="60" s="1"/>
  <c r="W3" i="60"/>
  <c r="W16" i="60"/>
  <c r="X16" i="60" s="1"/>
  <c r="Y22" i="60"/>
  <c r="Y3" i="60"/>
  <c r="Z3" i="60" s="1"/>
  <c r="AA3" i="60" s="1"/>
  <c r="AB3" i="60" s="1"/>
  <c r="W46" i="60"/>
  <c r="X46" i="60" s="1"/>
  <c r="W15" i="60"/>
  <c r="X15" i="60" s="1"/>
  <c r="W40" i="60"/>
  <c r="X40" i="60" s="1"/>
  <c r="Y39" i="60"/>
  <c r="W28" i="60"/>
  <c r="X28" i="60" s="1"/>
  <c r="W4" i="60"/>
  <c r="X4" i="60" s="1"/>
  <c r="Y34" i="60"/>
  <c r="Y14" i="60"/>
  <c r="Y46" i="60"/>
  <c r="Z46" i="60" s="1"/>
  <c r="AA46" i="60" s="1"/>
  <c r="AB46" i="60" s="1"/>
  <c r="Y31" i="60"/>
  <c r="W32" i="60"/>
  <c r="X32" i="60" s="1"/>
  <c r="Y15" i="60"/>
  <c r="Y17" i="60"/>
  <c r="W21" i="60"/>
  <c r="X21" i="60" s="1"/>
  <c r="W24" i="60"/>
  <c r="X24" i="60" s="1"/>
  <c r="Y47" i="60"/>
  <c r="Z47" i="60" s="1"/>
  <c r="AA47" i="60" s="1"/>
  <c r="AB47" i="60" s="1"/>
  <c r="Y32" i="60"/>
  <c r="W8" i="60"/>
  <c r="X8" i="60" s="1"/>
  <c r="Y40" i="60"/>
  <c r="Y27" i="60"/>
  <c r="W41" i="60"/>
  <c r="Y33" i="60"/>
  <c r="Y28" i="60"/>
  <c r="W38" i="60"/>
  <c r="X38" i="60" s="1"/>
  <c r="Y24" i="60"/>
  <c r="W25" i="60"/>
  <c r="X25" i="60" s="1"/>
  <c r="W2" i="60"/>
  <c r="Y5" i="60"/>
  <c r="Y12" i="60"/>
  <c r="Y29" i="60"/>
  <c r="Y8" i="60"/>
  <c r="W14" i="60"/>
  <c r="X14" i="60" s="1"/>
  <c r="Y26" i="60"/>
  <c r="W27" i="60"/>
  <c r="X27" i="60" s="1"/>
  <c r="Y4" i="60"/>
  <c r="Z4" i="60" s="1"/>
  <c r="AA4" i="60" s="1"/>
  <c r="AB4" i="60" s="1"/>
  <c r="Y35" i="60"/>
  <c r="W29" i="60"/>
  <c r="X29" i="60" s="1"/>
  <c r="Y10" i="60"/>
  <c r="Y6" i="60"/>
  <c r="W7" i="60"/>
  <c r="X7" i="60" s="1"/>
  <c r="W9" i="60"/>
  <c r="X9" i="60" s="1"/>
  <c r="W11" i="60"/>
  <c r="X11" i="60" s="1"/>
  <c r="Y13" i="60"/>
  <c r="Y16" i="60"/>
  <c r="W20" i="60"/>
  <c r="X20" i="60" s="1"/>
  <c r="W26" i="60"/>
  <c r="X26" i="60" s="1"/>
  <c r="W47" i="60"/>
  <c r="X47" i="60" s="1"/>
  <c r="Y19" i="60"/>
  <c r="Y30" i="60"/>
  <c r="W10" i="60"/>
  <c r="X10" i="60" s="1"/>
  <c r="Y38" i="60"/>
  <c r="W42" i="60"/>
  <c r="X42" i="60" s="1"/>
  <c r="Y20" i="60"/>
  <c r="W6" i="60"/>
  <c r="X6" i="60" s="1"/>
  <c r="W13" i="60"/>
  <c r="X13" i="60" s="1"/>
  <c r="W17" i="60"/>
  <c r="X17" i="60" s="1"/>
  <c r="W19" i="60"/>
  <c r="X19" i="60" s="1"/>
  <c r="Y23" i="60"/>
  <c r="W18" i="60"/>
  <c r="X18" i="60" s="1"/>
  <c r="Y7" i="60"/>
  <c r="W31" i="60"/>
  <c r="X31" i="60" s="1"/>
  <c r="Y9" i="60"/>
  <c r="W33" i="60"/>
  <c r="X33" i="60" s="1"/>
  <c r="Y11" i="60"/>
  <c r="Y36" i="60"/>
  <c r="Y21" i="60"/>
  <c r="W5" i="60"/>
  <c r="W12" i="60"/>
  <c r="X12" i="60" s="1"/>
  <c r="W23" i="60"/>
  <c r="X23" i="60" s="1"/>
  <c r="Y42" i="60"/>
  <c r="AC46" i="60" l="1"/>
  <c r="AC3" i="60"/>
  <c r="X3" i="60"/>
  <c r="AC2" i="60"/>
  <c r="X2" i="60"/>
  <c r="AC41" i="60"/>
  <c r="X41" i="60"/>
  <c r="AF3" i="60"/>
  <c r="AC29" i="60"/>
  <c r="AF47" i="60"/>
  <c r="AC47" i="60"/>
  <c r="AF46" i="60"/>
  <c r="AC4" i="60"/>
  <c r="AF4" i="60"/>
  <c r="AF2" i="60"/>
  <c r="I3" i="59" l="1"/>
  <c r="I4" i="59"/>
  <c r="I5" i="59"/>
  <c r="I6" i="59"/>
  <c r="I7" i="59"/>
  <c r="I8" i="59"/>
  <c r="I9" i="59"/>
  <c r="I10" i="59"/>
  <c r="I11" i="59"/>
  <c r="I12" i="59"/>
  <c r="I13" i="59"/>
  <c r="I14" i="59"/>
  <c r="I15" i="59"/>
  <c r="I16" i="59"/>
  <c r="I17" i="59"/>
  <c r="I18" i="59"/>
  <c r="W18" i="59" s="1"/>
  <c r="I19" i="59"/>
  <c r="I20" i="59"/>
  <c r="I21" i="59"/>
  <c r="I22" i="59"/>
  <c r="I23" i="59"/>
  <c r="I24" i="59"/>
  <c r="I25" i="59"/>
  <c r="I26" i="59"/>
  <c r="W26" i="59" s="1"/>
  <c r="I27" i="59"/>
  <c r="I28" i="59"/>
  <c r="I29" i="59"/>
  <c r="I30" i="59"/>
  <c r="I31" i="59"/>
  <c r="I2" i="59"/>
  <c r="V3" i="59"/>
  <c r="V4" i="59"/>
  <c r="V5" i="59"/>
  <c r="V6" i="59"/>
  <c r="V7" i="59"/>
  <c r="V8" i="59"/>
  <c r="V9" i="59"/>
  <c r="V10" i="59"/>
  <c r="V11" i="59"/>
  <c r="V12" i="59"/>
  <c r="V13" i="59"/>
  <c r="V14" i="59"/>
  <c r="V15" i="59"/>
  <c r="V16" i="59"/>
  <c r="V17" i="59"/>
  <c r="V18" i="59"/>
  <c r="V19" i="59"/>
  <c r="V20" i="59"/>
  <c r="V21" i="59"/>
  <c r="V22" i="59"/>
  <c r="V23" i="59"/>
  <c r="V24" i="59"/>
  <c r="V25" i="59"/>
  <c r="V26" i="59"/>
  <c r="V27" i="59"/>
  <c r="V28" i="59"/>
  <c r="V29" i="59"/>
  <c r="V30" i="59"/>
  <c r="V31" i="59"/>
  <c r="V2" i="59"/>
  <c r="W36" i="59"/>
  <c r="U36" i="59"/>
  <c r="R31" i="59"/>
  <c r="Q31" i="59"/>
  <c r="U31" i="59" s="1"/>
  <c r="P31" i="59"/>
  <c r="W31" i="59"/>
  <c r="R30" i="59"/>
  <c r="Q30" i="59"/>
  <c r="U30" i="59" s="1"/>
  <c r="P30" i="59"/>
  <c r="W30" i="59"/>
  <c r="R29" i="59"/>
  <c r="U29" i="59" s="1"/>
  <c r="Q29" i="59"/>
  <c r="P29" i="59"/>
  <c r="R28" i="59"/>
  <c r="Q28" i="59"/>
  <c r="U28" i="59" s="1"/>
  <c r="P28" i="59"/>
  <c r="W28" i="59"/>
  <c r="R27" i="59"/>
  <c r="Q27" i="59"/>
  <c r="U27" i="59" s="1"/>
  <c r="P27" i="59"/>
  <c r="W27" i="59"/>
  <c r="R26" i="59"/>
  <c r="Q26" i="59"/>
  <c r="U26" i="59" s="1"/>
  <c r="P26" i="59"/>
  <c r="U25" i="59"/>
  <c r="R25" i="59"/>
  <c r="Q25" i="59"/>
  <c r="P25" i="59"/>
  <c r="U24" i="59"/>
  <c r="P24" i="59"/>
  <c r="W24" i="59"/>
  <c r="R23" i="59"/>
  <c r="U23" i="59" s="1"/>
  <c r="Q23" i="59"/>
  <c r="P23" i="59"/>
  <c r="W23" i="59"/>
  <c r="R22" i="59"/>
  <c r="Q22" i="59"/>
  <c r="U22" i="59" s="1"/>
  <c r="P22" i="59"/>
  <c r="W22" i="59"/>
  <c r="R21" i="59"/>
  <c r="Q21" i="59"/>
  <c r="U21" i="59" s="1"/>
  <c r="P21" i="59"/>
  <c r="W21" i="59"/>
  <c r="R20" i="59"/>
  <c r="U20" i="59" s="1"/>
  <c r="Q20" i="59"/>
  <c r="P20" i="59"/>
  <c r="W20" i="59"/>
  <c r="R19" i="59"/>
  <c r="U19" i="59" s="1"/>
  <c r="Q19" i="59"/>
  <c r="P19" i="59"/>
  <c r="AD18" i="59"/>
  <c r="R18" i="59"/>
  <c r="U18" i="59" s="1"/>
  <c r="Q18" i="59"/>
  <c r="P18" i="59"/>
  <c r="R17" i="59"/>
  <c r="Q17" i="59"/>
  <c r="U17" i="59" s="1"/>
  <c r="P17" i="59"/>
  <c r="U16" i="59"/>
  <c r="P16" i="59"/>
  <c r="W16" i="59"/>
  <c r="U15" i="59"/>
  <c r="P15" i="59"/>
  <c r="W15" i="59"/>
  <c r="R14" i="59"/>
  <c r="Q14" i="59"/>
  <c r="U14" i="59" s="1"/>
  <c r="P14" i="59"/>
  <c r="S13" i="59"/>
  <c r="R13" i="59"/>
  <c r="Q13" i="59"/>
  <c r="P13" i="59"/>
  <c r="W13" i="59"/>
  <c r="W12" i="59"/>
  <c r="R12" i="59"/>
  <c r="Q12" i="59"/>
  <c r="U12" i="59" s="1"/>
  <c r="P12" i="59"/>
  <c r="U11" i="59"/>
  <c r="Q11" i="59"/>
  <c r="P11" i="59"/>
  <c r="W11" i="59"/>
  <c r="R10" i="59"/>
  <c r="Q10" i="59"/>
  <c r="P10" i="59"/>
  <c r="R9" i="59"/>
  <c r="Q9" i="59"/>
  <c r="P9" i="59"/>
  <c r="W9" i="59"/>
  <c r="R8" i="59"/>
  <c r="Q8" i="59"/>
  <c r="P8" i="59"/>
  <c r="W8" i="59"/>
  <c r="R7" i="59"/>
  <c r="U7" i="59" s="1"/>
  <c r="Q7" i="59"/>
  <c r="P7" i="59"/>
  <c r="W7" i="59"/>
  <c r="R6" i="59"/>
  <c r="Q6" i="59"/>
  <c r="P6" i="59"/>
  <c r="W6" i="59"/>
  <c r="T5" i="59"/>
  <c r="S5" i="59"/>
  <c r="R5" i="59"/>
  <c r="Q5" i="59"/>
  <c r="U5" i="59" s="1"/>
  <c r="P5" i="59"/>
  <c r="W5" i="59"/>
  <c r="X5" i="59" s="1"/>
  <c r="R4" i="59"/>
  <c r="Q4" i="59"/>
  <c r="U4" i="59" s="1"/>
  <c r="P4" i="59"/>
  <c r="W4" i="59"/>
  <c r="X4" i="59" s="1"/>
  <c r="R3" i="59"/>
  <c r="Q3" i="59"/>
  <c r="P3" i="59"/>
  <c r="W3" i="59"/>
  <c r="X3" i="59" s="1"/>
  <c r="W2" i="59"/>
  <c r="X2" i="59" s="1"/>
  <c r="R2" i="59"/>
  <c r="Q2" i="59"/>
  <c r="U2" i="59" s="1"/>
  <c r="AA2" i="59" s="1"/>
  <c r="P2" i="59"/>
  <c r="U49" i="44"/>
  <c r="W49" i="44"/>
  <c r="W2" i="44"/>
  <c r="H2" i="44"/>
  <c r="W3" i="54"/>
  <c r="W4" i="54"/>
  <c r="W5" i="54"/>
  <c r="W6" i="54"/>
  <c r="W7" i="54"/>
  <c r="W8" i="54"/>
  <c r="W9" i="54"/>
  <c r="W10" i="54"/>
  <c r="W2" i="54"/>
  <c r="W43" i="54"/>
  <c r="W44" i="54"/>
  <c r="S10" i="54"/>
  <c r="R10" i="54"/>
  <c r="U10" i="54" s="1"/>
  <c r="V10" i="54" s="1"/>
  <c r="Q10" i="54"/>
  <c r="P10" i="54"/>
  <c r="I10" i="54"/>
  <c r="H10" i="54"/>
  <c r="R9" i="54"/>
  <c r="Q9" i="54"/>
  <c r="P9" i="54"/>
  <c r="I9" i="54"/>
  <c r="H9" i="54"/>
  <c r="R8" i="54"/>
  <c r="Q8" i="54"/>
  <c r="P8" i="54"/>
  <c r="I8" i="54"/>
  <c r="H8" i="54"/>
  <c r="R7" i="54"/>
  <c r="Q7" i="54"/>
  <c r="P7" i="54"/>
  <c r="I7" i="54"/>
  <c r="H7" i="54"/>
  <c r="R6" i="54"/>
  <c r="U6" i="54" s="1"/>
  <c r="V6" i="54" s="1"/>
  <c r="Q6" i="54"/>
  <c r="P6" i="54"/>
  <c r="I6" i="54"/>
  <c r="H6" i="54"/>
  <c r="R5" i="54"/>
  <c r="Q5" i="54"/>
  <c r="P5" i="54"/>
  <c r="I5" i="54"/>
  <c r="H5" i="54"/>
  <c r="R4" i="54"/>
  <c r="Q4" i="54"/>
  <c r="P4" i="54"/>
  <c r="I4" i="54"/>
  <c r="H4" i="54"/>
  <c r="R3" i="54"/>
  <c r="Q3" i="54"/>
  <c r="P3" i="54"/>
  <c r="I3" i="54"/>
  <c r="H3" i="54"/>
  <c r="R2" i="54"/>
  <c r="Q2" i="54"/>
  <c r="P2" i="54"/>
  <c r="I2" i="54"/>
  <c r="H2" i="54"/>
  <c r="R44" i="54"/>
  <c r="Q44" i="54"/>
  <c r="P44" i="54"/>
  <c r="I44" i="54"/>
  <c r="H44" i="54"/>
  <c r="U43" i="54"/>
  <c r="V43" i="54" s="1"/>
  <c r="P43" i="54"/>
  <c r="I43" i="54"/>
  <c r="H43" i="54"/>
  <c r="S42" i="54"/>
  <c r="R42" i="54"/>
  <c r="Q42" i="54"/>
  <c r="P42" i="54"/>
  <c r="I42" i="54"/>
  <c r="H42" i="54"/>
  <c r="W42" i="54" s="1"/>
  <c r="R41" i="54"/>
  <c r="Q41" i="54"/>
  <c r="P41" i="54"/>
  <c r="I41" i="54"/>
  <c r="H41" i="54"/>
  <c r="W41" i="54" s="1"/>
  <c r="R40" i="54"/>
  <c r="Q40" i="54"/>
  <c r="P40" i="54"/>
  <c r="I40" i="54"/>
  <c r="H40" i="54"/>
  <c r="W40" i="54" s="1"/>
  <c r="R39" i="54"/>
  <c r="Q39" i="54"/>
  <c r="U39" i="54" s="1"/>
  <c r="V39" i="54" s="1"/>
  <c r="P39" i="54"/>
  <c r="I39" i="54"/>
  <c r="H39" i="54"/>
  <c r="W39" i="54" s="1"/>
  <c r="U38" i="54"/>
  <c r="V38" i="54" s="1"/>
  <c r="P38" i="54"/>
  <c r="I38" i="54"/>
  <c r="H38" i="54"/>
  <c r="W38" i="54" s="1"/>
  <c r="R37" i="54"/>
  <c r="Q37" i="54"/>
  <c r="P37" i="54"/>
  <c r="I37" i="54"/>
  <c r="H37" i="54"/>
  <c r="W37" i="54" s="1"/>
  <c r="R36" i="54"/>
  <c r="Q36" i="54"/>
  <c r="P36" i="54"/>
  <c r="I36" i="54"/>
  <c r="H36" i="54"/>
  <c r="W36" i="54" s="1"/>
  <c r="R35" i="54"/>
  <c r="Q35" i="54"/>
  <c r="U35" i="54" s="1"/>
  <c r="V35" i="54" s="1"/>
  <c r="P35" i="54"/>
  <c r="I35" i="54"/>
  <c r="W35" i="54" s="1"/>
  <c r="H35" i="54"/>
  <c r="R34" i="54"/>
  <c r="Q34" i="54"/>
  <c r="P34" i="54"/>
  <c r="I34" i="54"/>
  <c r="H34" i="54"/>
  <c r="W34" i="54" s="1"/>
  <c r="R33" i="54"/>
  <c r="Q33" i="54"/>
  <c r="P33" i="54"/>
  <c r="I33" i="54"/>
  <c r="H33" i="54"/>
  <c r="W33" i="54" s="1"/>
  <c r="R32" i="54"/>
  <c r="Q32" i="54"/>
  <c r="P32" i="54"/>
  <c r="I32" i="54"/>
  <c r="H32" i="54"/>
  <c r="R31" i="54"/>
  <c r="U31" i="54" s="1"/>
  <c r="V31" i="54" s="1"/>
  <c r="Q31" i="54"/>
  <c r="P31" i="54"/>
  <c r="I31" i="54"/>
  <c r="W31" i="54" s="1"/>
  <c r="H31" i="54"/>
  <c r="Q30" i="54"/>
  <c r="U30" i="54" s="1"/>
  <c r="V30" i="54" s="1"/>
  <c r="P30" i="54"/>
  <c r="I30" i="54"/>
  <c r="H30" i="54"/>
  <c r="R29" i="54"/>
  <c r="Q29" i="54"/>
  <c r="U29" i="54" s="1"/>
  <c r="V29" i="54" s="1"/>
  <c r="P29" i="54"/>
  <c r="I29" i="54"/>
  <c r="H29" i="54"/>
  <c r="W29" i="54" s="1"/>
  <c r="R28" i="54"/>
  <c r="Q28" i="54"/>
  <c r="P28" i="54"/>
  <c r="I28" i="54"/>
  <c r="H28" i="54"/>
  <c r="W28" i="54" s="1"/>
  <c r="R27" i="54"/>
  <c r="Q27" i="54"/>
  <c r="P27" i="54"/>
  <c r="I27" i="54"/>
  <c r="H27" i="54"/>
  <c r="R26" i="54"/>
  <c r="Q26" i="54"/>
  <c r="P26" i="54"/>
  <c r="I26" i="54"/>
  <c r="H26" i="54"/>
  <c r="R25" i="54"/>
  <c r="Q25" i="54"/>
  <c r="P25" i="54"/>
  <c r="I25" i="54"/>
  <c r="H25" i="54"/>
  <c r="T24" i="54"/>
  <c r="S24" i="54"/>
  <c r="R24" i="54"/>
  <c r="Q24" i="54"/>
  <c r="P24" i="54"/>
  <c r="I24" i="54"/>
  <c r="H24" i="54"/>
  <c r="R23" i="54"/>
  <c r="Q23" i="54"/>
  <c r="U23" i="54" s="1"/>
  <c r="AA23" i="54" s="1"/>
  <c r="P23" i="54"/>
  <c r="I23" i="54"/>
  <c r="H23" i="54"/>
  <c r="W23" i="54" s="1"/>
  <c r="S22" i="54"/>
  <c r="R22" i="54"/>
  <c r="Q22" i="54"/>
  <c r="P22" i="54"/>
  <c r="I22" i="54"/>
  <c r="H22" i="54"/>
  <c r="W22" i="54" s="1"/>
  <c r="R21" i="54"/>
  <c r="Q21" i="54"/>
  <c r="U21" i="54" s="1"/>
  <c r="V21" i="54" s="1"/>
  <c r="P21" i="54"/>
  <c r="I21" i="54"/>
  <c r="H21" i="54"/>
  <c r="R20" i="54"/>
  <c r="Q20" i="54"/>
  <c r="U20" i="54" s="1"/>
  <c r="V20" i="54" s="1"/>
  <c r="P20" i="54"/>
  <c r="I20" i="54"/>
  <c r="H20" i="54"/>
  <c r="W20" i="54" s="1"/>
  <c r="R19" i="54"/>
  <c r="Q19" i="54"/>
  <c r="P19" i="54"/>
  <c r="I19" i="54"/>
  <c r="H19" i="54"/>
  <c r="W19" i="54" s="1"/>
  <c r="R18" i="54"/>
  <c r="U18" i="54" s="1"/>
  <c r="V18" i="54" s="1"/>
  <c r="Q18" i="54"/>
  <c r="P18" i="54"/>
  <c r="I18" i="54"/>
  <c r="H18" i="54"/>
  <c r="U17" i="54"/>
  <c r="V17" i="54" s="1"/>
  <c r="P17" i="54"/>
  <c r="I17" i="54"/>
  <c r="H17" i="54"/>
  <c r="R16" i="54"/>
  <c r="Q16" i="54"/>
  <c r="P16" i="54"/>
  <c r="I16" i="54"/>
  <c r="H16" i="54"/>
  <c r="R15" i="54"/>
  <c r="Q15" i="54"/>
  <c r="P15" i="54"/>
  <c r="I15" i="54"/>
  <c r="H15" i="54"/>
  <c r="R14" i="54"/>
  <c r="Q14" i="54"/>
  <c r="P14" i="54"/>
  <c r="I14" i="54"/>
  <c r="H14" i="54"/>
  <c r="W14" i="54" s="1"/>
  <c r="R13" i="54"/>
  <c r="Q13" i="54"/>
  <c r="P13" i="54"/>
  <c r="I13" i="54"/>
  <c r="H13" i="54"/>
  <c r="R12" i="54"/>
  <c r="Q12" i="54"/>
  <c r="P12" i="54"/>
  <c r="I12" i="54"/>
  <c r="H12" i="54"/>
  <c r="R11" i="54"/>
  <c r="Q11" i="54"/>
  <c r="P11" i="54"/>
  <c r="I11" i="54"/>
  <c r="H11" i="54"/>
  <c r="H30" i="2"/>
  <c r="I30" i="2"/>
  <c r="P30" i="2"/>
  <c r="Q30" i="2"/>
  <c r="R30" i="2"/>
  <c r="W17" i="59" l="1"/>
  <c r="W10" i="59"/>
  <c r="W25" i="59"/>
  <c r="AA5" i="59"/>
  <c r="U8" i="59"/>
  <c r="W14" i="59"/>
  <c r="U6" i="59"/>
  <c r="U10" i="59"/>
  <c r="U3" i="59"/>
  <c r="AD3" i="59" s="1"/>
  <c r="U9" i="59"/>
  <c r="U13" i="59"/>
  <c r="W19" i="59"/>
  <c r="W29" i="59"/>
  <c r="Y4" i="59"/>
  <c r="Z4" i="59" s="1"/>
  <c r="AD4" i="59"/>
  <c r="Y5" i="59"/>
  <c r="Z5" i="59" s="1"/>
  <c r="AD5" i="59"/>
  <c r="Y2" i="59"/>
  <c r="Z2" i="59" s="1"/>
  <c r="Y3" i="59"/>
  <c r="Z3" i="59" s="1"/>
  <c r="AA30" i="59"/>
  <c r="AA4" i="59"/>
  <c r="AD2" i="59"/>
  <c r="W30" i="54"/>
  <c r="U14" i="54"/>
  <c r="V14" i="54" s="1"/>
  <c r="W18" i="54"/>
  <c r="U19" i="54"/>
  <c r="V19" i="54" s="1"/>
  <c r="W27" i="54"/>
  <c r="W32" i="54"/>
  <c r="U24" i="54"/>
  <c r="AA24" i="54" s="1"/>
  <c r="W26" i="54"/>
  <c r="W25" i="54"/>
  <c r="W16" i="54"/>
  <c r="W21" i="54"/>
  <c r="W24" i="54"/>
  <c r="U9" i="54"/>
  <c r="V9" i="54" s="1"/>
  <c r="U15" i="54"/>
  <c r="V15" i="54" s="1"/>
  <c r="U37" i="54"/>
  <c r="V37" i="54" s="1"/>
  <c r="U40" i="54"/>
  <c r="V40" i="54" s="1"/>
  <c r="W15" i="54"/>
  <c r="U16" i="54"/>
  <c r="V16" i="54" s="1"/>
  <c r="W17" i="54"/>
  <c r="W11" i="54"/>
  <c r="U12" i="54"/>
  <c r="V12" i="54" s="1"/>
  <c r="U2" i="54"/>
  <c r="AA2" i="54" s="1"/>
  <c r="U11" i="54"/>
  <c r="V11" i="54" s="1"/>
  <c r="U42" i="54"/>
  <c r="V42" i="54" s="1"/>
  <c r="X2" i="54"/>
  <c r="Y2" i="54" s="1"/>
  <c r="Z2" i="54" s="1"/>
  <c r="X24" i="54"/>
  <c r="Y24" i="54" s="1"/>
  <c r="Z24" i="54" s="1"/>
  <c r="U44" i="54"/>
  <c r="V44" i="54" s="1"/>
  <c r="W12" i="54"/>
  <c r="U22" i="54"/>
  <c r="V22" i="54" s="1"/>
  <c r="U28" i="54"/>
  <c r="V28" i="54" s="1"/>
  <c r="U33" i="54"/>
  <c r="V33" i="54" s="1"/>
  <c r="X40" i="54"/>
  <c r="Y40" i="54" s="1"/>
  <c r="Z40" i="54" s="1"/>
  <c r="U41" i="54"/>
  <c r="V41" i="54" s="1"/>
  <c r="U13" i="54"/>
  <c r="X23" i="54"/>
  <c r="Y23" i="54" s="1"/>
  <c r="Z23" i="54" s="1"/>
  <c r="U36" i="54"/>
  <c r="V36" i="54" s="1"/>
  <c r="U25" i="54"/>
  <c r="AA25" i="54" s="1"/>
  <c r="U8" i="54"/>
  <c r="V8" i="54" s="1"/>
  <c r="U27" i="54"/>
  <c r="V27" i="54" s="1"/>
  <c r="U32" i="54"/>
  <c r="AA32" i="54" s="1"/>
  <c r="U5" i="54"/>
  <c r="V5" i="54" s="1"/>
  <c r="U34" i="54"/>
  <c r="V34" i="54" s="1"/>
  <c r="U7" i="54"/>
  <c r="V7" i="54" s="1"/>
  <c r="W13" i="54"/>
  <c r="X13" i="54" s="1"/>
  <c r="Y13" i="54" s="1"/>
  <c r="Z13" i="54" s="1"/>
  <c r="U3" i="54"/>
  <c r="V3" i="54" s="1"/>
  <c r="U26" i="54"/>
  <c r="V26" i="54" s="1"/>
  <c r="U4" i="54"/>
  <c r="V4" i="54" s="1"/>
  <c r="U30" i="2"/>
  <c r="V30" i="2" s="1"/>
  <c r="W30" i="2"/>
  <c r="V13" i="54"/>
  <c r="AA13" i="54"/>
  <c r="V23" i="54"/>
  <c r="AA3" i="59" l="1"/>
  <c r="V24" i="54"/>
  <c r="AA40" i="54"/>
  <c r="V25" i="54"/>
  <c r="AD24" i="54"/>
  <c r="AD23" i="54"/>
  <c r="AD40" i="54"/>
  <c r="AD11" i="54" s="1"/>
  <c r="V2" i="54"/>
  <c r="AD2" i="54" s="1"/>
  <c r="AD13" i="54"/>
  <c r="V32" i="54"/>
  <c r="W6" i="44" l="1"/>
  <c r="W3" i="44"/>
  <c r="W4" i="44"/>
  <c r="W5" i="44"/>
  <c r="S17" i="44" l="1"/>
  <c r="R17" i="44"/>
  <c r="Q17" i="44"/>
  <c r="P17" i="44"/>
  <c r="I17" i="44"/>
  <c r="H17" i="44"/>
  <c r="R33" i="44"/>
  <c r="Q33" i="44"/>
  <c r="P33" i="44"/>
  <c r="I33" i="44"/>
  <c r="H33" i="44"/>
  <c r="W33" i="44" s="1"/>
  <c r="R11" i="44"/>
  <c r="Q11" i="44"/>
  <c r="P11" i="44"/>
  <c r="I11" i="44"/>
  <c r="H11" i="44"/>
  <c r="R23" i="44"/>
  <c r="Q23" i="44"/>
  <c r="P23" i="44"/>
  <c r="I23" i="44"/>
  <c r="H23" i="44"/>
  <c r="U22" i="44"/>
  <c r="V22" i="44" s="1"/>
  <c r="P22" i="44"/>
  <c r="I22" i="44"/>
  <c r="H22" i="44"/>
  <c r="R32" i="44"/>
  <c r="Q32" i="44"/>
  <c r="P32" i="44"/>
  <c r="I32" i="44"/>
  <c r="H32" i="44"/>
  <c r="R31" i="44"/>
  <c r="Q31" i="44"/>
  <c r="P31" i="44"/>
  <c r="I31" i="44"/>
  <c r="H31" i="44"/>
  <c r="W31" i="44" s="1"/>
  <c r="R21" i="44"/>
  <c r="Q21" i="44"/>
  <c r="P21" i="44"/>
  <c r="I21" i="44"/>
  <c r="H21" i="44"/>
  <c r="R10" i="44"/>
  <c r="Q10" i="44"/>
  <c r="P10" i="44"/>
  <c r="I10" i="44"/>
  <c r="H10" i="44"/>
  <c r="R9" i="44"/>
  <c r="Q9" i="44"/>
  <c r="P9" i="44"/>
  <c r="I9" i="44"/>
  <c r="H9" i="44"/>
  <c r="S16" i="44"/>
  <c r="R16" i="44"/>
  <c r="Q16" i="44"/>
  <c r="P16" i="44"/>
  <c r="I16" i="44"/>
  <c r="H16" i="44"/>
  <c r="R30" i="44"/>
  <c r="Q30" i="44"/>
  <c r="P30" i="44"/>
  <c r="I30" i="44"/>
  <c r="H30" i="44"/>
  <c r="R15" i="44"/>
  <c r="Q15" i="44"/>
  <c r="P15" i="44"/>
  <c r="I15" i="44"/>
  <c r="H15" i="44"/>
  <c r="U20" i="44"/>
  <c r="V20" i="44" s="1"/>
  <c r="P20" i="44"/>
  <c r="I20" i="44"/>
  <c r="H20" i="44"/>
  <c r="R39" i="44"/>
  <c r="Q39" i="44"/>
  <c r="P39" i="44"/>
  <c r="I39" i="44"/>
  <c r="H39" i="44"/>
  <c r="W39" i="44" s="1"/>
  <c r="R19" i="44"/>
  <c r="Q19" i="44"/>
  <c r="P19" i="44"/>
  <c r="I19" i="44"/>
  <c r="H19" i="44"/>
  <c r="R14" i="44"/>
  <c r="Q14" i="44"/>
  <c r="P14" i="44"/>
  <c r="I14" i="44"/>
  <c r="H14" i="44"/>
  <c r="R44" i="44"/>
  <c r="Q44" i="44"/>
  <c r="P44" i="44"/>
  <c r="W44" i="44"/>
  <c r="R43" i="44"/>
  <c r="Q43" i="44"/>
  <c r="P43" i="44"/>
  <c r="R38" i="44"/>
  <c r="Q38" i="44"/>
  <c r="P38" i="44"/>
  <c r="I38" i="44"/>
  <c r="H38" i="44"/>
  <c r="Q13" i="44"/>
  <c r="U13" i="44" s="1"/>
  <c r="V13" i="44" s="1"/>
  <c r="P13" i="44"/>
  <c r="I13" i="44"/>
  <c r="H13" i="44"/>
  <c r="R18" i="44"/>
  <c r="Q18" i="44"/>
  <c r="P18" i="44"/>
  <c r="I18" i="44"/>
  <c r="H18" i="44"/>
  <c r="R42" i="44"/>
  <c r="Q42" i="44"/>
  <c r="P42" i="44"/>
  <c r="W42" i="44"/>
  <c r="R29" i="44"/>
  <c r="Q29" i="44"/>
  <c r="P29" i="44"/>
  <c r="I29" i="44"/>
  <c r="H29" i="44"/>
  <c r="R37" i="44"/>
  <c r="Q37" i="44"/>
  <c r="P37" i="44"/>
  <c r="I37" i="44"/>
  <c r="H37" i="44"/>
  <c r="R41" i="44"/>
  <c r="Q41" i="44"/>
  <c r="P41" i="44"/>
  <c r="W41" i="44"/>
  <c r="R8" i="44"/>
  <c r="Q8" i="44"/>
  <c r="P8" i="44"/>
  <c r="I8" i="44"/>
  <c r="H8" i="44"/>
  <c r="S28" i="44"/>
  <c r="R28" i="44"/>
  <c r="Q28" i="44"/>
  <c r="P28" i="44"/>
  <c r="R36" i="44"/>
  <c r="Q36" i="44"/>
  <c r="P36" i="44"/>
  <c r="I36" i="44"/>
  <c r="H36" i="44"/>
  <c r="W36" i="44" s="1"/>
  <c r="R27" i="44"/>
  <c r="Q27" i="44"/>
  <c r="P27" i="44"/>
  <c r="R35" i="44"/>
  <c r="Q35" i="44"/>
  <c r="P35" i="44"/>
  <c r="I35" i="44"/>
  <c r="H35" i="44"/>
  <c r="W35" i="44" s="1"/>
  <c r="R26" i="44"/>
  <c r="Q26" i="44"/>
  <c r="P26" i="44"/>
  <c r="U34" i="44"/>
  <c r="V34" i="44" s="1"/>
  <c r="P34" i="44"/>
  <c r="I34" i="44"/>
  <c r="H34" i="44"/>
  <c r="R25" i="44"/>
  <c r="Q25" i="44"/>
  <c r="P25" i="44"/>
  <c r="W25" i="44"/>
  <c r="R40" i="44"/>
  <c r="Q40" i="44"/>
  <c r="P40" i="44"/>
  <c r="R12" i="44"/>
  <c r="Q12" i="44"/>
  <c r="P12" i="44"/>
  <c r="I12" i="44"/>
  <c r="H12" i="44"/>
  <c r="R7" i="44"/>
  <c r="Q7" i="44"/>
  <c r="P7" i="44"/>
  <c r="I7" i="44"/>
  <c r="H7" i="44"/>
  <c r="R24" i="44"/>
  <c r="Q24" i="44"/>
  <c r="P24" i="44"/>
  <c r="R6" i="44"/>
  <c r="Q6" i="44"/>
  <c r="P6" i="44"/>
  <c r="I6" i="44"/>
  <c r="H6" i="44"/>
  <c r="T5" i="44"/>
  <c r="S5" i="44"/>
  <c r="R5" i="44"/>
  <c r="Q5" i="44"/>
  <c r="P5" i="44"/>
  <c r="I5" i="44"/>
  <c r="H5" i="44"/>
  <c r="R4" i="44"/>
  <c r="Q4" i="44"/>
  <c r="P4" i="44"/>
  <c r="I4" i="44"/>
  <c r="H4" i="44"/>
  <c r="R3" i="44"/>
  <c r="Q3" i="44"/>
  <c r="P3" i="44"/>
  <c r="I3" i="44"/>
  <c r="H3" i="44"/>
  <c r="R2" i="44"/>
  <c r="Q2" i="44"/>
  <c r="P2" i="44"/>
  <c r="I2" i="44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P6" i="2"/>
  <c r="Q6" i="2"/>
  <c r="R6" i="2"/>
  <c r="P19" i="2"/>
  <c r="Q19" i="2"/>
  <c r="R19" i="2"/>
  <c r="P28" i="2"/>
  <c r="Q28" i="2"/>
  <c r="R28" i="2"/>
  <c r="P18" i="2"/>
  <c r="Q18" i="2"/>
  <c r="R18" i="2"/>
  <c r="P37" i="2"/>
  <c r="Q37" i="2"/>
  <c r="R37" i="2"/>
  <c r="P20" i="2"/>
  <c r="Q20" i="2"/>
  <c r="R20" i="2"/>
  <c r="P21" i="2"/>
  <c r="Q21" i="2"/>
  <c r="R21" i="2"/>
  <c r="P17" i="2"/>
  <c r="Q17" i="2"/>
  <c r="R17" i="2"/>
  <c r="S17" i="2"/>
  <c r="P33" i="2"/>
  <c r="Q33" i="2"/>
  <c r="R33" i="2"/>
  <c r="P43" i="2"/>
  <c r="Q43" i="2"/>
  <c r="R43" i="2"/>
  <c r="P38" i="2"/>
  <c r="Q38" i="2"/>
  <c r="R38" i="2"/>
  <c r="P39" i="2"/>
  <c r="Q39" i="2"/>
  <c r="R39" i="2"/>
  <c r="W9" i="2" l="1"/>
  <c r="W23" i="2"/>
  <c r="W15" i="2"/>
  <c r="W39" i="2"/>
  <c r="W31" i="2"/>
  <c r="W7" i="2"/>
  <c r="W41" i="2"/>
  <c r="W33" i="2"/>
  <c r="W25" i="2"/>
  <c r="W17" i="2"/>
  <c r="W14" i="2"/>
  <c r="W38" i="2"/>
  <c r="W40" i="2"/>
  <c r="W32" i="2"/>
  <c r="W24" i="2"/>
  <c r="W16" i="2"/>
  <c r="W8" i="2"/>
  <c r="W22" i="2"/>
  <c r="W6" i="2"/>
  <c r="X6" i="2" s="1"/>
  <c r="Y6" i="2" s="1"/>
  <c r="Z6" i="2" s="1"/>
  <c r="W5" i="2"/>
  <c r="X5" i="2" s="1"/>
  <c r="Y5" i="2" s="1"/>
  <c r="W37" i="2"/>
  <c r="W21" i="2"/>
  <c r="W29" i="2"/>
  <c r="W13" i="2"/>
  <c r="W44" i="2"/>
  <c r="W36" i="2"/>
  <c r="W28" i="2"/>
  <c r="W20" i="2"/>
  <c r="W12" i="2"/>
  <c r="W4" i="2"/>
  <c r="X4" i="2" s="1"/>
  <c r="Y4" i="2" s="1"/>
  <c r="Z4" i="2" s="1"/>
  <c r="W43" i="2"/>
  <c r="W35" i="2"/>
  <c r="W27" i="2"/>
  <c r="W19" i="2"/>
  <c r="W11" i="2"/>
  <c r="W3" i="2"/>
  <c r="X3" i="2" s="1"/>
  <c r="Y3" i="2" s="1"/>
  <c r="Z3" i="2" s="1"/>
  <c r="W42" i="2"/>
  <c r="W34" i="2"/>
  <c r="W26" i="2"/>
  <c r="W18" i="2"/>
  <c r="W10" i="2"/>
  <c r="W2" i="2"/>
  <c r="X2" i="2" s="1"/>
  <c r="W43" i="44"/>
  <c r="W40" i="44"/>
  <c r="W32" i="44"/>
  <c r="W34" i="44"/>
  <c r="W37" i="44"/>
  <c r="W38" i="44"/>
  <c r="W28" i="44"/>
  <c r="W26" i="44"/>
  <c r="W29" i="44"/>
  <c r="W27" i="44"/>
  <c r="W24" i="44"/>
  <c r="W30" i="44"/>
  <c r="W17" i="44"/>
  <c r="U4" i="44"/>
  <c r="V4" i="44" s="1"/>
  <c r="W12" i="44"/>
  <c r="U40" i="44"/>
  <c r="V40" i="44" s="1"/>
  <c r="U27" i="44"/>
  <c r="V27" i="44" s="1"/>
  <c r="U8" i="44"/>
  <c r="V8" i="44" s="1"/>
  <c r="X5" i="44"/>
  <c r="Y5" i="44" s="1"/>
  <c r="Z5" i="44" s="1"/>
  <c r="U30" i="44"/>
  <c r="V30" i="44" s="1"/>
  <c r="W22" i="44"/>
  <c r="U3" i="44"/>
  <c r="AA3" i="44" s="1"/>
  <c r="U33" i="44"/>
  <c r="V33" i="44" s="1"/>
  <c r="W19" i="44"/>
  <c r="W21" i="44"/>
  <c r="W20" i="44"/>
  <c r="U9" i="44"/>
  <c r="V9" i="44" s="1"/>
  <c r="W18" i="44"/>
  <c r="W23" i="44"/>
  <c r="U44" i="44"/>
  <c r="V44" i="44" s="1"/>
  <c r="U5" i="44"/>
  <c r="V5" i="44" s="1"/>
  <c r="W8" i="44"/>
  <c r="U41" i="44"/>
  <c r="V41" i="44" s="1"/>
  <c r="U2" i="44"/>
  <c r="AA2" i="44" s="1"/>
  <c r="W14" i="44"/>
  <c r="U11" i="44"/>
  <c r="V11" i="44" s="1"/>
  <c r="U43" i="44"/>
  <c r="V43" i="44" s="1"/>
  <c r="W15" i="44"/>
  <c r="U23" i="44"/>
  <c r="V23" i="44" s="1"/>
  <c r="X2" i="44"/>
  <c r="Y2" i="44" s="1"/>
  <c r="Z2" i="44" s="1"/>
  <c r="U35" i="44"/>
  <c r="V35" i="44" s="1"/>
  <c r="W13" i="44"/>
  <c r="W16" i="44"/>
  <c r="U31" i="44"/>
  <c r="V31" i="44" s="1"/>
  <c r="W11" i="44"/>
  <c r="U15" i="44"/>
  <c r="V15" i="44" s="1"/>
  <c r="W7" i="44"/>
  <c r="U12" i="44"/>
  <c r="V12" i="44" s="1"/>
  <c r="U16" i="44"/>
  <c r="V16" i="44" s="1"/>
  <c r="U32" i="44"/>
  <c r="V32" i="44" s="1"/>
  <c r="U6" i="44"/>
  <c r="AA6" i="44" s="1"/>
  <c r="U10" i="44"/>
  <c r="V10" i="44" s="1"/>
  <c r="U17" i="44"/>
  <c r="V17" i="44" s="1"/>
  <c r="U26" i="44"/>
  <c r="V26" i="44" s="1"/>
  <c r="U36" i="44"/>
  <c r="V36" i="44" s="1"/>
  <c r="U29" i="44"/>
  <c r="V29" i="44" s="1"/>
  <c r="U19" i="44"/>
  <c r="V19" i="44" s="1"/>
  <c r="X3" i="44"/>
  <c r="Y3" i="44" s="1"/>
  <c r="Z3" i="44" s="1"/>
  <c r="U7" i="44"/>
  <c r="V7" i="44" s="1"/>
  <c r="U25" i="44"/>
  <c r="V25" i="44" s="1"/>
  <c r="W10" i="44"/>
  <c r="U21" i="44"/>
  <c r="V21" i="44" s="1"/>
  <c r="U37" i="44"/>
  <c r="V37" i="44" s="1"/>
  <c r="U18" i="44"/>
  <c r="V18" i="44" s="1"/>
  <c r="U14" i="44"/>
  <c r="V14" i="44" s="1"/>
  <c r="U24" i="44"/>
  <c r="V24" i="44" s="1"/>
  <c r="U28" i="44"/>
  <c r="V28" i="44" s="1"/>
  <c r="U42" i="44"/>
  <c r="V42" i="44" s="1"/>
  <c r="U38" i="44"/>
  <c r="V38" i="44" s="1"/>
  <c r="U39" i="44"/>
  <c r="V39" i="44" s="1"/>
  <c r="W9" i="44"/>
  <c r="X4" i="44"/>
  <c r="X6" i="44"/>
  <c r="Y6" i="44" s="1"/>
  <c r="Z6" i="44" s="1"/>
  <c r="U20" i="2"/>
  <c r="V20" i="2" s="1"/>
  <c r="U21" i="2"/>
  <c r="V21" i="2" s="1"/>
  <c r="U6" i="2"/>
  <c r="U17" i="2"/>
  <c r="V17" i="2" s="1"/>
  <c r="U18" i="2"/>
  <c r="V18" i="2" s="1"/>
  <c r="U33" i="2"/>
  <c r="V33" i="2" s="1"/>
  <c r="U37" i="2"/>
  <c r="V37" i="2" s="1"/>
  <c r="U19" i="2"/>
  <c r="U28" i="2"/>
  <c r="V28" i="2" s="1"/>
  <c r="U43" i="2"/>
  <c r="V43" i="2" s="1"/>
  <c r="U39" i="2"/>
  <c r="V39" i="2" s="1"/>
  <c r="U38" i="2"/>
  <c r="V38" i="2" s="1"/>
  <c r="Y2" i="2" l="1"/>
  <c r="Z2" i="2" s="1"/>
  <c r="Z12" i="2"/>
  <c r="Z11" i="2"/>
  <c r="Z14" i="2"/>
  <c r="AE6" i="2"/>
  <c r="AA6" i="2"/>
  <c r="AA14" i="2" s="1"/>
  <c r="V6" i="2"/>
  <c r="AD6" i="2" s="1"/>
  <c r="AA19" i="2"/>
  <c r="V19" i="2"/>
  <c r="AA41" i="44"/>
  <c r="AA4" i="44"/>
  <c r="AD5" i="44"/>
  <c r="AA43" i="44"/>
  <c r="V3" i="44"/>
  <c r="AD3" i="44" s="1"/>
  <c r="AD4" i="44"/>
  <c r="AA5" i="44"/>
  <c r="V2" i="44"/>
  <c r="AD2" i="44" s="1"/>
  <c r="AD24" i="44" s="1"/>
  <c r="V6" i="44"/>
  <c r="AD6" i="44" s="1"/>
  <c r="Y4" i="44"/>
  <c r="Z4" i="44" s="1"/>
  <c r="Z5" i="2"/>
  <c r="R11" i="2"/>
  <c r="Q11" i="2"/>
  <c r="P11" i="2"/>
  <c r="R7" i="2"/>
  <c r="Q7" i="2"/>
  <c r="P7" i="2"/>
  <c r="R13" i="2"/>
  <c r="Q13" i="2"/>
  <c r="P13" i="2"/>
  <c r="R15" i="2"/>
  <c r="Q15" i="2"/>
  <c r="P15" i="2"/>
  <c r="R14" i="2"/>
  <c r="Q14" i="2"/>
  <c r="P14" i="2"/>
  <c r="U12" i="2"/>
  <c r="V12" i="2" s="1"/>
  <c r="P12" i="2"/>
  <c r="R25" i="2"/>
  <c r="Q25" i="2"/>
  <c r="P25" i="2"/>
  <c r="R16" i="2"/>
  <c r="Q16" i="2"/>
  <c r="P16" i="2"/>
  <c r="R23" i="2"/>
  <c r="Q23" i="2"/>
  <c r="P23" i="2"/>
  <c r="U40" i="2"/>
  <c r="V40" i="2" s="1"/>
  <c r="P40" i="2"/>
  <c r="U31" i="2"/>
  <c r="V31" i="2" s="1"/>
  <c r="P31" i="2"/>
  <c r="R41" i="2"/>
  <c r="Q41" i="2"/>
  <c r="P41" i="2"/>
  <c r="R29" i="2"/>
  <c r="Q29" i="2"/>
  <c r="P29" i="2"/>
  <c r="R42" i="2"/>
  <c r="Q42" i="2"/>
  <c r="P42" i="2"/>
  <c r="R36" i="2"/>
  <c r="Q36" i="2"/>
  <c r="P36" i="2"/>
  <c r="R8" i="2"/>
  <c r="Q8" i="2"/>
  <c r="P8" i="2"/>
  <c r="R35" i="2"/>
  <c r="Q35" i="2"/>
  <c r="P35" i="2"/>
  <c r="S44" i="2"/>
  <c r="R44" i="2"/>
  <c r="Q44" i="2"/>
  <c r="P44" i="2"/>
  <c r="Q24" i="2"/>
  <c r="U24" i="2" s="1"/>
  <c r="V24" i="2" s="1"/>
  <c r="P24" i="2"/>
  <c r="R32" i="2"/>
  <c r="Q32" i="2"/>
  <c r="P32" i="2"/>
  <c r="R9" i="2"/>
  <c r="Q9" i="2"/>
  <c r="P9" i="2"/>
  <c r="S34" i="2"/>
  <c r="R34" i="2"/>
  <c r="Q34" i="2"/>
  <c r="P34" i="2"/>
  <c r="R26" i="2"/>
  <c r="Q26" i="2"/>
  <c r="P26" i="2"/>
  <c r="R22" i="2"/>
  <c r="Q22" i="2"/>
  <c r="P22" i="2"/>
  <c r="R27" i="2"/>
  <c r="Q27" i="2"/>
  <c r="P27" i="2"/>
  <c r="R10" i="2"/>
  <c r="Q10" i="2"/>
  <c r="P10" i="2"/>
  <c r="T5" i="2"/>
  <c r="S5" i="2"/>
  <c r="R5" i="2"/>
  <c r="Q5" i="2"/>
  <c r="P5" i="2"/>
  <c r="R4" i="2"/>
  <c r="Q4" i="2"/>
  <c r="P4" i="2"/>
  <c r="R3" i="2"/>
  <c r="Q3" i="2"/>
  <c r="P3" i="2"/>
  <c r="R2" i="2"/>
  <c r="Q2" i="2"/>
  <c r="P2" i="2"/>
  <c r="Z10" i="2" l="1"/>
  <c r="Z13" i="2"/>
  <c r="AD14" i="2"/>
  <c r="U35" i="2"/>
  <c r="V35" i="2" s="1"/>
  <c r="U36" i="2"/>
  <c r="V36" i="2" s="1"/>
  <c r="U22" i="2"/>
  <c r="V22" i="2" s="1"/>
  <c r="U25" i="2"/>
  <c r="V25" i="2" s="1"/>
  <c r="U9" i="2"/>
  <c r="V9" i="2" s="1"/>
  <c r="U42" i="2"/>
  <c r="V42" i="2" s="1"/>
  <c r="U41" i="2"/>
  <c r="V41" i="2" s="1"/>
  <c r="U13" i="2"/>
  <c r="V13" i="2" s="1"/>
  <c r="U15" i="2"/>
  <c r="V15" i="2" s="1"/>
  <c r="U27" i="2"/>
  <c r="V27" i="2" s="1"/>
  <c r="U26" i="2"/>
  <c r="V26" i="2" s="1"/>
  <c r="U32" i="2"/>
  <c r="V32" i="2" s="1"/>
  <c r="U5" i="2"/>
  <c r="V5" i="2" s="1"/>
  <c r="U11" i="2"/>
  <c r="V11" i="2" s="1"/>
  <c r="U4" i="2"/>
  <c r="V4" i="2" s="1"/>
  <c r="U14" i="2"/>
  <c r="V14" i="2" s="1"/>
  <c r="U8" i="2"/>
  <c r="V8" i="2" s="1"/>
  <c r="U3" i="2"/>
  <c r="V3" i="2" s="1"/>
  <c r="U34" i="2"/>
  <c r="V34" i="2" s="1"/>
  <c r="U29" i="2"/>
  <c r="V29" i="2" s="1"/>
  <c r="U10" i="2"/>
  <c r="V10" i="2" s="1"/>
  <c r="U16" i="2"/>
  <c r="V16" i="2" s="1"/>
  <c r="U2" i="2"/>
  <c r="U7" i="2"/>
  <c r="V7" i="2" s="1"/>
  <c r="U44" i="2"/>
  <c r="V44" i="2" s="1"/>
  <c r="U23" i="2"/>
  <c r="V23" i="2" s="1"/>
  <c r="AA2" i="2" l="1"/>
  <c r="V2" i="2"/>
  <c r="AD2" i="2" s="1"/>
  <c r="AA26" i="2"/>
  <c r="AD3" i="2"/>
  <c r="AA3" i="2"/>
  <c r="AD5" i="2"/>
  <c r="AA5" i="2"/>
  <c r="AD4" i="2"/>
  <c r="AA4" i="2"/>
  <c r="AA13" i="2" l="1"/>
  <c r="AD13" i="2" s="1"/>
  <c r="AE5" i="2"/>
  <c r="AA11" i="2"/>
  <c r="AD11" i="2" s="1"/>
  <c r="AE3" i="2"/>
  <c r="AD7" i="2"/>
  <c r="AA12" i="2"/>
  <c r="AD12" i="2" s="1"/>
  <c r="AE4" i="2"/>
  <c r="AA10" i="2"/>
  <c r="AD10" i="2" s="1"/>
  <c r="AD15" i="2" s="1"/>
  <c r="AE2" i="2"/>
  <c r="AE7" i="2" l="1"/>
  <c r="AF7" i="2" s="1"/>
  <c r="AG7" i="2" s="1"/>
</calcChain>
</file>

<file path=xl/sharedStrings.xml><?xml version="1.0" encoding="utf-8"?>
<sst xmlns="http://schemas.openxmlformats.org/spreadsheetml/2006/main" count="1123" uniqueCount="118">
  <si>
    <t xml:space="preserve"> </t>
  </si>
  <si>
    <t>Precat. Used</t>
  </si>
  <si>
    <t>%Vbur(min)</t>
  </si>
  <si>
    <t>Aryne Used</t>
  </si>
  <si>
    <t>sigma meta</t>
  </si>
  <si>
    <t>charton</t>
  </si>
  <si>
    <t xml:space="preserve"> Yield 1</t>
  </si>
  <si>
    <t>Yield 2</t>
  </si>
  <si>
    <t>Yield 3</t>
  </si>
  <si>
    <t>Yield 4</t>
  </si>
  <si>
    <t>Average Yield</t>
  </si>
  <si>
    <t>B/A 1</t>
  </si>
  <si>
    <t>B/A 2</t>
  </si>
  <si>
    <t>B/A 3</t>
  </si>
  <si>
    <t>B/A 4</t>
  </si>
  <si>
    <t>Average B/A</t>
  </si>
  <si>
    <t>EEP-2023-532 &amp; 533</t>
  </si>
  <si>
    <t>TrixiePhos G3</t>
  </si>
  <si>
    <t>6-Me</t>
  </si>
  <si>
    <t>EEP-2023-514 &amp; 515</t>
  </si>
  <si>
    <t>6-Et</t>
  </si>
  <si>
    <t>EEP-2023-516 &amp; 517</t>
  </si>
  <si>
    <t>6-iPr</t>
  </si>
  <si>
    <r>
      <rPr>
        <sz val="10"/>
        <color theme="1"/>
        <rFont val="Arial"/>
        <family val="2"/>
      </rPr>
      <t xml:space="preserve">EEP-2023-518 &amp; 519 &amp; </t>
    </r>
    <r>
      <rPr>
        <sz val="10"/>
        <color rgb="FF980000"/>
        <rFont val="Arial"/>
        <family val="2"/>
      </rPr>
      <t>2024 32 &amp; 33</t>
    </r>
  </si>
  <si>
    <t>6-tBu</t>
  </si>
  <si>
    <t>EEP-2023-520 &amp; 531</t>
  </si>
  <si>
    <t>6-OMe</t>
  </si>
  <si>
    <t>6-Ph</t>
  </si>
  <si>
    <t>EEP-2023-606 &amp; 607</t>
  </si>
  <si>
    <t>PtBu3 G3</t>
  </si>
  <si>
    <t>EEP-2023-608 &amp; 609</t>
  </si>
  <si>
    <t>EEP-2023-610 &amp; 611</t>
  </si>
  <si>
    <t>EEP-2023-612 &amp; 613</t>
  </si>
  <si>
    <t>EEP-2023-614 &amp; 615</t>
  </si>
  <si>
    <t>EEP-2023-562 &amp; 563</t>
  </si>
  <si>
    <t>P(o-tol)3 G2</t>
  </si>
  <si>
    <t>EEP-2023-564 &amp; 565</t>
  </si>
  <si>
    <t>EEP-2023-566 &amp; 567</t>
  </si>
  <si>
    <t>EEP-2023-568</t>
  </si>
  <si>
    <t>EEP-2023-570 &amp; 571</t>
  </si>
  <si>
    <t>EEP-2023-698 &amp; 699</t>
  </si>
  <si>
    <t>EEP-2023-581 &amp; 582</t>
  </si>
  <si>
    <t>CataXcium G3</t>
  </si>
  <si>
    <t>EEP-2023-583 &amp; 584</t>
  </si>
  <si>
    <t>EEP-2023-585 &amp; 586</t>
  </si>
  <si>
    <t>EEP-2023-587 &amp; 588</t>
  </si>
  <si>
    <t>EEP-2023-589 &amp; 590</t>
  </si>
  <si>
    <t>EEP-2023-631 &amp; 632</t>
  </si>
  <si>
    <t>PCy3 G3</t>
  </si>
  <si>
    <t>EEP-2023-633 &amp; 634</t>
  </si>
  <si>
    <t>EEP-2023-635 &amp; 636</t>
  </si>
  <si>
    <t>EEP-2023-639 &amp; 640</t>
  </si>
  <si>
    <t>EEP-2023-702 &amp; 703</t>
  </si>
  <si>
    <t>EEP-2023-641 &amp; 642</t>
  </si>
  <si>
    <t>PPh3 G2</t>
  </si>
  <si>
    <t>EEP-2023-643 &amp; 644</t>
  </si>
  <si>
    <t>EEP-2023-645 &amp; 646</t>
  </si>
  <si>
    <t>EEP-2023-647 &amp; 648 &amp; 2024 14 &amp; 15</t>
  </si>
  <si>
    <t>EEP-2023-649 &amp; 650</t>
  </si>
  <si>
    <t>EEP-2023-704 &amp; 705</t>
  </si>
  <si>
    <t>EEP-2023-681 &amp; 682</t>
  </si>
  <si>
    <t>PPh2Me G3</t>
  </si>
  <si>
    <t>EEP-2023-683 &amp; 684</t>
  </si>
  <si>
    <t>EEP-2023-685 &amp; 686</t>
  </si>
  <si>
    <t>EEP-2023-687 &amp; 688</t>
  </si>
  <si>
    <t>EEP-2023-689 &amp; 690</t>
  </si>
  <si>
    <t>EEP-2023-661 &amp; 662</t>
  </si>
  <si>
    <t>PEt3 G3</t>
  </si>
  <si>
    <t>EEP-2023-663 &amp; 664</t>
  </si>
  <si>
    <t>EEP-2023-665 &amp; 666</t>
  </si>
  <si>
    <t>EEP-2023-667 &amp; 668</t>
  </si>
  <si>
    <t>EEP-2023-669 &amp; 670 &amp; 706</t>
  </si>
  <si>
    <r>
      <rPr>
        <sz val="10"/>
        <color theme="1"/>
        <rFont val="Arial"/>
        <family val="2"/>
      </rPr>
      <t xml:space="preserve">EEP-2023-518 &amp; 519 &amp; </t>
    </r>
    <r>
      <rPr>
        <sz val="10"/>
        <color rgb="FF980000"/>
        <rFont val="Arial"/>
        <family val="2"/>
      </rPr>
      <t>2024 32 &amp; 33</t>
    </r>
  </si>
  <si>
    <t>EEP-2024 12 &amp; 13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</si>
  <si>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</si>
  <si>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</si>
  <si>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</si>
  <si>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</si>
  <si>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</si>
  <si>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</si>
  <si>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</si>
  <si>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</si>
  <si>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</si>
  <si>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</si>
  <si>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</si>
  <si>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</si>
  <si>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</si>
  <si>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</si>
  <si>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</si>
  <si>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</si>
  <si>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</si>
  <si>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</si>
  <si>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</si>
  <si>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</si>
  <si>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</si>
  <si>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</si>
  <si>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</si>
  <si>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</si>
  <si>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%Vbur(boltz)</t>
  </si>
  <si>
    <t>cone angle  (Boltz)</t>
  </si>
  <si>
    <t>Cone angle(Min)</t>
  </si>
  <si>
    <t>X Variable 1</t>
  </si>
  <si>
    <t>X Variable 2</t>
  </si>
  <si>
    <t>o</t>
  </si>
  <si>
    <t>Norm cone(sigma meta)</t>
  </si>
  <si>
    <t>Norm cone(charton)</t>
  </si>
  <si>
    <r>
      <rPr>
        <sz val="10"/>
        <color theme="1"/>
        <rFont val="Calibri"/>
        <family val="2"/>
      </rPr>
      <t>ΔΔ</t>
    </r>
    <r>
      <rPr>
        <sz val="7.5"/>
        <color theme="1"/>
        <rFont val="Arial"/>
        <family val="2"/>
      </rPr>
      <t>G</t>
    </r>
  </si>
  <si>
    <t>Predicted B/A</t>
  </si>
  <si>
    <t>predicted percentage B</t>
  </si>
  <si>
    <t>actual percentage B</t>
  </si>
  <si>
    <t>Cone angle(sigma meta(1.95146853256722/25.46)+charton(4.53535688165084/263.13)</t>
  </si>
  <si>
    <t>Log(B/A)</t>
  </si>
  <si>
    <t>cone(charton)</t>
  </si>
  <si>
    <t>Vbur(Charton)</t>
  </si>
  <si>
    <t>sigma para</t>
  </si>
  <si>
    <t>cone(sigma para)</t>
  </si>
  <si>
    <t>cone(sigma meta)</t>
  </si>
  <si>
    <t>Reaction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</si>
</sst>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980000"/>
      <name val="Arial"/>
      <family val="2"/>
    </font>
    <font>
      <i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7.5"/>
      <color theme="1"/>
      <name val="Arial"/>
      <family val="2"/>
    </font>
    <font>
      <sz val="10"/>
      <color rgb="FF000000"/>
      <name val="Arial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B9EDB9"/>
        <bgColor indexed="64"/>
      </patternFill>
    </fill>
    <fill>
      <patternFill patternType="solid">
        <fgColor rgb="FFB9EDB9"/>
        <bgColor rgb="FFEAD1DC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9" tint="0.79998168889431442"/>
        <bgColor rgb="FFEAD1D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0E0E3"/>
      </patternFill>
    </fill>
    <fill>
      <patternFill patternType="solid">
        <fgColor theme="9" tint="0.79998168889431442"/>
        <bgColor rgb="FFC9DAF8"/>
      </patternFill>
    </fill>
    <fill>
      <patternFill patternType="solid">
        <fgColor theme="9" tint="0.79998168889431442"/>
        <bgColor rgb="FFD9D2E9"/>
      </patternFill>
    </fill>
    <fill>
      <patternFill patternType="solid">
        <fgColor theme="9" tint="0.79998168889431442"/>
        <bgColor rgb="FFFFF2CC"/>
      </patternFill>
    </fill>
    <fill>
      <patternFill patternType="solid">
        <fgColor theme="2" tint="-4.9989318521683403E-2"/>
        <bgColor rgb="FFFFF2CC"/>
      </patternFill>
    </fill>
    <fill>
      <patternFill patternType="solid">
        <fgColor theme="2" tint="-4.9989318521683403E-2"/>
        <bgColor rgb="FFEAD1DC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4.9989318521683403E-2"/>
        <bgColor rgb="FFF4CCCC"/>
      </patternFill>
    </fill>
    <fill>
      <patternFill patternType="solid">
        <fgColor theme="2" tint="-4.9989318521683403E-2"/>
        <bgColor rgb="FFD0E0E3"/>
      </patternFill>
    </fill>
    <fill>
      <patternFill patternType="solid">
        <fgColor theme="2" tint="-4.9989318521683403E-2"/>
        <bgColor rgb="FFD9D2E9"/>
      </patternFill>
    </fill>
    <fill>
      <patternFill patternType="solid">
        <fgColor theme="2" tint="-0.249977111117893"/>
        <bgColor rgb="FFFCE5CD"/>
      </patternFill>
    </fill>
    <fill>
      <patternFill patternType="solid">
        <fgColor theme="2" tint="-0.249977111117893"/>
        <bgColor rgb="FFEAD1D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D9D2E9"/>
      </patternFill>
    </fill>
    <fill>
      <patternFill patternType="solid">
        <fgColor theme="4" tint="0.79998168889431442"/>
        <bgColor rgb="FFEAD1D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4CCCC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4" tint="0.79998168889431442"/>
        <bgColor rgb="FFD9D2E9"/>
      </patternFill>
    </fill>
    <fill>
      <patternFill patternType="solid">
        <fgColor rgb="FFF5C7D9"/>
        <bgColor indexed="64"/>
      </patternFill>
    </fill>
    <fill>
      <patternFill patternType="solid">
        <fgColor rgb="FFF5C7D9"/>
        <bgColor rgb="FFEAD1DC"/>
      </patternFill>
    </fill>
    <fill>
      <patternFill patternType="solid">
        <fgColor theme="4" tint="0.79998168889431442"/>
        <bgColor rgb="FFFFF2CC"/>
      </patternFill>
    </fill>
    <fill>
      <patternFill patternType="solid">
        <fgColor theme="4" tint="0.79998168889431442"/>
        <bgColor rgb="FFFCE5CD"/>
      </patternFill>
    </fill>
    <fill>
      <patternFill patternType="solid">
        <fgColor theme="2" tint="-4.9989318521683403E-2"/>
        <bgColor rgb="FFC9DAF8"/>
      </patternFill>
    </fill>
    <fill>
      <patternFill patternType="solid">
        <fgColor theme="2" tint="-4.9989318521683403E-2"/>
        <bgColor rgb="FFFCE5CD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1" xfId="0" applyFont="1" applyBorder="1"/>
    <xf numFmtId="0" fontId="1" fillId="2" borderId="0" xfId="0" applyFont="1" applyFill="1"/>
    <xf numFmtId="164" fontId="1" fillId="2" borderId="0" xfId="0" applyNumberFormat="1" applyFont="1" applyFill="1"/>
    <xf numFmtId="2" fontId="1" fillId="2" borderId="0" xfId="0" applyNumberFormat="1" applyFont="1" applyFill="1"/>
    <xf numFmtId="0" fontId="1" fillId="3" borderId="0" xfId="0" applyFont="1" applyFill="1"/>
    <xf numFmtId="164" fontId="1" fillId="3" borderId="0" xfId="0" applyNumberFormat="1" applyFont="1" applyFill="1"/>
    <xf numFmtId="2" fontId="1" fillId="3" borderId="0" xfId="0" applyNumberFormat="1" applyFont="1" applyFill="1"/>
    <xf numFmtId="0" fontId="2" fillId="3" borderId="0" xfId="0" applyFont="1" applyFill="1" applyAlignment="1">
      <alignment horizontal="left"/>
    </xf>
    <xf numFmtId="0" fontId="1" fillId="4" borderId="0" xfId="0" applyFont="1" applyFill="1"/>
    <xf numFmtId="164" fontId="1" fillId="4" borderId="0" xfId="0" applyNumberFormat="1" applyFont="1" applyFill="1"/>
    <xf numFmtId="2" fontId="1" fillId="4" borderId="0" xfId="0" applyNumberFormat="1" applyFont="1" applyFill="1"/>
    <xf numFmtId="0" fontId="2" fillId="4" borderId="0" xfId="0" applyFont="1" applyFill="1" applyAlignment="1">
      <alignment horizontal="left"/>
    </xf>
    <xf numFmtId="0" fontId="1" fillId="5" borderId="0" xfId="0" applyFont="1" applyFill="1"/>
    <xf numFmtId="164" fontId="1" fillId="5" borderId="0" xfId="0" applyNumberFormat="1" applyFont="1" applyFill="1"/>
    <xf numFmtId="2" fontId="1" fillId="5" borderId="0" xfId="0" applyNumberFormat="1" applyFont="1" applyFill="1"/>
    <xf numFmtId="0" fontId="1" fillId="6" borderId="0" xfId="0" applyFont="1" applyFill="1"/>
    <xf numFmtId="164" fontId="1" fillId="6" borderId="0" xfId="0" applyNumberFormat="1" applyFont="1" applyFill="1"/>
    <xf numFmtId="2" fontId="1" fillId="6" borderId="0" xfId="0" applyNumberFormat="1" applyFont="1" applyFill="1"/>
    <xf numFmtId="4" fontId="1" fillId="6" borderId="0" xfId="0" applyNumberFormat="1" applyFont="1" applyFill="1"/>
    <xf numFmtId="0" fontId="1" fillId="7" borderId="0" xfId="0" applyFont="1" applyFill="1"/>
    <xf numFmtId="164" fontId="1" fillId="7" borderId="0" xfId="0" applyNumberFormat="1" applyFont="1" applyFill="1"/>
    <xf numFmtId="2" fontId="1" fillId="7" borderId="0" xfId="0" applyNumberFormat="1" applyFont="1" applyFill="1"/>
    <xf numFmtId="0" fontId="1" fillId="8" borderId="0" xfId="0" applyFont="1" applyFill="1"/>
    <xf numFmtId="164" fontId="1" fillId="8" borderId="0" xfId="0" applyNumberFormat="1" applyFont="1" applyFill="1"/>
    <xf numFmtId="2" fontId="1" fillId="8" borderId="0" xfId="0" applyNumberFormat="1" applyFont="1" applyFill="1"/>
    <xf numFmtId="0" fontId="2" fillId="8" borderId="0" xfId="0" applyFont="1" applyFill="1" applyAlignment="1">
      <alignment horizontal="left"/>
    </xf>
    <xf numFmtId="10" fontId="1" fillId="6" borderId="0" xfId="0" applyNumberFormat="1" applyFont="1" applyFill="1"/>
    <xf numFmtId="0" fontId="6" fillId="0" borderId="1" xfId="0" applyFont="1" applyBorder="1"/>
    <xf numFmtId="0" fontId="6" fillId="5" borderId="0" xfId="0" applyFont="1" applyFill="1"/>
    <xf numFmtId="2" fontId="1" fillId="0" borderId="0" xfId="0" applyNumberFormat="1" applyFont="1"/>
    <xf numFmtId="0" fontId="6" fillId="0" borderId="0" xfId="0" applyFont="1"/>
    <xf numFmtId="0" fontId="0" fillId="0" borderId="2" xfId="0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Continuous"/>
    </xf>
    <xf numFmtId="0" fontId="7" fillId="0" borderId="1" xfId="0" applyFont="1" applyBorder="1"/>
    <xf numFmtId="0" fontId="2" fillId="9" borderId="0" xfId="0" applyFont="1" applyFill="1" applyAlignment="1">
      <alignment horizontal="left"/>
    </xf>
    <xf numFmtId="0" fontId="1" fillId="9" borderId="0" xfId="0" applyFont="1" applyFill="1"/>
    <xf numFmtId="2" fontId="1" fillId="10" borderId="0" xfId="0" applyNumberFormat="1" applyFont="1" applyFill="1"/>
    <xf numFmtId="164" fontId="1" fillId="9" borderId="0" xfId="0" applyNumberFormat="1" applyFont="1" applyFill="1"/>
    <xf numFmtId="2" fontId="1" fillId="9" borderId="0" xfId="0" applyNumberFormat="1" applyFont="1" applyFill="1"/>
    <xf numFmtId="0" fontId="0" fillId="9" borderId="0" xfId="0" applyFill="1"/>
    <xf numFmtId="10" fontId="1" fillId="9" borderId="0" xfId="0" applyNumberFormat="1" applyFont="1" applyFill="1"/>
    <xf numFmtId="0" fontId="2" fillId="11" borderId="0" xfId="0" applyFont="1" applyFill="1" applyAlignment="1">
      <alignment horizontal="left"/>
    </xf>
    <xf numFmtId="0" fontId="1" fillId="11" borderId="0" xfId="0" applyFont="1" applyFill="1"/>
    <xf numFmtId="2" fontId="1" fillId="12" borderId="0" xfId="0" applyNumberFormat="1" applyFont="1" applyFill="1"/>
    <xf numFmtId="164" fontId="1" fillId="11" borderId="0" xfId="0" applyNumberFormat="1" applyFont="1" applyFill="1"/>
    <xf numFmtId="2" fontId="1" fillId="11" borderId="0" xfId="0" applyNumberFormat="1" applyFont="1" applyFill="1"/>
    <xf numFmtId="0" fontId="0" fillId="13" borderId="0" xfId="0" applyFill="1"/>
    <xf numFmtId="0" fontId="1" fillId="14" borderId="0" xfId="0" applyFont="1" applyFill="1"/>
    <xf numFmtId="0" fontId="6" fillId="14" borderId="0" xfId="0" applyFont="1" applyFill="1"/>
    <xf numFmtId="164" fontId="1" fillId="14" borderId="0" xfId="0" applyNumberFormat="1" applyFont="1" applyFill="1"/>
    <xf numFmtId="2" fontId="1" fillId="14" borderId="0" xfId="0" applyNumberFormat="1" applyFont="1" applyFill="1"/>
    <xf numFmtId="0" fontId="1" fillId="12" borderId="0" xfId="0" applyFont="1" applyFill="1"/>
    <xf numFmtId="164" fontId="1" fillId="12" borderId="0" xfId="0" applyNumberFormat="1" applyFont="1" applyFill="1"/>
    <xf numFmtId="2" fontId="1" fillId="13" borderId="0" xfId="0" applyNumberFormat="1" applyFont="1" applyFill="1"/>
    <xf numFmtId="0" fontId="2" fillId="15" borderId="0" xfId="0" applyFont="1" applyFill="1" applyAlignment="1">
      <alignment horizontal="left"/>
    </xf>
    <xf numFmtId="0" fontId="1" fillId="15" borderId="0" xfId="0" applyFont="1" applyFill="1"/>
    <xf numFmtId="164" fontId="1" fillId="15" borderId="0" xfId="0" applyNumberFormat="1" applyFont="1" applyFill="1"/>
    <xf numFmtId="2" fontId="1" fillId="15" borderId="0" xfId="0" applyNumberFormat="1" applyFont="1" applyFill="1"/>
    <xf numFmtId="0" fontId="1" fillId="16" borderId="0" xfId="0" applyFont="1" applyFill="1"/>
    <xf numFmtId="164" fontId="1" fillId="16" borderId="0" xfId="0" applyNumberFormat="1" applyFont="1" applyFill="1"/>
    <xf numFmtId="2" fontId="1" fillId="16" borderId="0" xfId="0" applyNumberFormat="1" applyFont="1" applyFill="1"/>
    <xf numFmtId="0" fontId="1" fillId="17" borderId="0" xfId="0" applyFont="1" applyFill="1"/>
    <xf numFmtId="10" fontId="1" fillId="17" borderId="0" xfId="0" applyNumberFormat="1" applyFont="1" applyFill="1"/>
    <xf numFmtId="2" fontId="1" fillId="17" borderId="0" xfId="0" applyNumberFormat="1" applyFont="1" applyFill="1"/>
    <xf numFmtId="0" fontId="1" fillId="18" borderId="0" xfId="0" applyFont="1" applyFill="1"/>
    <xf numFmtId="2" fontId="1" fillId="19" borderId="0" xfId="0" applyNumberFormat="1" applyFont="1" applyFill="1"/>
    <xf numFmtId="164" fontId="1" fillId="18" borderId="0" xfId="0" applyNumberFormat="1" applyFont="1" applyFill="1"/>
    <xf numFmtId="2" fontId="1" fillId="18" borderId="0" xfId="0" applyNumberFormat="1" applyFont="1" applyFill="1"/>
    <xf numFmtId="0" fontId="0" fillId="20" borderId="0" xfId="0" applyFill="1"/>
    <xf numFmtId="0" fontId="1" fillId="21" borderId="0" xfId="0" applyFont="1" applyFill="1"/>
    <xf numFmtId="164" fontId="1" fillId="21" borderId="0" xfId="0" applyNumberFormat="1" applyFont="1" applyFill="1"/>
    <xf numFmtId="2" fontId="1" fillId="21" borderId="0" xfId="0" applyNumberFormat="1" applyFont="1" applyFill="1"/>
    <xf numFmtId="0" fontId="2" fillId="21" borderId="0" xfId="0" applyFont="1" applyFill="1" applyAlignment="1">
      <alignment horizontal="left"/>
    </xf>
    <xf numFmtId="0" fontId="1" fillId="19" borderId="0" xfId="0" applyFont="1" applyFill="1"/>
    <xf numFmtId="164" fontId="1" fillId="19" borderId="0" xfId="0" applyNumberFormat="1" applyFont="1" applyFill="1"/>
    <xf numFmtId="2" fontId="1" fillId="20" borderId="0" xfId="0" applyNumberFormat="1" applyFont="1" applyFill="1"/>
    <xf numFmtId="0" fontId="1" fillId="22" borderId="0" xfId="0" applyFont="1" applyFill="1"/>
    <xf numFmtId="0" fontId="6" fillId="22" borderId="0" xfId="0" applyFont="1" applyFill="1"/>
    <xf numFmtId="164" fontId="1" fillId="22" borderId="0" xfId="0" applyNumberFormat="1" applyFont="1" applyFill="1"/>
    <xf numFmtId="2" fontId="1" fillId="22" borderId="0" xfId="0" applyNumberFormat="1" applyFont="1" applyFill="1"/>
    <xf numFmtId="0" fontId="2" fillId="23" borderId="0" xfId="0" applyFont="1" applyFill="1" applyAlignment="1">
      <alignment horizontal="left"/>
    </xf>
    <xf numFmtId="0" fontId="1" fillId="23" borderId="0" xfId="0" applyFont="1" applyFill="1"/>
    <xf numFmtId="164" fontId="1" fillId="23" borderId="0" xfId="0" applyNumberFormat="1" applyFont="1" applyFill="1"/>
    <xf numFmtId="4" fontId="1" fillId="18" borderId="0" xfId="0" applyNumberFormat="1" applyFont="1" applyFill="1"/>
    <xf numFmtId="0" fontId="1" fillId="24" borderId="0" xfId="0" applyFont="1" applyFill="1"/>
    <xf numFmtId="2" fontId="1" fillId="25" borderId="0" xfId="0" applyNumberFormat="1" applyFont="1" applyFill="1"/>
    <xf numFmtId="164" fontId="1" fillId="24" borderId="0" xfId="0" applyNumberFormat="1" applyFont="1" applyFill="1"/>
    <xf numFmtId="2" fontId="1" fillId="24" borderId="0" xfId="0" applyNumberFormat="1" applyFont="1" applyFill="1"/>
    <xf numFmtId="0" fontId="0" fillId="26" borderId="0" xfId="0" applyFill="1"/>
    <xf numFmtId="0" fontId="2" fillId="27" borderId="0" xfId="0" applyFont="1" applyFill="1" applyAlignment="1">
      <alignment horizontal="left"/>
    </xf>
    <xf numFmtId="0" fontId="1" fillId="27" borderId="0" xfId="0" applyFont="1" applyFill="1"/>
    <xf numFmtId="164" fontId="1" fillId="27" borderId="0" xfId="0" applyNumberFormat="1" applyFont="1" applyFill="1"/>
    <xf numFmtId="2" fontId="1" fillId="27" borderId="0" xfId="0" applyNumberFormat="1" applyFont="1" applyFill="1"/>
    <xf numFmtId="0" fontId="2" fillId="26" borderId="0" xfId="0" applyFont="1" applyFill="1" applyAlignment="1">
      <alignment horizontal="left"/>
    </xf>
    <xf numFmtId="0" fontId="1" fillId="26" borderId="0" xfId="0" applyFont="1" applyFill="1"/>
    <xf numFmtId="164" fontId="1" fillId="26" borderId="0" xfId="0" applyNumberFormat="1" applyFont="1" applyFill="1"/>
    <xf numFmtId="2" fontId="1" fillId="26" borderId="0" xfId="0" applyNumberFormat="1" applyFont="1" applyFill="1"/>
    <xf numFmtId="0" fontId="1" fillId="20" borderId="0" xfId="0" applyFont="1" applyFill="1"/>
    <xf numFmtId="164" fontId="1" fillId="20" borderId="0" xfId="0" applyNumberFormat="1" applyFont="1" applyFill="1"/>
    <xf numFmtId="0" fontId="2" fillId="20" borderId="0" xfId="0" applyFont="1" applyFill="1" applyAlignment="1">
      <alignment horizontal="left"/>
    </xf>
    <xf numFmtId="0" fontId="6" fillId="20" borderId="0" xfId="0" applyFont="1" applyFill="1"/>
    <xf numFmtId="10" fontId="1" fillId="20" borderId="0" xfId="0" applyNumberFormat="1" applyFont="1" applyFill="1"/>
    <xf numFmtId="0" fontId="6" fillId="26" borderId="0" xfId="0" applyFont="1" applyFill="1"/>
    <xf numFmtId="0" fontId="1" fillId="28" borderId="0" xfId="0" applyFont="1" applyFill="1"/>
    <xf numFmtId="2" fontId="1" fillId="28" borderId="0" xfId="0" applyNumberFormat="1" applyFont="1" applyFill="1"/>
    <xf numFmtId="164" fontId="1" fillId="28" borderId="0" xfId="0" applyNumberFormat="1" applyFont="1" applyFill="1"/>
    <xf numFmtId="2" fontId="1" fillId="29" borderId="0" xfId="0" applyNumberFormat="1" applyFont="1" applyFill="1"/>
    <xf numFmtId="0" fontId="0" fillId="29" borderId="0" xfId="0" applyFill="1"/>
    <xf numFmtId="0" fontId="1" fillId="29" borderId="0" xfId="0" applyFont="1" applyFill="1"/>
    <xf numFmtId="164" fontId="1" fillId="29" borderId="0" xfId="0" applyNumberFormat="1" applyFont="1" applyFill="1"/>
    <xf numFmtId="0" fontId="2" fillId="30" borderId="0" xfId="0" applyFont="1" applyFill="1" applyAlignment="1">
      <alignment horizontal="left"/>
    </xf>
    <xf numFmtId="0" fontId="1" fillId="30" borderId="0" xfId="0" applyFont="1" applyFill="1"/>
    <xf numFmtId="164" fontId="1" fillId="30" borderId="0" xfId="0" applyNumberFormat="1" applyFont="1" applyFill="1"/>
    <xf numFmtId="2" fontId="1" fillId="30" borderId="0" xfId="0" applyNumberFormat="1" applyFont="1" applyFill="1"/>
    <xf numFmtId="0" fontId="1" fillId="31" borderId="0" xfId="0" applyFont="1" applyFill="1"/>
    <xf numFmtId="0" fontId="6" fillId="31" borderId="0" xfId="0" applyFont="1" applyFill="1"/>
    <xf numFmtId="164" fontId="1" fillId="31" borderId="0" xfId="0" applyNumberFormat="1" applyFont="1" applyFill="1"/>
    <xf numFmtId="2" fontId="1" fillId="31" borderId="0" xfId="0" applyNumberFormat="1" applyFont="1" applyFill="1"/>
    <xf numFmtId="0" fontId="2" fillId="32" borderId="0" xfId="0" applyFont="1" applyFill="1" applyAlignment="1">
      <alignment horizontal="left"/>
    </xf>
    <xf numFmtId="0" fontId="1" fillId="32" borderId="0" xfId="0" applyFont="1" applyFill="1"/>
    <xf numFmtId="164" fontId="1" fillId="32" borderId="0" xfId="0" applyNumberFormat="1" applyFont="1" applyFill="1"/>
    <xf numFmtId="2" fontId="1" fillId="32" borderId="0" xfId="0" applyNumberFormat="1" applyFont="1" applyFill="1"/>
    <xf numFmtId="0" fontId="1" fillId="33" borderId="0" xfId="0" applyFont="1" applyFill="1"/>
    <xf numFmtId="164" fontId="1" fillId="33" borderId="0" xfId="0" applyNumberFormat="1" applyFont="1" applyFill="1"/>
    <xf numFmtId="2" fontId="1" fillId="33" borderId="0" xfId="0" applyNumberFormat="1" applyFont="1" applyFill="1"/>
    <xf numFmtId="0" fontId="2" fillId="34" borderId="0" xfId="0" applyFont="1" applyFill="1" applyAlignment="1">
      <alignment horizontal="left"/>
    </xf>
    <xf numFmtId="0" fontId="1" fillId="34" borderId="0" xfId="0" applyFont="1" applyFill="1"/>
    <xf numFmtId="2" fontId="1" fillId="35" borderId="0" xfId="0" applyNumberFormat="1" applyFont="1" applyFill="1"/>
    <xf numFmtId="164" fontId="1" fillId="34" borderId="0" xfId="0" applyNumberFormat="1" applyFont="1" applyFill="1"/>
    <xf numFmtId="2" fontId="1" fillId="34" borderId="0" xfId="0" applyNumberFormat="1" applyFont="1" applyFill="1"/>
    <xf numFmtId="0" fontId="0" fillId="34" borderId="0" xfId="0" applyFill="1"/>
    <xf numFmtId="0" fontId="6" fillId="34" borderId="0" xfId="0" applyFont="1" applyFill="1"/>
    <xf numFmtId="10" fontId="1" fillId="34" borderId="0" xfId="0" applyNumberFormat="1" applyFont="1" applyFill="1"/>
    <xf numFmtId="0" fontId="1" fillId="36" borderId="0" xfId="0" applyFont="1" applyFill="1"/>
    <xf numFmtId="10" fontId="1" fillId="36" borderId="0" xfId="0" applyNumberFormat="1" applyFont="1" applyFill="1"/>
    <xf numFmtId="2" fontId="1" fillId="36" borderId="0" xfId="0" applyNumberFormat="1" applyFont="1" applyFill="1"/>
    <xf numFmtId="164" fontId="1" fillId="36" borderId="0" xfId="0" applyNumberFormat="1" applyFont="1" applyFill="1"/>
    <xf numFmtId="0" fontId="2" fillId="33" borderId="0" xfId="0" applyFont="1" applyFill="1" applyAlignment="1">
      <alignment horizontal="left"/>
    </xf>
    <xf numFmtId="4" fontId="1" fillId="36" borderId="0" xfId="0" applyNumberFormat="1" applyFont="1" applyFill="1"/>
    <xf numFmtId="0" fontId="1" fillId="37" borderId="0" xfId="0" applyFont="1" applyFill="1"/>
    <xf numFmtId="164" fontId="1" fillId="37" borderId="0" xfId="0" applyNumberFormat="1" applyFont="1" applyFill="1"/>
    <xf numFmtId="2" fontId="1" fillId="37" borderId="0" xfId="0" applyNumberFormat="1" applyFont="1" applyFill="1"/>
    <xf numFmtId="0" fontId="10" fillId="0" borderId="0" xfId="0" applyFont="1"/>
    <xf numFmtId="0" fontId="8" fillId="0" borderId="1" xfId="0" applyFont="1" applyBorder="1"/>
    <xf numFmtId="0" fontId="2" fillId="38" borderId="0" xfId="0" applyFont="1" applyFill="1" applyAlignment="1">
      <alignment horizontal="left"/>
    </xf>
    <xf numFmtId="0" fontId="1" fillId="38" borderId="0" xfId="0" applyFont="1" applyFill="1"/>
    <xf numFmtId="164" fontId="1" fillId="38" borderId="0" xfId="0" applyNumberFormat="1" applyFont="1" applyFill="1"/>
    <xf numFmtId="2" fontId="1" fillId="38" borderId="0" xfId="0" applyNumberFormat="1" applyFont="1" applyFill="1"/>
    <xf numFmtId="0" fontId="1" fillId="39" borderId="0" xfId="0" applyFont="1" applyFill="1"/>
    <xf numFmtId="164" fontId="1" fillId="39" borderId="0" xfId="0" applyNumberFormat="1" applyFont="1" applyFill="1"/>
    <xf numFmtId="2" fontId="1" fillId="39" borderId="0" xfId="0" applyNumberFormat="1" applyFont="1" applyFill="1"/>
    <xf numFmtId="10" fontId="1" fillId="18" borderId="0" xfId="0" applyNumberFormat="1" applyFont="1" applyFill="1"/>
    <xf numFmtId="2" fontId="1" fillId="23" borderId="0" xfId="0" applyNumberFormat="1" applyFont="1" applyFill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93398"/>
      <color rgb="FF7F0040"/>
      <color rgb="FF157C7F"/>
      <color rgb="FF064E90"/>
      <color rgb="FF0C638A"/>
      <color rgb="FF3E277D"/>
      <color rgb="FF66166C"/>
      <color rgb="FF989898"/>
      <color rgb="FFF5C7D9"/>
      <color rgb="FFBA20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Training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F0040"/>
              </a:solidFill>
              <a:ln w="9525">
                <a:noFill/>
              </a:ln>
              <a:effectLst/>
            </c:spPr>
          </c:marker>
          <c:xVal>
            <c:numRef>
              <c:f>'Full Training + validation'!$V$23:$V$44</c:f>
              <c:numCache>
                <c:formatCode>0.00</c:formatCode>
                <c:ptCount val="22"/>
                <c:pt idx="0">
                  <c:v>1.595585526826333</c:v>
                </c:pt>
                <c:pt idx="1">
                  <c:v>0.99123648392219033</c:v>
                </c:pt>
                <c:pt idx="2">
                  <c:v>-0.25474306586396717</c:v>
                </c:pt>
                <c:pt idx="3">
                  <c:v>1.7450146872601209</c:v>
                </c:pt>
                <c:pt idx="4">
                  <c:v>-0.69556364247050928</c:v>
                </c:pt>
                <c:pt idx="5">
                  <c:v>0.61439190926005272</c:v>
                </c:pt>
                <c:pt idx="6">
                  <c:v>-0.29797925830154015</c:v>
                </c:pt>
                <c:pt idx="7">
                  <c:v>-0.62078440598227913</c:v>
                </c:pt>
                <c:pt idx="8">
                  <c:v>0.29070901989757381</c:v>
                </c:pt>
                <c:pt idx="9">
                  <c:v>-4.9587442926128815E-2</c:v>
                </c:pt>
                <c:pt idx="10">
                  <c:v>-0.56754939329520815</c:v>
                </c:pt>
                <c:pt idx="11">
                  <c:v>-0.75117935154108739</c:v>
                </c:pt>
                <c:pt idx="12">
                  <c:v>-0.74735187579228024</c:v>
                </c:pt>
                <c:pt idx="13">
                  <c:v>-0.1257496909661617</c:v>
                </c:pt>
                <c:pt idx="14">
                  <c:v>0.6912229957690178</c:v>
                </c:pt>
                <c:pt idx="15">
                  <c:v>-0.41284134913213522</c:v>
                </c:pt>
                <c:pt idx="16">
                  <c:v>1.3445292867177749</c:v>
                </c:pt>
                <c:pt idx="17">
                  <c:v>0.87171704564628627</c:v>
                </c:pt>
                <c:pt idx="18">
                  <c:v>-3.8351484388420377E-2</c:v>
                </c:pt>
                <c:pt idx="19">
                  <c:v>1.5126523149827651</c:v>
                </c:pt>
                <c:pt idx="20">
                  <c:v>-0.51583286978596632</c:v>
                </c:pt>
                <c:pt idx="21">
                  <c:v>1.6306689395977298</c:v>
                </c:pt>
              </c:numCache>
            </c:numRef>
          </c:xVal>
          <c:yVal>
            <c:numRef>
              <c:f>'Full Training + validation'!$W$23:$W$44</c:f>
              <c:numCache>
                <c:formatCode>0.00</c:formatCode>
                <c:ptCount val="22"/>
                <c:pt idx="0">
                  <c:v>2.6219587905324926</c:v>
                </c:pt>
                <c:pt idx="1">
                  <c:v>2.3597251343091394</c:v>
                </c:pt>
                <c:pt idx="2">
                  <c:v>1.2230283954755952</c:v>
                </c:pt>
                <c:pt idx="3">
                  <c:v>2.5572159763190125</c:v>
                </c:pt>
                <c:pt idx="4">
                  <c:v>0.80736187363330503</c:v>
                </c:pt>
                <c:pt idx="5">
                  <c:v>2.4527743811450584</c:v>
                </c:pt>
                <c:pt idx="6">
                  <c:v>0.63033232979825971</c:v>
                </c:pt>
                <c:pt idx="7">
                  <c:v>0.6831170878555507</c:v>
                </c:pt>
                <c:pt idx="8">
                  <c:v>1.340406288464193</c:v>
                </c:pt>
                <c:pt idx="9">
                  <c:v>1.3338396930522434</c:v>
                </c:pt>
                <c:pt idx="10">
                  <c:v>0.53692117008535167</c:v>
                </c:pt>
                <c:pt idx="11">
                  <c:v>0.62724435757634533</c:v>
                </c:pt>
                <c:pt idx="12">
                  <c:v>0.649246159657485</c:v>
                </c:pt>
                <c:pt idx="13">
                  <c:v>1.3806266853623839</c:v>
                </c:pt>
                <c:pt idx="14">
                  <c:v>2.4648495780983879</c:v>
                </c:pt>
                <c:pt idx="15">
                  <c:v>1.1417667772527205</c:v>
                </c:pt>
                <c:pt idx="16">
                  <c:v>2.2334015172263912</c:v>
                </c:pt>
                <c:pt idx="17">
                  <c:v>2.3713422426626618</c:v>
                </c:pt>
                <c:pt idx="18">
                  <c:v>0.74867798957591547</c:v>
                </c:pt>
                <c:pt idx="19">
                  <c:v>2.4424970313279828</c:v>
                </c:pt>
                <c:pt idx="20">
                  <c:v>0.63772877127991323</c:v>
                </c:pt>
                <c:pt idx="21">
                  <c:v>2.609113921993448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A-43F2-A305-EDBA3E231754}"/>
            </c:ext>
          </c:extLst>
        </c:ser>
        <c:ser>
          <c:idx val="1"/>
          <c:order val="1"/>
          <c:tx>
            <c:v>Validation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093398"/>
                </a:solidFill>
              </a:ln>
              <a:effectLst/>
            </c:spPr>
          </c:marker>
          <c:xVal>
            <c:numRef>
              <c:f>'Full Training + validation'!$V$7:$V$22</c:f>
              <c:numCache>
                <c:formatCode>0.00</c:formatCode>
                <c:ptCount val="16"/>
                <c:pt idx="0">
                  <c:v>-0.36671935575980447</c:v>
                </c:pt>
                <c:pt idx="1">
                  <c:v>-0.65983962474136404</c:v>
                </c:pt>
                <c:pt idx="2">
                  <c:v>-0.56068337176436511</c:v>
                </c:pt>
                <c:pt idx="3">
                  <c:v>-0.74726797587868898</c:v>
                </c:pt>
                <c:pt idx="4">
                  <c:v>1.425252976797361</c:v>
                </c:pt>
                <c:pt idx="5">
                  <c:v>0.65226524808288666</c:v>
                </c:pt>
                <c:pt idx="6">
                  <c:v>-0.47002638789559903</c:v>
                </c:pt>
                <c:pt idx="7">
                  <c:v>1.2853771992480076</c:v>
                </c:pt>
                <c:pt idx="8">
                  <c:v>-0.50660756272891638</c:v>
                </c:pt>
                <c:pt idx="9">
                  <c:v>-0.65215033542009948</c:v>
                </c:pt>
                <c:pt idx="10">
                  <c:v>0.4508118715227144</c:v>
                </c:pt>
                <c:pt idx="11">
                  <c:v>1.2443017637621994</c:v>
                </c:pt>
                <c:pt idx="12">
                  <c:v>1.2282038445085051</c:v>
                </c:pt>
                <c:pt idx="13">
                  <c:v>0.5980220385704369</c:v>
                </c:pt>
                <c:pt idx="14">
                  <c:v>0.56415656325430852</c:v>
                </c:pt>
                <c:pt idx="15">
                  <c:v>-0.21129962351926446</c:v>
                </c:pt>
              </c:numCache>
            </c:numRef>
          </c:xVal>
          <c:yVal>
            <c:numRef>
              <c:f>'Full Training + validation'!$W$7:$W$22</c:f>
              <c:numCache>
                <c:formatCode>0.00</c:formatCode>
                <c:ptCount val="16"/>
                <c:pt idx="0">
                  <c:v>1.151616670370645</c:v>
                </c:pt>
                <c:pt idx="1">
                  <c:v>0.77114291394163481</c:v>
                </c:pt>
                <c:pt idx="2">
                  <c:v>0.74501024682232853</c:v>
                </c:pt>
                <c:pt idx="3">
                  <c:v>0.67973988534888874</c:v>
                </c:pt>
                <c:pt idx="4">
                  <c:v>2.2526688200349589</c:v>
                </c:pt>
                <c:pt idx="5">
                  <c:v>2.1636864308434571</c:v>
                </c:pt>
                <c:pt idx="6">
                  <c:v>0.64323038541029354</c:v>
                </c:pt>
                <c:pt idx="7">
                  <c:v>2.3923567653970688</c:v>
                </c:pt>
                <c:pt idx="8">
                  <c:v>0.54155312841822301</c:v>
                </c:pt>
                <c:pt idx="9">
                  <c:v>0.57513482633154134</c:v>
                </c:pt>
                <c:pt idx="10">
                  <c:v>2.1176876656901644</c:v>
                </c:pt>
                <c:pt idx="11">
                  <c:v>2.7006336103341408</c:v>
                </c:pt>
                <c:pt idx="12">
                  <c:v>2.827476687157207</c:v>
                </c:pt>
                <c:pt idx="13">
                  <c:v>2.2490054325576225</c:v>
                </c:pt>
                <c:pt idx="14">
                  <c:v>2.0995748702601698</c:v>
                </c:pt>
                <c:pt idx="15">
                  <c:v>1.4454718150553854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AA-43F2-A305-EDBA3E231754}"/>
            </c:ext>
          </c:extLst>
        </c:ser>
        <c:ser>
          <c:idx val="2"/>
          <c:order val="2"/>
          <c:tx>
            <c:v>TrixiePhos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093398"/>
                </a:solidFill>
              </a:ln>
              <a:effectLst/>
            </c:spPr>
          </c:marker>
          <c:xVal>
            <c:numRef>
              <c:f>'Full Training + validation'!$V$2:$V$6</c:f>
              <c:numCache>
                <c:formatCode>0.00</c:formatCode>
                <c:ptCount val="5"/>
                <c:pt idx="0">
                  <c:v>-0.54450400204623883</c:v>
                </c:pt>
                <c:pt idx="1">
                  <c:v>-0.50783407992184604</c:v>
                </c:pt>
                <c:pt idx="2">
                  <c:v>0.14745288848840082</c:v>
                </c:pt>
                <c:pt idx="3">
                  <c:v>1.848161157689775</c:v>
                </c:pt>
                <c:pt idx="4">
                  <c:v>1.8945215671162077</c:v>
                </c:pt>
              </c:numCache>
            </c:numRef>
          </c:xVal>
          <c:yVal>
            <c:numRef>
              <c:f>'Full Training + validation'!$W$2:$W$6</c:f>
              <c:numCache>
                <c:formatCode>0.00</c:formatCode>
                <c:ptCount val="5"/>
                <c:pt idx="0">
                  <c:v>0.81908463186277225</c:v>
                </c:pt>
                <c:pt idx="1">
                  <c:v>0.97286876538891165</c:v>
                </c:pt>
                <c:pt idx="2">
                  <c:v>1.7417894330196064</c:v>
                </c:pt>
                <c:pt idx="3">
                  <c:v>3.0814379907716889</c:v>
                </c:pt>
                <c:pt idx="4">
                  <c:v>3.4071013799815977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AA-43F2-A305-EDBA3E231754}"/>
            </c:ext>
          </c:extLst>
        </c:ser>
        <c:ser>
          <c:idx val="3"/>
          <c:order val="3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65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'Full Training + validation'!$V$2:$V$44</c:f>
              <c:numCache>
                <c:formatCode>0.00</c:formatCode>
                <c:ptCount val="43"/>
                <c:pt idx="0">
                  <c:v>-0.54450400204623883</c:v>
                </c:pt>
                <c:pt idx="1">
                  <c:v>-0.50783407992184604</c:v>
                </c:pt>
                <c:pt idx="2">
                  <c:v>0.14745288848840082</c:v>
                </c:pt>
                <c:pt idx="3">
                  <c:v>1.848161157689775</c:v>
                </c:pt>
                <c:pt idx="4">
                  <c:v>1.8945215671162077</c:v>
                </c:pt>
                <c:pt idx="5">
                  <c:v>-0.36671935575980447</c:v>
                </c:pt>
                <c:pt idx="6">
                  <c:v>-0.65983962474136404</c:v>
                </c:pt>
                <c:pt idx="7">
                  <c:v>-0.56068337176436511</c:v>
                </c:pt>
                <c:pt idx="8">
                  <c:v>-0.74726797587868898</c:v>
                </c:pt>
                <c:pt idx="9">
                  <c:v>1.425252976797361</c:v>
                </c:pt>
                <c:pt idx="10">
                  <c:v>0.65226524808288666</c:v>
                </c:pt>
                <c:pt idx="11">
                  <c:v>-0.47002638789559903</c:v>
                </c:pt>
                <c:pt idx="12">
                  <c:v>1.2853771992480076</c:v>
                </c:pt>
                <c:pt idx="13">
                  <c:v>-0.50660756272891638</c:v>
                </c:pt>
                <c:pt idx="14">
                  <c:v>-0.65215033542009948</c:v>
                </c:pt>
                <c:pt idx="15">
                  <c:v>0.4508118715227144</c:v>
                </c:pt>
                <c:pt idx="16">
                  <c:v>1.2443017637621994</c:v>
                </c:pt>
                <c:pt idx="17">
                  <c:v>1.2282038445085051</c:v>
                </c:pt>
                <c:pt idx="18">
                  <c:v>0.5980220385704369</c:v>
                </c:pt>
                <c:pt idx="19">
                  <c:v>0.56415656325430852</c:v>
                </c:pt>
                <c:pt idx="20">
                  <c:v>-0.21129962351926446</c:v>
                </c:pt>
                <c:pt idx="21">
                  <c:v>1.595585526826333</c:v>
                </c:pt>
                <c:pt idx="22">
                  <c:v>0.99123648392219033</c:v>
                </c:pt>
                <c:pt idx="23">
                  <c:v>-0.25474306586396717</c:v>
                </c:pt>
                <c:pt idx="24">
                  <c:v>1.7450146872601209</c:v>
                </c:pt>
                <c:pt idx="25">
                  <c:v>-0.69556364247050928</c:v>
                </c:pt>
                <c:pt idx="26">
                  <c:v>0.61439190926005272</c:v>
                </c:pt>
                <c:pt idx="27">
                  <c:v>-0.29797925830154015</c:v>
                </c:pt>
                <c:pt idx="28">
                  <c:v>-0.62078440598227913</c:v>
                </c:pt>
                <c:pt idx="29">
                  <c:v>0.29070901989757381</c:v>
                </c:pt>
                <c:pt idx="30">
                  <c:v>-4.9587442926128815E-2</c:v>
                </c:pt>
                <c:pt idx="31">
                  <c:v>-0.56754939329520815</c:v>
                </c:pt>
                <c:pt idx="32">
                  <c:v>-0.75117935154108739</c:v>
                </c:pt>
                <c:pt idx="33">
                  <c:v>-0.74735187579228024</c:v>
                </c:pt>
                <c:pt idx="34">
                  <c:v>-0.1257496909661617</c:v>
                </c:pt>
                <c:pt idx="35">
                  <c:v>0.6912229957690178</c:v>
                </c:pt>
                <c:pt idx="36">
                  <c:v>-0.41284134913213522</c:v>
                </c:pt>
                <c:pt idx="37">
                  <c:v>1.3445292867177749</c:v>
                </c:pt>
                <c:pt idx="38">
                  <c:v>0.87171704564628627</c:v>
                </c:pt>
                <c:pt idx="39">
                  <c:v>-3.8351484388420377E-2</c:v>
                </c:pt>
                <c:pt idx="40">
                  <c:v>1.5126523149827651</c:v>
                </c:pt>
                <c:pt idx="41">
                  <c:v>-0.51583286978596632</c:v>
                </c:pt>
                <c:pt idx="42">
                  <c:v>1.6306689395977298</c:v>
                </c:pt>
              </c:numCache>
            </c:numRef>
          </c:xVal>
          <c:yVal>
            <c:numRef>
              <c:f>'Full Training + validation'!$W$2:$W$44</c:f>
              <c:numCache>
                <c:formatCode>0.00</c:formatCode>
                <c:ptCount val="43"/>
                <c:pt idx="0">
                  <c:v>0.81908463186277225</c:v>
                </c:pt>
                <c:pt idx="1">
                  <c:v>0.97286876538891165</c:v>
                </c:pt>
                <c:pt idx="2">
                  <c:v>1.7417894330196064</c:v>
                </c:pt>
                <c:pt idx="3">
                  <c:v>3.0814379907716889</c:v>
                </c:pt>
                <c:pt idx="4">
                  <c:v>3.4071013799815977</c:v>
                </c:pt>
                <c:pt idx="5">
                  <c:v>1.151616670370645</c:v>
                </c:pt>
                <c:pt idx="6">
                  <c:v>0.77114291394163481</c:v>
                </c:pt>
                <c:pt idx="7">
                  <c:v>0.74501024682232853</c:v>
                </c:pt>
                <c:pt idx="8">
                  <c:v>0.67973988534888874</c:v>
                </c:pt>
                <c:pt idx="9">
                  <c:v>2.2526688200349589</c:v>
                </c:pt>
                <c:pt idx="10">
                  <c:v>2.1636864308434571</c:v>
                </c:pt>
                <c:pt idx="11">
                  <c:v>0.64323038541029354</c:v>
                </c:pt>
                <c:pt idx="12">
                  <c:v>2.3923567653970688</c:v>
                </c:pt>
                <c:pt idx="13">
                  <c:v>0.54155312841822301</c:v>
                </c:pt>
                <c:pt idx="14">
                  <c:v>0.57513482633154134</c:v>
                </c:pt>
                <c:pt idx="15">
                  <c:v>2.1176876656901644</c:v>
                </c:pt>
                <c:pt idx="16">
                  <c:v>2.7006336103341408</c:v>
                </c:pt>
                <c:pt idx="17">
                  <c:v>2.827476687157207</c:v>
                </c:pt>
                <c:pt idx="18">
                  <c:v>2.2490054325576225</c:v>
                </c:pt>
                <c:pt idx="19">
                  <c:v>2.0995748702601698</c:v>
                </c:pt>
                <c:pt idx="20">
                  <c:v>1.4454718150553854</c:v>
                </c:pt>
                <c:pt idx="21">
                  <c:v>2.6219587905324926</c:v>
                </c:pt>
                <c:pt idx="22">
                  <c:v>2.3597251343091394</c:v>
                </c:pt>
                <c:pt idx="23">
                  <c:v>1.2230283954755952</c:v>
                </c:pt>
                <c:pt idx="24">
                  <c:v>2.5572159763190125</c:v>
                </c:pt>
                <c:pt idx="25">
                  <c:v>0.80736187363330503</c:v>
                </c:pt>
                <c:pt idx="26">
                  <c:v>2.4527743811450584</c:v>
                </c:pt>
                <c:pt idx="27">
                  <c:v>0.63033232979825971</c:v>
                </c:pt>
                <c:pt idx="28">
                  <c:v>0.6831170878555507</c:v>
                </c:pt>
                <c:pt idx="29">
                  <c:v>1.340406288464193</c:v>
                </c:pt>
                <c:pt idx="30">
                  <c:v>1.3338396930522434</c:v>
                </c:pt>
                <c:pt idx="31">
                  <c:v>0.53692117008535167</c:v>
                </c:pt>
                <c:pt idx="32">
                  <c:v>0.62724435757634533</c:v>
                </c:pt>
                <c:pt idx="33">
                  <c:v>0.649246159657485</c:v>
                </c:pt>
                <c:pt idx="34">
                  <c:v>1.3806266853623839</c:v>
                </c:pt>
                <c:pt idx="35">
                  <c:v>2.4648495780983879</c:v>
                </c:pt>
                <c:pt idx="36">
                  <c:v>1.1417667772527205</c:v>
                </c:pt>
                <c:pt idx="37">
                  <c:v>2.2334015172263912</c:v>
                </c:pt>
                <c:pt idx="38">
                  <c:v>2.3713422426626618</c:v>
                </c:pt>
                <c:pt idx="39">
                  <c:v>0.74867798957591547</c:v>
                </c:pt>
                <c:pt idx="40">
                  <c:v>2.4424970313279828</c:v>
                </c:pt>
                <c:pt idx="41">
                  <c:v>0.63772877127991323</c:v>
                </c:pt>
                <c:pt idx="42">
                  <c:v>2.609113921993448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AA-43F2-A305-EDBA3E231754}"/>
            </c:ext>
          </c:extLst>
        </c:ser>
        <c:ser>
          <c:idx val="4"/>
          <c:order val="4"/>
          <c:tx>
            <c:v>validation + Trixie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'Full Training + validation'!$V$2:$V$22</c:f>
              <c:numCache>
                <c:formatCode>0.00</c:formatCode>
                <c:ptCount val="21"/>
                <c:pt idx="0">
                  <c:v>-0.54450400204623883</c:v>
                </c:pt>
                <c:pt idx="1">
                  <c:v>-0.50783407992184604</c:v>
                </c:pt>
                <c:pt idx="2">
                  <c:v>0.14745288848840082</c:v>
                </c:pt>
                <c:pt idx="3">
                  <c:v>1.848161157689775</c:v>
                </c:pt>
                <c:pt idx="4">
                  <c:v>1.8945215671162077</c:v>
                </c:pt>
                <c:pt idx="5">
                  <c:v>-0.36671935575980447</c:v>
                </c:pt>
                <c:pt idx="6">
                  <c:v>-0.65983962474136404</c:v>
                </c:pt>
                <c:pt idx="7">
                  <c:v>-0.56068337176436511</c:v>
                </c:pt>
                <c:pt idx="8">
                  <c:v>-0.74726797587868898</c:v>
                </c:pt>
                <c:pt idx="9">
                  <c:v>1.425252976797361</c:v>
                </c:pt>
                <c:pt idx="10">
                  <c:v>0.65226524808288666</c:v>
                </c:pt>
                <c:pt idx="11">
                  <c:v>-0.47002638789559903</c:v>
                </c:pt>
                <c:pt idx="12">
                  <c:v>1.2853771992480076</c:v>
                </c:pt>
                <c:pt idx="13">
                  <c:v>-0.50660756272891638</c:v>
                </c:pt>
                <c:pt idx="14">
                  <c:v>-0.65215033542009948</c:v>
                </c:pt>
                <c:pt idx="15">
                  <c:v>0.4508118715227144</c:v>
                </c:pt>
                <c:pt idx="16">
                  <c:v>1.2443017637621994</c:v>
                </c:pt>
                <c:pt idx="17">
                  <c:v>1.2282038445085051</c:v>
                </c:pt>
                <c:pt idx="18">
                  <c:v>0.5980220385704369</c:v>
                </c:pt>
                <c:pt idx="19">
                  <c:v>0.56415656325430852</c:v>
                </c:pt>
                <c:pt idx="20">
                  <c:v>-0.21129962351926446</c:v>
                </c:pt>
              </c:numCache>
            </c:numRef>
          </c:xVal>
          <c:yVal>
            <c:numRef>
              <c:f>'Full Training + validation'!$W$2:$W$22</c:f>
              <c:numCache>
                <c:formatCode>0.00</c:formatCode>
                <c:ptCount val="21"/>
                <c:pt idx="0">
                  <c:v>0.81908463186277225</c:v>
                </c:pt>
                <c:pt idx="1">
                  <c:v>0.97286876538891165</c:v>
                </c:pt>
                <c:pt idx="2">
                  <c:v>1.7417894330196064</c:v>
                </c:pt>
                <c:pt idx="3">
                  <c:v>3.0814379907716889</c:v>
                </c:pt>
                <c:pt idx="4">
                  <c:v>3.4071013799815977</c:v>
                </c:pt>
                <c:pt idx="5">
                  <c:v>1.151616670370645</c:v>
                </c:pt>
                <c:pt idx="6">
                  <c:v>0.77114291394163481</c:v>
                </c:pt>
                <c:pt idx="7">
                  <c:v>0.74501024682232853</c:v>
                </c:pt>
                <c:pt idx="8">
                  <c:v>0.67973988534888874</c:v>
                </c:pt>
                <c:pt idx="9">
                  <c:v>2.2526688200349589</c:v>
                </c:pt>
                <c:pt idx="10">
                  <c:v>2.1636864308434571</c:v>
                </c:pt>
                <c:pt idx="11">
                  <c:v>0.64323038541029354</c:v>
                </c:pt>
                <c:pt idx="12">
                  <c:v>2.3923567653970688</c:v>
                </c:pt>
                <c:pt idx="13">
                  <c:v>0.54155312841822301</c:v>
                </c:pt>
                <c:pt idx="14">
                  <c:v>0.57513482633154134</c:v>
                </c:pt>
                <c:pt idx="15">
                  <c:v>2.1176876656901644</c:v>
                </c:pt>
                <c:pt idx="16">
                  <c:v>2.7006336103341408</c:v>
                </c:pt>
                <c:pt idx="17">
                  <c:v>2.827476687157207</c:v>
                </c:pt>
                <c:pt idx="18">
                  <c:v>2.2490054325576225</c:v>
                </c:pt>
                <c:pt idx="19">
                  <c:v>2.0995748702601698</c:v>
                </c:pt>
                <c:pt idx="20">
                  <c:v>1.4454718150553854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AA-43F2-A305-EDBA3E23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71632"/>
        <c:axId val="733769168"/>
      </c:scatterChart>
      <c:valAx>
        <c:axId val="733771632"/>
        <c:scaling>
          <c:orientation val="minMax"/>
          <c:max val="2"/>
          <c:min val="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</a:rPr>
                  <a:t>Measured </a:t>
                </a:r>
                <a:r>
                  <a:rPr lang="el-GR" sz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</a:rPr>
                  <a:t>ΔΔ</a:t>
                </a:r>
                <a:r>
                  <a:rPr lang="en-US" sz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</a:rPr>
                  <a:t>G</a:t>
                </a:r>
                <a:r>
                  <a:rPr lang="en-US" sz="1200" b="0" i="0" u="none" strike="noStrike" baseline="3000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Helvetica" pitchFamily="2" charset="0"/>
                  </a:rPr>
                  <a:t>‡</a:t>
                </a:r>
                <a:r>
                  <a:rPr lang="en-US"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Helvetica" pitchFamily="2" charset="0"/>
                  </a:rPr>
                  <a:t> (kcal/mol)</a:t>
                </a:r>
                <a:endParaRPr lang="en-US" sz="1200" baseline="3000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989898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-Light" panose="020B0400000000000000" pitchFamily="34" charset="0"/>
                <a:ea typeface="+mn-ea"/>
                <a:cs typeface="+mn-cs"/>
              </a:defRPr>
            </a:pPr>
            <a:endParaRPr lang="en-US"/>
          </a:p>
        </c:txPr>
        <c:crossAx val="733769168"/>
        <c:crosses val="autoZero"/>
        <c:crossBetween val="midCat"/>
      </c:valAx>
      <c:valAx>
        <c:axId val="733769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</a:rPr>
                  <a:t>Predicted </a:t>
                </a:r>
                <a:r>
                  <a:rPr lang="el-GR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</a:rPr>
                  <a:t>ΔΔ</a:t>
                </a: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</a:rPr>
                  <a:t>G</a:t>
                </a:r>
                <a:r>
                  <a:rPr lang="en-US" sz="1200" b="0" i="0" u="none" strike="noStrike" kern="1200" baseline="3000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Helvetica" pitchFamily="2" charset="0"/>
                  </a:rPr>
                  <a:t>‡</a:t>
                </a: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Helvetica" pitchFamily="2" charset="0"/>
                  </a:rPr>
                  <a:t> </a:t>
                </a:r>
                <a:endParaRPr lang="en-US" sz="1200" b="0" i="0" u="none" strike="noStrike" kern="1200" baseline="3000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-Light" panose="020B0400000000000000" pitchFamily="34" charset="0"/>
                <a:ea typeface="+mn-ea"/>
                <a:cs typeface="+mn-cs"/>
              </a:defRPr>
            </a:pPr>
            <a:endParaRPr lang="en-US"/>
          </a:p>
        </c:txPr>
        <c:crossAx val="7337716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LOLO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v>CataCXium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691140611493152"/>
                  <c:y val="-9.598666123896568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CataCXium A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6.0044x + 0.0082</a:t>
                    </a:r>
                    <a:br>
                      <a:rPr lang="en-US" baseline="0"/>
                    </a:br>
                    <a:r>
                      <a:rPr lang="en-US" baseline="0"/>
                      <a:t>R² = 0.9985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Cone: 168.2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Isosteric!$K$5:$K$7</c:f>
              <c:numCache>
                <c:formatCode>General</c:formatCode>
                <c:ptCount val="3"/>
                <c:pt idx="0">
                  <c:v>-7.0000000000000007E-2</c:v>
                </c:pt>
                <c:pt idx="1">
                  <c:v>0.12</c:v>
                </c:pt>
                <c:pt idx="2">
                  <c:v>-7.0000000000000007E-2</c:v>
                </c:pt>
              </c:numCache>
            </c:numRef>
          </c:xVal>
          <c:yVal>
            <c:numRef>
              <c:f>Isosteric!$X$5:$X$7</c:f>
              <c:numCache>
                <c:formatCode>0.00</c:formatCode>
                <c:ptCount val="3"/>
                <c:pt idx="0">
                  <c:v>-0.38645318412759438</c:v>
                </c:pt>
                <c:pt idx="1">
                  <c:v>0.72875947516787443</c:v>
                </c:pt>
                <c:pt idx="2">
                  <c:v>-0.43770713554352531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56-4C9B-AF19-4413F54B44B7}"/>
            </c:ext>
          </c:extLst>
        </c:ser>
        <c:ser>
          <c:idx val="1"/>
          <c:order val="2"/>
          <c:tx>
            <c:v>P(o-tol)3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434158417430583"/>
                  <c:y val="-4.76707555918131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P(o-tol)3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6.7341x + 0.0693</a:t>
                    </a:r>
                    <a:br>
                      <a:rPr lang="en-US" baseline="0"/>
                    </a:br>
                    <a:r>
                      <a:rPr lang="en-US" baseline="0"/>
                      <a:t>R² = 0.9797</a:t>
                    </a:r>
                  </a:p>
                  <a:p>
                    <a:pPr>
                      <a:defRPr/>
                    </a:pPr>
                    <a:r>
                      <a:rPr lang="en-US"/>
                      <a:t>Cone: 162.5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Isosteric!$K$8:$K$11</c:f>
              <c:numCache>
                <c:formatCode>General</c:formatCode>
                <c:ptCount val="4"/>
                <c:pt idx="0">
                  <c:v>-7.0000000000000007E-2</c:v>
                </c:pt>
                <c:pt idx="1">
                  <c:v>0.06</c:v>
                </c:pt>
                <c:pt idx="2">
                  <c:v>-7.0000000000000007E-2</c:v>
                </c:pt>
                <c:pt idx="3">
                  <c:v>0.12</c:v>
                </c:pt>
              </c:numCache>
            </c:numRef>
          </c:xVal>
          <c:yVal>
            <c:numRef>
              <c:f>Isosteric!$X$8:$X$11</c:f>
              <c:numCache>
                <c:formatCode>0.00</c:formatCode>
                <c:ptCount val="4"/>
                <c:pt idx="0">
                  <c:v>-0.32837960343873773</c:v>
                </c:pt>
                <c:pt idx="1">
                  <c:v>0.35983548233988799</c:v>
                </c:pt>
                <c:pt idx="2">
                  <c:v>-0.43994880175276135</c:v>
                </c:pt>
                <c:pt idx="3">
                  <c:v>0.95504601472292572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56-4C9B-AF19-4413F54B44B7}"/>
            </c:ext>
          </c:extLst>
        </c:ser>
        <c:ser>
          <c:idx val="2"/>
          <c:order val="3"/>
          <c:tx>
            <c:v>PCy3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98907332073113"/>
                  <c:y val="4.17473934131205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PCy3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5.0655x + 0.2349</a:t>
                    </a:r>
                    <a:br>
                      <a:rPr lang="en-US" baseline="0"/>
                    </a:br>
                    <a:r>
                      <a:rPr lang="en-US" baseline="0"/>
                      <a:t>R² = 0.9477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Cone: 163.3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Isosteric!$K$12:$K$15</c:f>
              <c:numCache>
                <c:formatCode>General</c:formatCode>
                <c:ptCount val="4"/>
                <c:pt idx="0">
                  <c:v>0.12</c:v>
                </c:pt>
                <c:pt idx="1">
                  <c:v>-7.0000000000000007E-2</c:v>
                </c:pt>
                <c:pt idx="2">
                  <c:v>0.06</c:v>
                </c:pt>
                <c:pt idx="3">
                  <c:v>-7.0000000000000007E-2</c:v>
                </c:pt>
              </c:numCache>
            </c:numRef>
          </c:xVal>
          <c:yVal>
            <c:numRef>
              <c:f>Isosteric!$X$12:$X$15</c:f>
              <c:numCache>
                <c:formatCode>0.00</c:formatCode>
                <c:ptCount val="4"/>
                <c:pt idx="0">
                  <c:v>0.93449845124356767</c:v>
                </c:pt>
                <c:pt idx="1">
                  <c:v>-0.17451973003250021</c:v>
                </c:pt>
                <c:pt idx="2">
                  <c:v>0.40483371661993806</c:v>
                </c:pt>
                <c:pt idx="3">
                  <c:v>-2.2461599307156129E-2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56-4C9B-AF19-4413F54B44B7}"/>
            </c:ext>
          </c:extLst>
        </c:ser>
        <c:ser>
          <c:idx val="4"/>
          <c:order val="4"/>
          <c:tx>
            <c:v>PEt3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278002343693682"/>
                  <c:y val="1.009284111661333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PEt3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5.503x + 0.0767</a:t>
                    </a:r>
                    <a:br>
                      <a:rPr lang="en-US" baseline="0"/>
                    </a:br>
                    <a:r>
                      <a:rPr lang="en-US" baseline="0"/>
                      <a:t>R² = 0.9638</a:t>
                    </a:r>
                  </a:p>
                  <a:p>
                    <a:pPr>
                      <a:defRPr/>
                    </a:pPr>
                    <a:r>
                      <a:rPr lang="en-US"/>
                      <a:t>Cone: 140.3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Isosteric!$K$16:$K$19</c:f>
              <c:numCache>
                <c:formatCode>General</c:formatCode>
                <c:ptCount val="4"/>
                <c:pt idx="0">
                  <c:v>0.12</c:v>
                </c:pt>
                <c:pt idx="1">
                  <c:v>-7.0000000000000007E-2</c:v>
                </c:pt>
                <c:pt idx="2">
                  <c:v>-7.0000000000000007E-2</c:v>
                </c:pt>
                <c:pt idx="3">
                  <c:v>0.06</c:v>
                </c:pt>
              </c:numCache>
            </c:numRef>
          </c:xVal>
          <c:yVal>
            <c:numRef>
              <c:f>Isosteric!$X$16:$X$19</c:f>
              <c:numCache>
                <c:formatCode>0.00</c:formatCode>
                <c:ptCount val="4"/>
                <c:pt idx="0">
                  <c:v>0.8347385189038411</c:v>
                </c:pt>
                <c:pt idx="1">
                  <c:v>-0.27528385294751634</c:v>
                </c:pt>
                <c:pt idx="2">
                  <c:v>-0.29670862188133862</c:v>
                </c:pt>
                <c:pt idx="3">
                  <c:v>0.26403034413212262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56-4C9B-AF19-4413F54B44B7}"/>
            </c:ext>
          </c:extLst>
        </c:ser>
        <c:ser>
          <c:idx val="5"/>
          <c:order val="5"/>
          <c:tx>
            <c:v>PPh2Me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821584977960105"/>
                  <c:y val="-9.119909137753637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PPh2Me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5.6169x + 0.0647</a:t>
                    </a:r>
                    <a:br>
                      <a:rPr lang="en-US" baseline="0"/>
                    </a:br>
                    <a:r>
                      <a:rPr lang="en-US" baseline="0"/>
                      <a:t>R² = 0.9906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Cone: 139.1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Isosteric!$K$20:$K$23</c:f>
              <c:numCache>
                <c:formatCode>General</c:formatCode>
                <c:ptCount val="4"/>
                <c:pt idx="0">
                  <c:v>0.06</c:v>
                </c:pt>
                <c:pt idx="1">
                  <c:v>-7.0000000000000007E-2</c:v>
                </c:pt>
                <c:pt idx="2">
                  <c:v>0.12</c:v>
                </c:pt>
                <c:pt idx="3">
                  <c:v>-7.0000000000000007E-2</c:v>
                </c:pt>
              </c:numCache>
            </c:numRef>
          </c:xVal>
          <c:yVal>
            <c:numRef>
              <c:f>Isosteric!$X$20:$X$23</c:f>
              <c:numCache>
                <c:formatCode>0.00</c:formatCode>
                <c:ptCount val="4"/>
                <c:pt idx="0">
                  <c:v>0.33041377334919075</c:v>
                </c:pt>
                <c:pt idx="1">
                  <c:v>-0.33240087737166191</c:v>
                </c:pt>
                <c:pt idx="2">
                  <c:v>0.78746047451841505</c:v>
                </c:pt>
                <c:pt idx="3">
                  <c:v>-0.30211167612826895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56-4C9B-AF19-4413F54B44B7}"/>
            </c:ext>
          </c:extLst>
        </c:ser>
        <c:ser>
          <c:idx val="6"/>
          <c:order val="6"/>
          <c:tx>
            <c:v>PPh3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216763069488083E-4"/>
                  <c:y val="-9.517190323761559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PPh3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5.8381x + 0.031</a:t>
                    </a:r>
                    <a:br>
                      <a:rPr lang="en-US" baseline="0"/>
                    </a:br>
                    <a:r>
                      <a:rPr lang="en-US" baseline="0"/>
                      <a:t>R² = 0.9983</a:t>
                    </a:r>
                  </a:p>
                  <a:p>
                    <a:pPr>
                      <a:defRPr/>
                    </a:pPr>
                    <a:r>
                      <a:rPr lang="en-US"/>
                      <a:t>Cone: 149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Isosteric!$K$24:$K$27</c:f>
              <c:numCache>
                <c:formatCode>General</c:formatCode>
                <c:ptCount val="4"/>
                <c:pt idx="0">
                  <c:v>0.12</c:v>
                </c:pt>
                <c:pt idx="1">
                  <c:v>-7.0000000000000007E-2</c:v>
                </c:pt>
                <c:pt idx="2">
                  <c:v>0.06</c:v>
                </c:pt>
                <c:pt idx="3">
                  <c:v>-7.0000000000000007E-2</c:v>
                </c:pt>
              </c:numCache>
            </c:numRef>
          </c:xVal>
          <c:yVal>
            <c:numRef>
              <c:f>Isosteric!$X$24:$X$27</c:f>
              <c:numCache>
                <c:formatCode>0.00</c:formatCode>
                <c:ptCount val="4"/>
                <c:pt idx="0">
                  <c:v>0.75281643118827146</c:v>
                </c:pt>
                <c:pt idx="1">
                  <c:v>-0.38194974082037297</c:v>
                </c:pt>
                <c:pt idx="2">
                  <c:v>0.35024801833416286</c:v>
                </c:pt>
                <c:pt idx="3">
                  <c:v>-0.36357942347376265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56-4C9B-AF19-4413F54B44B7}"/>
            </c:ext>
          </c:extLst>
        </c:ser>
        <c:ser>
          <c:idx val="7"/>
          <c:order val="7"/>
          <c:tx>
            <c:v>PtBu3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47027697169037"/>
                  <c:y val="-9.488509515833901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PtBu3</a:t>
                    </a:r>
                    <a:endParaRPr lang="en-US" baseline="0"/>
                  </a:p>
                  <a:p>
                    <a:pPr>
                      <a:defRPr/>
                    </a:pPr>
                    <a:r>
                      <a:rPr lang="en-US" baseline="0"/>
                      <a:t>y = 6.0097x - 0.0018</a:t>
                    </a:r>
                    <a:br>
                      <a:rPr lang="en-US" baseline="0"/>
                    </a:br>
                    <a:r>
                      <a:rPr lang="en-US" baseline="0"/>
                      <a:t>R² = 0.9995</a:t>
                    </a:r>
                  </a:p>
                  <a:p>
                    <a:pPr>
                      <a:defRPr/>
                    </a:pPr>
                    <a:r>
                      <a:rPr lang="en-US" sz="900" b="0" i="0" u="none" strike="noStrike" baseline="0">
                        <a:effectLst/>
                      </a:rPr>
                      <a:t>Cone: 176.1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Isosteric!$K$28:$K$30</c:f>
              <c:numCache>
                <c:formatCode>General</c:formatCode>
                <c:ptCount val="3"/>
                <c:pt idx="0">
                  <c:v>-7.0000000000000007E-2</c:v>
                </c:pt>
                <c:pt idx="1">
                  <c:v>0.12</c:v>
                </c:pt>
                <c:pt idx="2">
                  <c:v>-7.0000000000000007E-2</c:v>
                </c:pt>
              </c:numCache>
            </c:numRef>
          </c:xVal>
          <c:yVal>
            <c:numRef>
              <c:f>Isosteric!$X$28:$X$30</c:f>
              <c:numCache>
                <c:formatCode>0.00</c:formatCode>
                <c:ptCount val="3"/>
                <c:pt idx="0">
                  <c:v>-0.43765799725667559</c:v>
                </c:pt>
                <c:pt idx="1">
                  <c:v>0.71933128698372661</c:v>
                </c:pt>
                <c:pt idx="2">
                  <c:v>-0.40737593548050111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B56-4C9B-AF19-4413F54B4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71632"/>
        <c:axId val="7337691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All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bg2">
                          <a:lumMod val="65000"/>
                        </a:schemeClr>
                      </a:solidFill>
                      <a:prstDash val="dash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32027300922354163"/>
                        <c:y val="-0.139385887580543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Isosteric!$K$5:$K$30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-7.0000000000000007E-2</c:v>
                      </c:pt>
                      <c:pt idx="1">
                        <c:v>0.12</c:v>
                      </c:pt>
                      <c:pt idx="2">
                        <c:v>-7.0000000000000007E-2</c:v>
                      </c:pt>
                      <c:pt idx="3">
                        <c:v>-7.0000000000000007E-2</c:v>
                      </c:pt>
                      <c:pt idx="4">
                        <c:v>0.06</c:v>
                      </c:pt>
                      <c:pt idx="5">
                        <c:v>-7.0000000000000007E-2</c:v>
                      </c:pt>
                      <c:pt idx="6">
                        <c:v>0.12</c:v>
                      </c:pt>
                      <c:pt idx="7">
                        <c:v>0.12</c:v>
                      </c:pt>
                      <c:pt idx="8">
                        <c:v>-7.0000000000000007E-2</c:v>
                      </c:pt>
                      <c:pt idx="9">
                        <c:v>0.06</c:v>
                      </c:pt>
                      <c:pt idx="10">
                        <c:v>-7.0000000000000007E-2</c:v>
                      </c:pt>
                      <c:pt idx="11">
                        <c:v>0.12</c:v>
                      </c:pt>
                      <c:pt idx="12">
                        <c:v>-7.0000000000000007E-2</c:v>
                      </c:pt>
                      <c:pt idx="13">
                        <c:v>-7.0000000000000007E-2</c:v>
                      </c:pt>
                      <c:pt idx="14">
                        <c:v>0.06</c:v>
                      </c:pt>
                      <c:pt idx="15">
                        <c:v>0.06</c:v>
                      </c:pt>
                      <c:pt idx="16">
                        <c:v>-7.0000000000000007E-2</c:v>
                      </c:pt>
                      <c:pt idx="17">
                        <c:v>0.12</c:v>
                      </c:pt>
                      <c:pt idx="18">
                        <c:v>-7.0000000000000007E-2</c:v>
                      </c:pt>
                      <c:pt idx="19">
                        <c:v>0.12</c:v>
                      </c:pt>
                      <c:pt idx="20">
                        <c:v>-7.0000000000000007E-2</c:v>
                      </c:pt>
                      <c:pt idx="21">
                        <c:v>0.06</c:v>
                      </c:pt>
                      <c:pt idx="22">
                        <c:v>-7.0000000000000007E-2</c:v>
                      </c:pt>
                      <c:pt idx="23">
                        <c:v>-7.0000000000000007E-2</c:v>
                      </c:pt>
                      <c:pt idx="24">
                        <c:v>0.12</c:v>
                      </c:pt>
                      <c:pt idx="25">
                        <c:v>-7.0000000000000007E-2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Isosteric!$X$5:$X$30</c15:sqref>
                        </c15:formulaRef>
                      </c:ext>
                    </c:extLst>
                    <c:numCache>
                      <c:formatCode>0.00</c:formatCode>
                      <c:ptCount val="26"/>
                      <c:pt idx="0">
                        <c:v>-0.38645318412759438</c:v>
                      </c:pt>
                      <c:pt idx="1">
                        <c:v>0.72875947516787443</c:v>
                      </c:pt>
                      <c:pt idx="2">
                        <c:v>-0.43770713554352531</c:v>
                      </c:pt>
                      <c:pt idx="3">
                        <c:v>-0.32837960343873773</c:v>
                      </c:pt>
                      <c:pt idx="4">
                        <c:v>0.35983548233988799</c:v>
                      </c:pt>
                      <c:pt idx="5">
                        <c:v>-0.43994880175276135</c:v>
                      </c:pt>
                      <c:pt idx="6">
                        <c:v>0.95504601472292572</c:v>
                      </c:pt>
                      <c:pt idx="7">
                        <c:v>0.93449845124356767</c:v>
                      </c:pt>
                      <c:pt idx="8">
                        <c:v>-0.17451973003250021</c:v>
                      </c:pt>
                      <c:pt idx="9">
                        <c:v>0.40483371661993806</c:v>
                      </c:pt>
                      <c:pt idx="10">
                        <c:v>-2.2461599307156129E-2</c:v>
                      </c:pt>
                      <c:pt idx="11">
                        <c:v>0.8347385189038411</c:v>
                      </c:pt>
                      <c:pt idx="12">
                        <c:v>-0.27528385294751634</c:v>
                      </c:pt>
                      <c:pt idx="13">
                        <c:v>-0.29670862188133862</c:v>
                      </c:pt>
                      <c:pt idx="14">
                        <c:v>0.26403034413212262</c:v>
                      </c:pt>
                      <c:pt idx="15">
                        <c:v>0.33041377334919075</c:v>
                      </c:pt>
                      <c:pt idx="16">
                        <c:v>-0.33240087737166191</c:v>
                      </c:pt>
                      <c:pt idx="17">
                        <c:v>0.78746047451841505</c:v>
                      </c:pt>
                      <c:pt idx="18">
                        <c:v>-0.30211167612826895</c:v>
                      </c:pt>
                      <c:pt idx="19">
                        <c:v>0.75281643118827146</c:v>
                      </c:pt>
                      <c:pt idx="20">
                        <c:v>-0.38194974082037297</c:v>
                      </c:pt>
                      <c:pt idx="21">
                        <c:v>0.35024801833416286</c:v>
                      </c:pt>
                      <c:pt idx="22">
                        <c:v>-0.36357942347376265</c:v>
                      </c:pt>
                      <c:pt idx="23">
                        <c:v>-0.43765799725667559</c:v>
                      </c:pt>
                      <c:pt idx="24">
                        <c:v>0.71933128698372661</c:v>
                      </c:pt>
                      <c:pt idx="25">
                        <c:v>-0.40737593548050111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B56-4C9B-AF19-4413F54B44B7}"/>
                  </c:ext>
                </c:extLst>
              </c15:ser>
            </c15:filteredScatterSeries>
          </c:ext>
        </c:extLst>
      </c:scatterChart>
      <c:valAx>
        <c:axId val="73377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Measured </a:t>
                </a:r>
                <a:r>
                  <a:rPr lang="el-GR" sz="1400"/>
                  <a:t>ΔΔ</a:t>
                </a:r>
                <a:r>
                  <a:rPr lang="en-US" sz="1400"/>
                  <a:t>G</a:t>
                </a:r>
                <a:r>
                  <a:rPr lang="en-US" sz="1400" b="0" i="0" u="none" strike="noStrike" baseline="30000">
                    <a:effectLst/>
                  </a:rPr>
                  <a:t>‡</a:t>
                </a:r>
                <a:endParaRPr lang="en-US" sz="1400" baseline="30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69168"/>
        <c:crosses val="autoZero"/>
        <c:crossBetween val="midCat"/>
      </c:valAx>
      <c:valAx>
        <c:axId val="733769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Predicted </a:t>
                </a:r>
                <a:r>
                  <a:rPr lang="el-GR" sz="14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ΔΔ</a:t>
                </a:r>
                <a:r>
                  <a:rPr lang="en-US" sz="14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G</a:t>
                </a:r>
                <a:r>
                  <a:rPr lang="en-US" sz="1400" b="0" i="0" u="none" strike="noStrike" kern="1200" baseline="3000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</a:rPr>
                  <a:t>‡</a:t>
                </a:r>
                <a:endParaRPr lang="en-US" sz="1400" b="0" i="0" u="none" strike="noStrike" kern="1200" baseline="30000">
                  <a:solidFill>
                    <a:srgbClr val="000000">
                      <a:lumMod val="65000"/>
                      <a:lumOff val="35000"/>
                    </a:srgb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716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LOLO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v>CataCXium A+Isosteric!$K$5:$K$7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Isosteric!$L$5:$L$7</c:f>
              <c:numCache>
                <c:formatCode>General</c:formatCode>
                <c:ptCount val="3"/>
                <c:pt idx="0">
                  <c:v>-0.15</c:v>
                </c:pt>
                <c:pt idx="1">
                  <c:v>-0.27</c:v>
                </c:pt>
                <c:pt idx="2">
                  <c:v>-0.17</c:v>
                </c:pt>
              </c:numCache>
            </c:numRef>
          </c:xVal>
          <c:yVal>
            <c:numRef>
              <c:f>Isosteric!$X$5:$X$7</c:f>
              <c:numCache>
                <c:formatCode>0.00</c:formatCode>
                <c:ptCount val="3"/>
                <c:pt idx="0">
                  <c:v>-0.38645318412759438</c:v>
                </c:pt>
                <c:pt idx="1">
                  <c:v>0.72875947516787443</c:v>
                </c:pt>
                <c:pt idx="2">
                  <c:v>-0.43770713554352531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C1-4B27-8843-7819AD6E0322}"/>
            </c:ext>
          </c:extLst>
        </c:ser>
        <c:ser>
          <c:idx val="1"/>
          <c:order val="2"/>
          <c:tx>
            <c:v>P(o-tol)3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Isosteric!$L$8:$L$11</c:f>
              <c:numCache>
                <c:formatCode>General</c:formatCode>
                <c:ptCount val="4"/>
                <c:pt idx="0">
                  <c:v>-0.15</c:v>
                </c:pt>
                <c:pt idx="1">
                  <c:v>-0.01</c:v>
                </c:pt>
                <c:pt idx="2">
                  <c:v>-0.17</c:v>
                </c:pt>
                <c:pt idx="3">
                  <c:v>-0.27</c:v>
                </c:pt>
              </c:numCache>
            </c:numRef>
          </c:xVal>
          <c:yVal>
            <c:numRef>
              <c:f>Isosteric!$X$8:$X$11</c:f>
              <c:numCache>
                <c:formatCode>0.00</c:formatCode>
                <c:ptCount val="4"/>
                <c:pt idx="0">
                  <c:v>-0.32837960343873773</c:v>
                </c:pt>
                <c:pt idx="1">
                  <c:v>0.35983548233988799</c:v>
                </c:pt>
                <c:pt idx="2">
                  <c:v>-0.43994880175276135</c:v>
                </c:pt>
                <c:pt idx="3">
                  <c:v>0.95504601472292572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C1-4B27-8843-7819AD6E0322}"/>
            </c:ext>
          </c:extLst>
        </c:ser>
        <c:ser>
          <c:idx val="2"/>
          <c:order val="3"/>
          <c:tx>
            <c:v>PCy3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Isosteric!$L$12:$L$15</c:f>
              <c:numCache>
                <c:formatCode>General</c:formatCode>
                <c:ptCount val="4"/>
                <c:pt idx="0">
                  <c:v>-0.27</c:v>
                </c:pt>
                <c:pt idx="1">
                  <c:v>-0.17</c:v>
                </c:pt>
                <c:pt idx="2">
                  <c:v>-0.01</c:v>
                </c:pt>
                <c:pt idx="3">
                  <c:v>-0.15</c:v>
                </c:pt>
              </c:numCache>
            </c:numRef>
          </c:xVal>
          <c:yVal>
            <c:numRef>
              <c:f>Isosteric!$X$12:$X$15</c:f>
              <c:numCache>
                <c:formatCode>0.00</c:formatCode>
                <c:ptCount val="4"/>
                <c:pt idx="0">
                  <c:v>0.93449845124356767</c:v>
                </c:pt>
                <c:pt idx="1">
                  <c:v>-0.17451973003250021</c:v>
                </c:pt>
                <c:pt idx="2">
                  <c:v>0.40483371661993806</c:v>
                </c:pt>
                <c:pt idx="3">
                  <c:v>-2.2461599307156129E-2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C1-4B27-8843-7819AD6E0322}"/>
            </c:ext>
          </c:extLst>
        </c:ser>
        <c:ser>
          <c:idx val="4"/>
          <c:order val="4"/>
          <c:tx>
            <c:v>PEt3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Isosteric!$L$16:$L$19</c:f>
              <c:numCache>
                <c:formatCode>General</c:formatCode>
                <c:ptCount val="4"/>
                <c:pt idx="0">
                  <c:v>-0.27</c:v>
                </c:pt>
                <c:pt idx="1">
                  <c:v>-0.15</c:v>
                </c:pt>
                <c:pt idx="2">
                  <c:v>-0.17</c:v>
                </c:pt>
                <c:pt idx="3">
                  <c:v>-0.01</c:v>
                </c:pt>
              </c:numCache>
            </c:numRef>
          </c:xVal>
          <c:yVal>
            <c:numRef>
              <c:f>Isosteric!$X$16:$X$19</c:f>
              <c:numCache>
                <c:formatCode>0.00</c:formatCode>
                <c:ptCount val="4"/>
                <c:pt idx="0">
                  <c:v>0.8347385189038411</c:v>
                </c:pt>
                <c:pt idx="1">
                  <c:v>-0.27528385294751634</c:v>
                </c:pt>
                <c:pt idx="2">
                  <c:v>-0.29670862188133862</c:v>
                </c:pt>
                <c:pt idx="3">
                  <c:v>0.26403034413212262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C1-4B27-8843-7819AD6E0322}"/>
            </c:ext>
          </c:extLst>
        </c:ser>
        <c:ser>
          <c:idx val="5"/>
          <c:order val="5"/>
          <c:tx>
            <c:v>PPh2Me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Isosteric!$L$20:$L$23</c:f>
              <c:numCache>
                <c:formatCode>General</c:formatCode>
                <c:ptCount val="4"/>
                <c:pt idx="0">
                  <c:v>-0.01</c:v>
                </c:pt>
                <c:pt idx="1">
                  <c:v>-0.17</c:v>
                </c:pt>
                <c:pt idx="2">
                  <c:v>-0.27</c:v>
                </c:pt>
                <c:pt idx="3">
                  <c:v>-0.15</c:v>
                </c:pt>
              </c:numCache>
            </c:numRef>
          </c:xVal>
          <c:yVal>
            <c:numRef>
              <c:f>Isosteric!$X$20:$X$23</c:f>
              <c:numCache>
                <c:formatCode>0.00</c:formatCode>
                <c:ptCount val="4"/>
                <c:pt idx="0">
                  <c:v>0.33041377334919075</c:v>
                </c:pt>
                <c:pt idx="1">
                  <c:v>-0.33240087737166191</c:v>
                </c:pt>
                <c:pt idx="2">
                  <c:v>0.78746047451841505</c:v>
                </c:pt>
                <c:pt idx="3">
                  <c:v>-0.30211167612826895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C1-4B27-8843-7819AD6E0322}"/>
            </c:ext>
          </c:extLst>
        </c:ser>
        <c:ser>
          <c:idx val="6"/>
          <c:order val="6"/>
          <c:tx>
            <c:v>PPh3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Isosteric!$L$24:$L$27</c:f>
              <c:numCache>
                <c:formatCode>General</c:formatCode>
                <c:ptCount val="4"/>
                <c:pt idx="0">
                  <c:v>-0.27</c:v>
                </c:pt>
                <c:pt idx="1">
                  <c:v>-0.17</c:v>
                </c:pt>
                <c:pt idx="2">
                  <c:v>-0.01</c:v>
                </c:pt>
                <c:pt idx="3">
                  <c:v>-0.15</c:v>
                </c:pt>
              </c:numCache>
            </c:numRef>
          </c:xVal>
          <c:yVal>
            <c:numRef>
              <c:f>Isosteric!$X$24:$X$27</c:f>
              <c:numCache>
                <c:formatCode>0.00</c:formatCode>
                <c:ptCount val="4"/>
                <c:pt idx="0">
                  <c:v>0.75281643118827146</c:v>
                </c:pt>
                <c:pt idx="1">
                  <c:v>-0.38194974082037297</c:v>
                </c:pt>
                <c:pt idx="2">
                  <c:v>0.35024801833416286</c:v>
                </c:pt>
                <c:pt idx="3">
                  <c:v>-0.36357942347376265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FC1-4B27-8843-7819AD6E0322}"/>
            </c:ext>
          </c:extLst>
        </c:ser>
        <c:ser>
          <c:idx val="7"/>
          <c:order val="7"/>
          <c:tx>
            <c:v>PtBu3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Isosteric!$L$28:$L$30</c:f>
              <c:numCache>
                <c:formatCode>General</c:formatCode>
                <c:ptCount val="3"/>
                <c:pt idx="0">
                  <c:v>-0.17</c:v>
                </c:pt>
                <c:pt idx="1">
                  <c:v>-0.27</c:v>
                </c:pt>
                <c:pt idx="2">
                  <c:v>-0.15</c:v>
                </c:pt>
              </c:numCache>
            </c:numRef>
          </c:xVal>
          <c:yVal>
            <c:numRef>
              <c:f>Isosteric!$X$28:$X$30</c:f>
              <c:numCache>
                <c:formatCode>0.00</c:formatCode>
                <c:ptCount val="3"/>
                <c:pt idx="0">
                  <c:v>-0.43765799725667559</c:v>
                </c:pt>
                <c:pt idx="1">
                  <c:v>0.71933128698372661</c:v>
                </c:pt>
                <c:pt idx="2">
                  <c:v>-0.40737593548050111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FC1-4B27-8843-7819AD6E0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71632"/>
        <c:axId val="7337691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All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bg2">
                          <a:lumMod val="65000"/>
                        </a:schemeClr>
                      </a:solidFill>
                      <a:prstDash val="dash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3648402255303923"/>
                        <c:y val="-0.52153457903715361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Isosteric!$L$5:$L$30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-0.15</c:v>
                      </c:pt>
                      <c:pt idx="1">
                        <c:v>-0.27</c:v>
                      </c:pt>
                      <c:pt idx="2">
                        <c:v>-0.17</c:v>
                      </c:pt>
                      <c:pt idx="3">
                        <c:v>-0.15</c:v>
                      </c:pt>
                      <c:pt idx="4">
                        <c:v>-0.01</c:v>
                      </c:pt>
                      <c:pt idx="5">
                        <c:v>-0.17</c:v>
                      </c:pt>
                      <c:pt idx="6">
                        <c:v>-0.27</c:v>
                      </c:pt>
                      <c:pt idx="7">
                        <c:v>-0.27</c:v>
                      </c:pt>
                      <c:pt idx="8">
                        <c:v>-0.17</c:v>
                      </c:pt>
                      <c:pt idx="9">
                        <c:v>-0.01</c:v>
                      </c:pt>
                      <c:pt idx="10">
                        <c:v>-0.15</c:v>
                      </c:pt>
                      <c:pt idx="11">
                        <c:v>-0.27</c:v>
                      </c:pt>
                      <c:pt idx="12">
                        <c:v>-0.15</c:v>
                      </c:pt>
                      <c:pt idx="13">
                        <c:v>-0.17</c:v>
                      </c:pt>
                      <c:pt idx="14">
                        <c:v>-0.01</c:v>
                      </c:pt>
                      <c:pt idx="15">
                        <c:v>-0.01</c:v>
                      </c:pt>
                      <c:pt idx="16">
                        <c:v>-0.17</c:v>
                      </c:pt>
                      <c:pt idx="17">
                        <c:v>-0.27</c:v>
                      </c:pt>
                      <c:pt idx="18">
                        <c:v>-0.15</c:v>
                      </c:pt>
                      <c:pt idx="19">
                        <c:v>-0.27</c:v>
                      </c:pt>
                      <c:pt idx="20">
                        <c:v>-0.17</c:v>
                      </c:pt>
                      <c:pt idx="21">
                        <c:v>-0.01</c:v>
                      </c:pt>
                      <c:pt idx="22">
                        <c:v>-0.15</c:v>
                      </c:pt>
                      <c:pt idx="23">
                        <c:v>-0.17</c:v>
                      </c:pt>
                      <c:pt idx="24">
                        <c:v>-0.27</c:v>
                      </c:pt>
                      <c:pt idx="25">
                        <c:v>-0.15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Isosteric!$X$5:$X$30</c15:sqref>
                        </c15:formulaRef>
                      </c:ext>
                    </c:extLst>
                    <c:numCache>
                      <c:formatCode>0.00</c:formatCode>
                      <c:ptCount val="26"/>
                      <c:pt idx="0">
                        <c:v>-0.38645318412759438</c:v>
                      </c:pt>
                      <c:pt idx="1">
                        <c:v>0.72875947516787443</c:v>
                      </c:pt>
                      <c:pt idx="2">
                        <c:v>-0.43770713554352531</c:v>
                      </c:pt>
                      <c:pt idx="3">
                        <c:v>-0.32837960343873773</c:v>
                      </c:pt>
                      <c:pt idx="4">
                        <c:v>0.35983548233988799</c:v>
                      </c:pt>
                      <c:pt idx="5">
                        <c:v>-0.43994880175276135</c:v>
                      </c:pt>
                      <c:pt idx="6">
                        <c:v>0.95504601472292572</c:v>
                      </c:pt>
                      <c:pt idx="7">
                        <c:v>0.93449845124356767</c:v>
                      </c:pt>
                      <c:pt idx="8">
                        <c:v>-0.17451973003250021</c:v>
                      </c:pt>
                      <c:pt idx="9">
                        <c:v>0.40483371661993806</c:v>
                      </c:pt>
                      <c:pt idx="10">
                        <c:v>-2.2461599307156129E-2</c:v>
                      </c:pt>
                      <c:pt idx="11">
                        <c:v>0.8347385189038411</c:v>
                      </c:pt>
                      <c:pt idx="12">
                        <c:v>-0.27528385294751634</c:v>
                      </c:pt>
                      <c:pt idx="13">
                        <c:v>-0.29670862188133862</c:v>
                      </c:pt>
                      <c:pt idx="14">
                        <c:v>0.26403034413212262</c:v>
                      </c:pt>
                      <c:pt idx="15">
                        <c:v>0.33041377334919075</c:v>
                      </c:pt>
                      <c:pt idx="16">
                        <c:v>-0.33240087737166191</c:v>
                      </c:pt>
                      <c:pt idx="17">
                        <c:v>0.78746047451841505</c:v>
                      </c:pt>
                      <c:pt idx="18">
                        <c:v>-0.30211167612826895</c:v>
                      </c:pt>
                      <c:pt idx="19">
                        <c:v>0.75281643118827146</c:v>
                      </c:pt>
                      <c:pt idx="20">
                        <c:v>-0.38194974082037297</c:v>
                      </c:pt>
                      <c:pt idx="21">
                        <c:v>0.35024801833416286</c:v>
                      </c:pt>
                      <c:pt idx="22">
                        <c:v>-0.36357942347376265</c:v>
                      </c:pt>
                      <c:pt idx="23">
                        <c:v>-0.43765799725667559</c:v>
                      </c:pt>
                      <c:pt idx="24">
                        <c:v>0.71933128698372661</c:v>
                      </c:pt>
                      <c:pt idx="25">
                        <c:v>-0.40737593548050111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FC1-4B27-8843-7819AD6E0322}"/>
                  </c:ext>
                </c:extLst>
              </c15:ser>
            </c15:filteredScatterSeries>
          </c:ext>
        </c:extLst>
      </c:scatterChart>
      <c:valAx>
        <c:axId val="73377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Measured </a:t>
                </a:r>
                <a:r>
                  <a:rPr lang="el-GR" sz="1400"/>
                  <a:t>ΔΔ</a:t>
                </a:r>
                <a:r>
                  <a:rPr lang="en-US" sz="1400"/>
                  <a:t>G</a:t>
                </a:r>
                <a:r>
                  <a:rPr lang="en-US" sz="1400" b="0" i="0" u="none" strike="noStrike" baseline="30000">
                    <a:effectLst/>
                  </a:rPr>
                  <a:t>‡</a:t>
                </a:r>
                <a:endParaRPr lang="en-US" sz="1400" baseline="30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69168"/>
        <c:crosses val="autoZero"/>
        <c:crossBetween val="midCat"/>
      </c:valAx>
      <c:valAx>
        <c:axId val="733769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Predicted </a:t>
                </a:r>
                <a:r>
                  <a:rPr lang="el-GR" sz="14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ΔΔ</a:t>
                </a:r>
                <a:r>
                  <a:rPr lang="en-US" sz="14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G</a:t>
                </a:r>
                <a:r>
                  <a:rPr lang="en-US" sz="1400" b="0" i="0" u="none" strike="noStrike" kern="1200" baseline="3000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</a:rPr>
                  <a:t>‡</a:t>
                </a:r>
                <a:endParaRPr lang="en-US" sz="1400" b="0" i="0" u="none" strike="noStrike" kern="1200" baseline="30000">
                  <a:solidFill>
                    <a:srgbClr val="000000">
                      <a:lumMod val="65000"/>
                      <a:lumOff val="35000"/>
                    </a:srgb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716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65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Isosteric!$H$5:$H$30</c:f>
              <c:numCache>
                <c:formatCode>0.00</c:formatCode>
                <c:ptCount val="26"/>
                <c:pt idx="0">
                  <c:v>-11.774000000000001</c:v>
                </c:pt>
                <c:pt idx="1">
                  <c:v>20.183999999999997</c:v>
                </c:pt>
                <c:pt idx="2">
                  <c:v>-11.774000000000001</c:v>
                </c:pt>
                <c:pt idx="3">
                  <c:v>-11.375000000000002</c:v>
                </c:pt>
                <c:pt idx="4">
                  <c:v>9.75</c:v>
                </c:pt>
                <c:pt idx="5">
                  <c:v>-11.375000000000002</c:v>
                </c:pt>
                <c:pt idx="6">
                  <c:v>19.5</c:v>
                </c:pt>
                <c:pt idx="7">
                  <c:v>19.596</c:v>
                </c:pt>
                <c:pt idx="8">
                  <c:v>-11.431000000000003</c:v>
                </c:pt>
                <c:pt idx="9">
                  <c:v>9.798</c:v>
                </c:pt>
                <c:pt idx="10">
                  <c:v>-11.431000000000003</c:v>
                </c:pt>
                <c:pt idx="11">
                  <c:v>16.836000000000002</c:v>
                </c:pt>
                <c:pt idx="12">
                  <c:v>-9.8210000000000015</c:v>
                </c:pt>
                <c:pt idx="13">
                  <c:v>-9.8210000000000015</c:v>
                </c:pt>
                <c:pt idx="14">
                  <c:v>8.418000000000001</c:v>
                </c:pt>
                <c:pt idx="15">
                  <c:v>8.3460000000000001</c:v>
                </c:pt>
                <c:pt idx="16">
                  <c:v>-9.7370000000000001</c:v>
                </c:pt>
                <c:pt idx="17">
                  <c:v>16.692</c:v>
                </c:pt>
                <c:pt idx="18">
                  <c:v>-9.7370000000000001</c:v>
                </c:pt>
                <c:pt idx="19">
                  <c:v>17.88</c:v>
                </c:pt>
                <c:pt idx="20">
                  <c:v>-10.430000000000001</c:v>
                </c:pt>
                <c:pt idx="21">
                  <c:v>8.94</c:v>
                </c:pt>
                <c:pt idx="22">
                  <c:v>-10.430000000000001</c:v>
                </c:pt>
                <c:pt idx="23">
                  <c:v>-12.327</c:v>
                </c:pt>
                <c:pt idx="24">
                  <c:v>21.131999999999998</c:v>
                </c:pt>
                <c:pt idx="25">
                  <c:v>-12.327</c:v>
                </c:pt>
              </c:numCache>
            </c:numRef>
          </c:xVal>
          <c:yVal>
            <c:numRef>
              <c:f>Isosteric!$X$5:$X$30</c:f>
              <c:numCache>
                <c:formatCode>0.00</c:formatCode>
                <c:ptCount val="26"/>
                <c:pt idx="0">
                  <c:v>-0.38645318412759438</c:v>
                </c:pt>
                <c:pt idx="1">
                  <c:v>0.72875947516787443</c:v>
                </c:pt>
                <c:pt idx="2">
                  <c:v>-0.43770713554352531</c:v>
                </c:pt>
                <c:pt idx="3">
                  <c:v>-0.32837960343873773</c:v>
                </c:pt>
                <c:pt idx="4">
                  <c:v>0.35983548233988799</c:v>
                </c:pt>
                <c:pt idx="5">
                  <c:v>-0.43994880175276135</c:v>
                </c:pt>
                <c:pt idx="6">
                  <c:v>0.95504601472292572</c:v>
                </c:pt>
                <c:pt idx="7">
                  <c:v>0.93449845124356767</c:v>
                </c:pt>
                <c:pt idx="8">
                  <c:v>-0.17451973003250021</c:v>
                </c:pt>
                <c:pt idx="9">
                  <c:v>0.40483371661993806</c:v>
                </c:pt>
                <c:pt idx="10">
                  <c:v>-2.2461599307156129E-2</c:v>
                </c:pt>
                <c:pt idx="11">
                  <c:v>0.8347385189038411</c:v>
                </c:pt>
                <c:pt idx="12">
                  <c:v>-0.27528385294751634</c:v>
                </c:pt>
                <c:pt idx="13">
                  <c:v>-0.29670862188133862</c:v>
                </c:pt>
                <c:pt idx="14">
                  <c:v>0.26403034413212262</c:v>
                </c:pt>
                <c:pt idx="15">
                  <c:v>0.33041377334919075</c:v>
                </c:pt>
                <c:pt idx="16">
                  <c:v>-0.33240087737166191</c:v>
                </c:pt>
                <c:pt idx="17">
                  <c:v>0.78746047451841505</c:v>
                </c:pt>
                <c:pt idx="18">
                  <c:v>-0.30211167612826895</c:v>
                </c:pt>
                <c:pt idx="19">
                  <c:v>0.75281643118827146</c:v>
                </c:pt>
                <c:pt idx="20">
                  <c:v>-0.38194974082037297</c:v>
                </c:pt>
                <c:pt idx="21">
                  <c:v>0.35024801833416286</c:v>
                </c:pt>
                <c:pt idx="22">
                  <c:v>-0.36357942347376265</c:v>
                </c:pt>
                <c:pt idx="23">
                  <c:v>-0.43765799725667559</c:v>
                </c:pt>
                <c:pt idx="24">
                  <c:v>0.71933128698372661</c:v>
                </c:pt>
                <c:pt idx="25">
                  <c:v>-0.40737593548050111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2E49-4F28-9C9D-E5DBFFAC3138}"/>
            </c:ext>
          </c:extLst>
        </c:ser>
        <c:ser>
          <c:idx val="0"/>
          <c:order val="1"/>
          <c:tx>
            <c:v>PtBu3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F0040"/>
              </a:solidFill>
              <a:ln w="9525">
                <a:noFill/>
              </a:ln>
              <a:effectLst/>
            </c:spPr>
          </c:marker>
          <c:xVal>
            <c:numRef>
              <c:f>Isosteric!$H$28:$H$30</c:f>
              <c:numCache>
                <c:formatCode>0.00</c:formatCode>
                <c:ptCount val="3"/>
                <c:pt idx="0">
                  <c:v>-12.327</c:v>
                </c:pt>
                <c:pt idx="1">
                  <c:v>21.131999999999998</c:v>
                </c:pt>
                <c:pt idx="2">
                  <c:v>-12.327</c:v>
                </c:pt>
              </c:numCache>
            </c:numRef>
          </c:xVal>
          <c:yVal>
            <c:numRef>
              <c:f>Isosteric!$X$28:$X$30</c:f>
              <c:numCache>
                <c:formatCode>0.00</c:formatCode>
                <c:ptCount val="3"/>
                <c:pt idx="0">
                  <c:v>-0.43765799725667559</c:v>
                </c:pt>
                <c:pt idx="1">
                  <c:v>0.71933128698372661</c:v>
                </c:pt>
                <c:pt idx="2">
                  <c:v>-0.40737593548050111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6-4EC3-B8EB-31BE815F793E}"/>
            </c:ext>
          </c:extLst>
        </c:ser>
        <c:ser>
          <c:idx val="1"/>
          <c:order val="2"/>
          <c:tx>
            <c:v>CataCXium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6166C"/>
              </a:solidFill>
              <a:ln w="9525">
                <a:noFill/>
              </a:ln>
              <a:effectLst/>
            </c:spPr>
          </c:marker>
          <c:xVal>
            <c:numRef>
              <c:f>Isosteric!$H$5:$H$7</c:f>
              <c:numCache>
                <c:formatCode>0.00</c:formatCode>
                <c:ptCount val="3"/>
                <c:pt idx="0">
                  <c:v>-11.774000000000001</c:v>
                </c:pt>
                <c:pt idx="1">
                  <c:v>20.183999999999997</c:v>
                </c:pt>
                <c:pt idx="2">
                  <c:v>-11.774000000000001</c:v>
                </c:pt>
              </c:numCache>
            </c:numRef>
          </c:xVal>
          <c:yVal>
            <c:numRef>
              <c:f>Isosteric!$X$5:$X$7</c:f>
              <c:numCache>
                <c:formatCode>0.00</c:formatCode>
                <c:ptCount val="3"/>
                <c:pt idx="0">
                  <c:v>-0.38645318412759438</c:v>
                </c:pt>
                <c:pt idx="1">
                  <c:v>0.72875947516787443</c:v>
                </c:pt>
                <c:pt idx="2">
                  <c:v>-0.43770713554352531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6-4EC3-B8EB-31BE815F793E}"/>
            </c:ext>
          </c:extLst>
        </c:ser>
        <c:ser>
          <c:idx val="2"/>
          <c:order val="3"/>
          <c:tx>
            <c:v>P(o-tol)3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3E277D"/>
              </a:solidFill>
              <a:ln w="9525">
                <a:noFill/>
              </a:ln>
              <a:effectLst/>
            </c:spPr>
          </c:marker>
          <c:xVal>
            <c:numRef>
              <c:f>Isosteric!$H$8:$H$11</c:f>
              <c:numCache>
                <c:formatCode>0.00</c:formatCode>
                <c:ptCount val="4"/>
                <c:pt idx="0">
                  <c:v>-11.375000000000002</c:v>
                </c:pt>
                <c:pt idx="1">
                  <c:v>9.75</c:v>
                </c:pt>
                <c:pt idx="2">
                  <c:v>-11.375000000000002</c:v>
                </c:pt>
                <c:pt idx="3">
                  <c:v>19.5</c:v>
                </c:pt>
              </c:numCache>
            </c:numRef>
          </c:xVal>
          <c:yVal>
            <c:numRef>
              <c:f>Isosteric!$X$8:$X$11</c:f>
              <c:numCache>
                <c:formatCode>0.00</c:formatCode>
                <c:ptCount val="4"/>
                <c:pt idx="0">
                  <c:v>-0.32837960343873773</c:v>
                </c:pt>
                <c:pt idx="1">
                  <c:v>0.35983548233988799</c:v>
                </c:pt>
                <c:pt idx="2">
                  <c:v>-0.43994880175276135</c:v>
                </c:pt>
                <c:pt idx="3">
                  <c:v>0.95504601472292572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D6-4EC3-B8EB-31BE815F793E}"/>
            </c:ext>
          </c:extLst>
        </c:ser>
        <c:ser>
          <c:idx val="4"/>
          <c:order val="4"/>
          <c:tx>
            <c:v>PPh3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93398"/>
              </a:solidFill>
              <a:ln w="9525">
                <a:noFill/>
              </a:ln>
              <a:effectLst/>
            </c:spPr>
          </c:marker>
          <c:xVal>
            <c:numRef>
              <c:f>Isosteric!$H$24:$H$27</c:f>
              <c:numCache>
                <c:formatCode>0.00</c:formatCode>
                <c:ptCount val="4"/>
                <c:pt idx="0">
                  <c:v>17.88</c:v>
                </c:pt>
                <c:pt idx="1">
                  <c:v>-10.430000000000001</c:v>
                </c:pt>
                <c:pt idx="2">
                  <c:v>8.94</c:v>
                </c:pt>
                <c:pt idx="3">
                  <c:v>-10.430000000000001</c:v>
                </c:pt>
              </c:numCache>
            </c:numRef>
          </c:xVal>
          <c:yVal>
            <c:numRef>
              <c:f>Isosteric!$X$24:$X$27</c:f>
              <c:numCache>
                <c:formatCode>0.00</c:formatCode>
                <c:ptCount val="4"/>
                <c:pt idx="0">
                  <c:v>0.75281643118827146</c:v>
                </c:pt>
                <c:pt idx="1">
                  <c:v>-0.38194974082037297</c:v>
                </c:pt>
                <c:pt idx="2">
                  <c:v>0.35024801833416286</c:v>
                </c:pt>
                <c:pt idx="3">
                  <c:v>-0.36357942347376265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D6-4EC3-B8EB-31BE815F793E}"/>
            </c:ext>
          </c:extLst>
        </c:ser>
        <c:ser>
          <c:idx val="5"/>
          <c:order val="5"/>
          <c:tx>
            <c:v>PCy3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64E90"/>
              </a:solidFill>
              <a:ln w="9525">
                <a:noFill/>
              </a:ln>
              <a:effectLst/>
            </c:spPr>
          </c:marker>
          <c:xVal>
            <c:numRef>
              <c:f>Isosteric!$H$12:$H$15</c:f>
              <c:numCache>
                <c:formatCode>0.00</c:formatCode>
                <c:ptCount val="4"/>
                <c:pt idx="0">
                  <c:v>19.596</c:v>
                </c:pt>
                <c:pt idx="1">
                  <c:v>-11.431000000000003</c:v>
                </c:pt>
                <c:pt idx="2">
                  <c:v>9.798</c:v>
                </c:pt>
                <c:pt idx="3">
                  <c:v>-11.431000000000003</c:v>
                </c:pt>
              </c:numCache>
            </c:numRef>
          </c:xVal>
          <c:yVal>
            <c:numRef>
              <c:f>Isosteric!$X$12:$X$15</c:f>
              <c:numCache>
                <c:formatCode>0.00</c:formatCode>
                <c:ptCount val="4"/>
                <c:pt idx="0">
                  <c:v>0.93449845124356767</c:v>
                </c:pt>
                <c:pt idx="1">
                  <c:v>-0.17451973003250021</c:v>
                </c:pt>
                <c:pt idx="2">
                  <c:v>0.40483371661993806</c:v>
                </c:pt>
                <c:pt idx="3">
                  <c:v>-2.2461599307156129E-2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D6-4EC3-B8EB-31BE815F793E}"/>
            </c:ext>
          </c:extLst>
        </c:ser>
        <c:ser>
          <c:idx val="6"/>
          <c:order val="6"/>
          <c:tx>
            <c:v>PPh2Me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C638A"/>
              </a:solidFill>
              <a:ln w="9525">
                <a:noFill/>
              </a:ln>
              <a:effectLst/>
            </c:spPr>
          </c:marker>
          <c:xVal>
            <c:numRef>
              <c:f>Isosteric!$H$20:$H$23</c:f>
              <c:numCache>
                <c:formatCode>0.00</c:formatCode>
                <c:ptCount val="4"/>
                <c:pt idx="0">
                  <c:v>8.3460000000000001</c:v>
                </c:pt>
                <c:pt idx="1">
                  <c:v>-9.7370000000000001</c:v>
                </c:pt>
                <c:pt idx="2">
                  <c:v>16.692</c:v>
                </c:pt>
                <c:pt idx="3">
                  <c:v>-9.7370000000000001</c:v>
                </c:pt>
              </c:numCache>
            </c:numRef>
          </c:xVal>
          <c:yVal>
            <c:numRef>
              <c:f>Isosteric!$X$20:$X$23</c:f>
              <c:numCache>
                <c:formatCode>0.00</c:formatCode>
                <c:ptCount val="4"/>
                <c:pt idx="0">
                  <c:v>0.33041377334919075</c:v>
                </c:pt>
                <c:pt idx="1">
                  <c:v>-0.33240087737166191</c:v>
                </c:pt>
                <c:pt idx="2">
                  <c:v>0.78746047451841505</c:v>
                </c:pt>
                <c:pt idx="3">
                  <c:v>-0.30211167612826895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D6-4EC3-B8EB-31BE815F793E}"/>
            </c:ext>
          </c:extLst>
        </c:ser>
        <c:ser>
          <c:idx val="7"/>
          <c:order val="7"/>
          <c:tx>
            <c:v>PEt3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157C7F"/>
              </a:solidFill>
              <a:ln w="9525">
                <a:noFill/>
              </a:ln>
              <a:effectLst/>
            </c:spPr>
          </c:marker>
          <c:xVal>
            <c:numRef>
              <c:f>Isosteric!$H$16:$H$19</c:f>
              <c:numCache>
                <c:formatCode>0.00</c:formatCode>
                <c:ptCount val="4"/>
                <c:pt idx="0">
                  <c:v>16.836000000000002</c:v>
                </c:pt>
                <c:pt idx="1">
                  <c:v>-9.8210000000000015</c:v>
                </c:pt>
                <c:pt idx="2">
                  <c:v>-9.8210000000000015</c:v>
                </c:pt>
                <c:pt idx="3">
                  <c:v>8.418000000000001</c:v>
                </c:pt>
              </c:numCache>
            </c:numRef>
          </c:xVal>
          <c:yVal>
            <c:numRef>
              <c:f>Isosteric!$X$16:$X$19</c:f>
              <c:numCache>
                <c:formatCode>0.00</c:formatCode>
                <c:ptCount val="4"/>
                <c:pt idx="0">
                  <c:v>0.8347385189038411</c:v>
                </c:pt>
                <c:pt idx="1">
                  <c:v>-0.27528385294751634</c:v>
                </c:pt>
                <c:pt idx="2">
                  <c:v>-0.29670862188133862</c:v>
                </c:pt>
                <c:pt idx="3">
                  <c:v>0.26403034413212262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D6-4EC3-B8EB-31BE815F7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71632"/>
        <c:axId val="733769168"/>
        <c:extLst/>
      </c:scatterChart>
      <c:valAx>
        <c:axId val="733771632"/>
        <c:scaling>
          <c:orientation val="minMax"/>
          <c:min val="-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cs typeface="Times New Roman" panose="02020603050405020304" pitchFamily="18" charset="0"/>
                  </a:rPr>
                  <a:t>cone angle</a:t>
                </a:r>
                <a:r>
                  <a:rPr lang="en-US" sz="1200" b="0" i="0" u="none" strike="noStrike" kern="1200" baseline="-25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cs typeface="Times New Roman" panose="02020603050405020304" pitchFamily="18" charset="0"/>
                  </a:rPr>
                  <a:t>L </a:t>
                </a: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cs typeface="Times New Roman" panose="02020603050405020304" pitchFamily="18" charset="0"/>
                    <a:sym typeface="Symbol" panose="05050102010706020507" pitchFamily="18" charset="2"/>
                  </a:rPr>
                  <a:t></a:t>
                </a: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cs typeface="Times New Roman" panose="02020603050405020304" pitchFamily="18" charset="0"/>
                  </a:rPr>
                  <a:t> </a:t>
                </a:r>
                <a:r>
                  <a:rPr lang="el-GR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cs typeface="Times New Roman" panose="02020603050405020304" pitchFamily="18" charset="0"/>
                  </a:rPr>
                  <a:t>σ</a:t>
                </a:r>
                <a:r>
                  <a:rPr lang="en-US" sz="1200" b="0" i="1" u="none" strike="noStrike" kern="1200" baseline="-25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cs typeface="Times New Roman" panose="02020603050405020304" pitchFamily="18" charset="0"/>
                  </a:rPr>
                  <a:t>m</a:t>
                </a:r>
                <a:r>
                  <a:rPr lang="en-US" sz="1200" b="0" i="0" u="none" strike="noStrike" kern="1200" baseline="-25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cs typeface="Times New Roman" panose="02020603050405020304" pitchFamily="18" charset="0"/>
                  </a:rPr>
                  <a:t>R</a:t>
                </a:r>
                <a:endParaRPr lang="en-US" sz="1200" b="0" i="0" u="none" strike="noStrike" kern="1200" baseline="-2500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-Light" panose="020B0400000000000000" pitchFamily="34" charset="0"/>
                <a:ea typeface="+mn-ea"/>
                <a:cs typeface="+mn-cs"/>
              </a:defRPr>
            </a:pPr>
            <a:endParaRPr lang="en-US"/>
          </a:p>
        </c:txPr>
        <c:crossAx val="733769168"/>
        <c:crosses val="autoZero"/>
        <c:crossBetween val="midCat"/>
        <c:majorUnit val="10"/>
      </c:valAx>
      <c:valAx>
        <c:axId val="733769168"/>
        <c:scaling>
          <c:orientation val="minMax"/>
          <c:max val="1.2"/>
          <c:min val="-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</a:rPr>
                  <a:t>log(</a:t>
                </a:r>
                <a:r>
                  <a:rPr lang="en-US" sz="1200" b="0" i="0" u="none" strike="noStrike" kern="1200" baseline="0">
                    <a:solidFill>
                      <a:srgbClr val="7F0040"/>
                    </a:solidFill>
                    <a:latin typeface="Helvetica" pitchFamily="2" charset="0"/>
                  </a:rPr>
                  <a:t>3B</a:t>
                </a: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</a:rPr>
                  <a:t> / </a:t>
                </a:r>
                <a:r>
                  <a:rPr lang="en-US" sz="1200" b="0" i="0" u="none" strike="noStrike" kern="1200" baseline="0">
                    <a:solidFill>
                      <a:srgbClr val="093398"/>
                    </a:solidFill>
                    <a:latin typeface="Helvetica" pitchFamily="2" charset="0"/>
                  </a:rPr>
                  <a:t>3A</a:t>
                </a: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</a:rPr>
                  <a:t>)</a:t>
                </a:r>
                <a:endParaRPr lang="en-US" sz="1200" b="0" i="0" u="none" strike="noStrike" kern="1200" baseline="3000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-Light" panose="020B0400000000000000" pitchFamily="34" charset="0"/>
                <a:ea typeface="+mn-ea"/>
                <a:cs typeface="+mn-cs"/>
              </a:defRPr>
            </a:pPr>
            <a:endParaRPr lang="en-US"/>
          </a:p>
        </c:txPr>
        <c:crossAx val="733771632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65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Isosteric!$I$5:$I$30</c:f>
              <c:numCache>
                <c:formatCode>0.00</c:formatCode>
                <c:ptCount val="26"/>
                <c:pt idx="0">
                  <c:v>-25.229999999999997</c:v>
                </c:pt>
                <c:pt idx="1">
                  <c:v>-45.414000000000001</c:v>
                </c:pt>
                <c:pt idx="2">
                  <c:v>-28.594000000000001</c:v>
                </c:pt>
                <c:pt idx="3">
                  <c:v>-24.375</c:v>
                </c:pt>
                <c:pt idx="4">
                  <c:v>-1.625</c:v>
                </c:pt>
                <c:pt idx="5">
                  <c:v>-27.625000000000004</c:v>
                </c:pt>
                <c:pt idx="6">
                  <c:v>-43.875</c:v>
                </c:pt>
                <c:pt idx="7">
                  <c:v>-44.091000000000008</c:v>
                </c:pt>
                <c:pt idx="8">
                  <c:v>-27.761000000000003</c:v>
                </c:pt>
                <c:pt idx="9">
                  <c:v>-1.6330000000000002</c:v>
                </c:pt>
                <c:pt idx="10">
                  <c:v>-24.495000000000001</c:v>
                </c:pt>
                <c:pt idx="11">
                  <c:v>-37.881000000000007</c:v>
                </c:pt>
                <c:pt idx="12">
                  <c:v>-21.045000000000002</c:v>
                </c:pt>
                <c:pt idx="13">
                  <c:v>-23.851000000000003</c:v>
                </c:pt>
                <c:pt idx="14">
                  <c:v>-1.4030000000000002</c:v>
                </c:pt>
                <c:pt idx="15">
                  <c:v>-1.391</c:v>
                </c:pt>
                <c:pt idx="16">
                  <c:v>-23.647000000000002</c:v>
                </c:pt>
                <c:pt idx="17">
                  <c:v>-37.557000000000002</c:v>
                </c:pt>
                <c:pt idx="18">
                  <c:v>-20.864999999999998</c:v>
                </c:pt>
                <c:pt idx="19">
                  <c:v>-40.230000000000004</c:v>
                </c:pt>
                <c:pt idx="20">
                  <c:v>-25.330000000000002</c:v>
                </c:pt>
                <c:pt idx="21">
                  <c:v>-1.49</c:v>
                </c:pt>
                <c:pt idx="22">
                  <c:v>-22.349999999999998</c:v>
                </c:pt>
                <c:pt idx="23">
                  <c:v>-29.937000000000001</c:v>
                </c:pt>
                <c:pt idx="24">
                  <c:v>-47.547000000000004</c:v>
                </c:pt>
                <c:pt idx="25">
                  <c:v>-26.414999999999999</c:v>
                </c:pt>
              </c:numCache>
            </c:numRef>
          </c:xVal>
          <c:yVal>
            <c:numRef>
              <c:f>Isosteric!$X$5:$X$30</c:f>
              <c:numCache>
                <c:formatCode>0.00</c:formatCode>
                <c:ptCount val="26"/>
                <c:pt idx="0">
                  <c:v>-0.38645318412759438</c:v>
                </c:pt>
                <c:pt idx="1">
                  <c:v>0.72875947516787443</c:v>
                </c:pt>
                <c:pt idx="2">
                  <c:v>-0.43770713554352531</c:v>
                </c:pt>
                <c:pt idx="3">
                  <c:v>-0.32837960343873773</c:v>
                </c:pt>
                <c:pt idx="4">
                  <c:v>0.35983548233988799</c:v>
                </c:pt>
                <c:pt idx="5">
                  <c:v>-0.43994880175276135</c:v>
                </c:pt>
                <c:pt idx="6">
                  <c:v>0.95504601472292572</c:v>
                </c:pt>
                <c:pt idx="7">
                  <c:v>0.93449845124356767</c:v>
                </c:pt>
                <c:pt idx="8">
                  <c:v>-0.17451973003250021</c:v>
                </c:pt>
                <c:pt idx="9">
                  <c:v>0.40483371661993806</c:v>
                </c:pt>
                <c:pt idx="10">
                  <c:v>-2.2461599307156129E-2</c:v>
                </c:pt>
                <c:pt idx="11">
                  <c:v>0.8347385189038411</c:v>
                </c:pt>
                <c:pt idx="12">
                  <c:v>-0.27528385294751634</c:v>
                </c:pt>
                <c:pt idx="13">
                  <c:v>-0.29670862188133862</c:v>
                </c:pt>
                <c:pt idx="14">
                  <c:v>0.26403034413212262</c:v>
                </c:pt>
                <c:pt idx="15">
                  <c:v>0.33041377334919075</c:v>
                </c:pt>
                <c:pt idx="16">
                  <c:v>-0.33240087737166191</c:v>
                </c:pt>
                <c:pt idx="17">
                  <c:v>0.78746047451841505</c:v>
                </c:pt>
                <c:pt idx="18">
                  <c:v>-0.30211167612826895</c:v>
                </c:pt>
                <c:pt idx="19">
                  <c:v>0.75281643118827146</c:v>
                </c:pt>
                <c:pt idx="20">
                  <c:v>-0.38194974082037297</c:v>
                </c:pt>
                <c:pt idx="21">
                  <c:v>0.35024801833416286</c:v>
                </c:pt>
                <c:pt idx="22">
                  <c:v>-0.36357942347376265</c:v>
                </c:pt>
                <c:pt idx="23">
                  <c:v>-0.43765799725667559</c:v>
                </c:pt>
                <c:pt idx="24">
                  <c:v>0.71933128698372661</c:v>
                </c:pt>
                <c:pt idx="25">
                  <c:v>-0.40737593548050111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908-4FC8-BE41-E5BA2194FB5F}"/>
            </c:ext>
          </c:extLst>
        </c:ser>
        <c:ser>
          <c:idx val="0"/>
          <c:order val="1"/>
          <c:tx>
            <c:v>PtBu3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F0040"/>
              </a:solidFill>
              <a:ln w="9525">
                <a:noFill/>
              </a:ln>
              <a:effectLst/>
            </c:spPr>
          </c:marker>
          <c:xVal>
            <c:numRef>
              <c:f>Isosteric!$I$28:$I$30</c:f>
              <c:numCache>
                <c:formatCode>0.00</c:formatCode>
                <c:ptCount val="3"/>
                <c:pt idx="0">
                  <c:v>-29.937000000000001</c:v>
                </c:pt>
                <c:pt idx="1">
                  <c:v>-47.547000000000004</c:v>
                </c:pt>
                <c:pt idx="2">
                  <c:v>-26.414999999999999</c:v>
                </c:pt>
              </c:numCache>
            </c:numRef>
          </c:xVal>
          <c:yVal>
            <c:numRef>
              <c:f>Isosteric!$X$28:$X$30</c:f>
              <c:numCache>
                <c:formatCode>0.00</c:formatCode>
                <c:ptCount val="3"/>
                <c:pt idx="0">
                  <c:v>-0.43765799725667559</c:v>
                </c:pt>
                <c:pt idx="1">
                  <c:v>0.71933128698372661</c:v>
                </c:pt>
                <c:pt idx="2">
                  <c:v>-0.40737593548050111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C-4EF1-9299-5F04E663A2A4}"/>
            </c:ext>
          </c:extLst>
        </c:ser>
        <c:ser>
          <c:idx val="1"/>
          <c:order val="2"/>
          <c:tx>
            <c:v>CataCXium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6166C"/>
              </a:solidFill>
              <a:ln w="9525">
                <a:noFill/>
              </a:ln>
              <a:effectLst/>
            </c:spPr>
          </c:marker>
          <c:xVal>
            <c:numRef>
              <c:f>Isosteric!$I$5:$I$7</c:f>
              <c:numCache>
                <c:formatCode>0.00</c:formatCode>
                <c:ptCount val="3"/>
                <c:pt idx="0">
                  <c:v>-25.229999999999997</c:v>
                </c:pt>
                <c:pt idx="1">
                  <c:v>-45.414000000000001</c:v>
                </c:pt>
                <c:pt idx="2">
                  <c:v>-28.594000000000001</c:v>
                </c:pt>
              </c:numCache>
            </c:numRef>
          </c:xVal>
          <c:yVal>
            <c:numRef>
              <c:f>Isosteric!$X$5:$X$7</c:f>
              <c:numCache>
                <c:formatCode>0.00</c:formatCode>
                <c:ptCount val="3"/>
                <c:pt idx="0">
                  <c:v>-0.38645318412759438</c:v>
                </c:pt>
                <c:pt idx="1">
                  <c:v>0.72875947516787443</c:v>
                </c:pt>
                <c:pt idx="2">
                  <c:v>-0.43770713554352531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C-4EF1-9299-5F04E663A2A4}"/>
            </c:ext>
          </c:extLst>
        </c:ser>
        <c:ser>
          <c:idx val="2"/>
          <c:order val="3"/>
          <c:tx>
            <c:v>P(o-tol)3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3E277D"/>
              </a:solidFill>
              <a:ln w="9525">
                <a:noFill/>
              </a:ln>
              <a:effectLst/>
            </c:spPr>
          </c:marker>
          <c:xVal>
            <c:numRef>
              <c:f>Isosteric!$I$8:$I$11</c:f>
              <c:numCache>
                <c:formatCode>0.00</c:formatCode>
                <c:ptCount val="4"/>
                <c:pt idx="0">
                  <c:v>-24.375</c:v>
                </c:pt>
                <c:pt idx="1">
                  <c:v>-1.625</c:v>
                </c:pt>
                <c:pt idx="2">
                  <c:v>-27.625000000000004</c:v>
                </c:pt>
                <c:pt idx="3">
                  <c:v>-43.875</c:v>
                </c:pt>
              </c:numCache>
            </c:numRef>
          </c:xVal>
          <c:yVal>
            <c:numRef>
              <c:f>Isosteric!$X$8:$X$11</c:f>
              <c:numCache>
                <c:formatCode>0.00</c:formatCode>
                <c:ptCount val="4"/>
                <c:pt idx="0">
                  <c:v>-0.32837960343873773</c:v>
                </c:pt>
                <c:pt idx="1">
                  <c:v>0.35983548233988799</c:v>
                </c:pt>
                <c:pt idx="2">
                  <c:v>-0.43994880175276135</c:v>
                </c:pt>
                <c:pt idx="3">
                  <c:v>0.95504601472292572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C-4EF1-9299-5F04E663A2A4}"/>
            </c:ext>
          </c:extLst>
        </c:ser>
        <c:ser>
          <c:idx val="4"/>
          <c:order val="4"/>
          <c:tx>
            <c:v>PPh3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93398"/>
              </a:solidFill>
              <a:ln w="9525">
                <a:noFill/>
              </a:ln>
              <a:effectLst/>
            </c:spPr>
          </c:marker>
          <c:xVal>
            <c:numRef>
              <c:f>Isosteric!$I$24:$I$27</c:f>
              <c:numCache>
                <c:formatCode>0.00</c:formatCode>
                <c:ptCount val="4"/>
                <c:pt idx="0">
                  <c:v>-40.230000000000004</c:v>
                </c:pt>
                <c:pt idx="1">
                  <c:v>-25.330000000000002</c:v>
                </c:pt>
                <c:pt idx="2">
                  <c:v>-1.49</c:v>
                </c:pt>
                <c:pt idx="3">
                  <c:v>-22.349999999999998</c:v>
                </c:pt>
              </c:numCache>
            </c:numRef>
          </c:xVal>
          <c:yVal>
            <c:numRef>
              <c:f>Isosteric!$X$24:$X$27</c:f>
              <c:numCache>
                <c:formatCode>0.00</c:formatCode>
                <c:ptCount val="4"/>
                <c:pt idx="0">
                  <c:v>0.75281643118827146</c:v>
                </c:pt>
                <c:pt idx="1">
                  <c:v>-0.38194974082037297</c:v>
                </c:pt>
                <c:pt idx="2">
                  <c:v>0.35024801833416286</c:v>
                </c:pt>
                <c:pt idx="3">
                  <c:v>-0.36357942347376265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C-4EF1-9299-5F04E663A2A4}"/>
            </c:ext>
          </c:extLst>
        </c:ser>
        <c:ser>
          <c:idx val="5"/>
          <c:order val="5"/>
          <c:tx>
            <c:v>PCy3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64E90"/>
              </a:solidFill>
              <a:ln w="9525">
                <a:noFill/>
              </a:ln>
              <a:effectLst/>
            </c:spPr>
          </c:marker>
          <c:xVal>
            <c:numRef>
              <c:f>Isosteric!$I$12:$I$15</c:f>
              <c:numCache>
                <c:formatCode>0.00</c:formatCode>
                <c:ptCount val="4"/>
                <c:pt idx="0">
                  <c:v>-44.091000000000008</c:v>
                </c:pt>
                <c:pt idx="1">
                  <c:v>-27.761000000000003</c:v>
                </c:pt>
                <c:pt idx="2">
                  <c:v>-1.6330000000000002</c:v>
                </c:pt>
                <c:pt idx="3">
                  <c:v>-24.495000000000001</c:v>
                </c:pt>
              </c:numCache>
            </c:numRef>
          </c:xVal>
          <c:yVal>
            <c:numRef>
              <c:f>Isosteric!$X$12:$X$15</c:f>
              <c:numCache>
                <c:formatCode>0.00</c:formatCode>
                <c:ptCount val="4"/>
                <c:pt idx="0">
                  <c:v>0.93449845124356767</c:v>
                </c:pt>
                <c:pt idx="1">
                  <c:v>-0.17451973003250021</c:v>
                </c:pt>
                <c:pt idx="2">
                  <c:v>0.40483371661993806</c:v>
                </c:pt>
                <c:pt idx="3">
                  <c:v>-2.2461599307156129E-2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C-4EF1-9299-5F04E663A2A4}"/>
            </c:ext>
          </c:extLst>
        </c:ser>
        <c:ser>
          <c:idx val="6"/>
          <c:order val="6"/>
          <c:tx>
            <c:v>PPh2Me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C638A"/>
              </a:solidFill>
              <a:ln w="9525">
                <a:noFill/>
              </a:ln>
              <a:effectLst/>
            </c:spPr>
          </c:marker>
          <c:xVal>
            <c:numRef>
              <c:f>Isosteric!$I$20:$I$23</c:f>
              <c:numCache>
                <c:formatCode>0.00</c:formatCode>
                <c:ptCount val="4"/>
                <c:pt idx="0">
                  <c:v>-1.391</c:v>
                </c:pt>
                <c:pt idx="1">
                  <c:v>-23.647000000000002</c:v>
                </c:pt>
                <c:pt idx="2">
                  <c:v>-37.557000000000002</c:v>
                </c:pt>
                <c:pt idx="3">
                  <c:v>-20.864999999999998</c:v>
                </c:pt>
              </c:numCache>
            </c:numRef>
          </c:xVal>
          <c:yVal>
            <c:numRef>
              <c:f>Isosteric!$X$20:$X$23</c:f>
              <c:numCache>
                <c:formatCode>0.00</c:formatCode>
                <c:ptCount val="4"/>
                <c:pt idx="0">
                  <c:v>0.33041377334919075</c:v>
                </c:pt>
                <c:pt idx="1">
                  <c:v>-0.33240087737166191</c:v>
                </c:pt>
                <c:pt idx="2">
                  <c:v>0.78746047451841505</c:v>
                </c:pt>
                <c:pt idx="3">
                  <c:v>-0.30211167612826895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C-4EF1-9299-5F04E663A2A4}"/>
            </c:ext>
          </c:extLst>
        </c:ser>
        <c:ser>
          <c:idx val="7"/>
          <c:order val="7"/>
          <c:tx>
            <c:v>PEt3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157C7F"/>
              </a:solidFill>
              <a:ln w="9525">
                <a:noFill/>
              </a:ln>
              <a:effectLst/>
            </c:spPr>
          </c:marker>
          <c:xVal>
            <c:numRef>
              <c:f>Isosteric!$I$16:$I$19</c:f>
              <c:numCache>
                <c:formatCode>0.00</c:formatCode>
                <c:ptCount val="4"/>
                <c:pt idx="0">
                  <c:v>-37.881000000000007</c:v>
                </c:pt>
                <c:pt idx="1">
                  <c:v>-21.045000000000002</c:v>
                </c:pt>
                <c:pt idx="2">
                  <c:v>-23.851000000000003</c:v>
                </c:pt>
                <c:pt idx="3">
                  <c:v>-1.4030000000000002</c:v>
                </c:pt>
              </c:numCache>
            </c:numRef>
          </c:xVal>
          <c:yVal>
            <c:numRef>
              <c:f>Isosteric!$X$16:$X$19</c:f>
              <c:numCache>
                <c:formatCode>0.00</c:formatCode>
                <c:ptCount val="4"/>
                <c:pt idx="0">
                  <c:v>0.8347385189038411</c:v>
                </c:pt>
                <c:pt idx="1">
                  <c:v>-0.27528385294751634</c:v>
                </c:pt>
                <c:pt idx="2">
                  <c:v>-0.29670862188133862</c:v>
                </c:pt>
                <c:pt idx="3">
                  <c:v>0.26403034413212262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C-4EF1-9299-5F04E663A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71632"/>
        <c:axId val="733769168"/>
        <c:extLst/>
      </c:scatterChart>
      <c:valAx>
        <c:axId val="733771632"/>
        <c:scaling>
          <c:orientation val="minMax"/>
          <c:max val="0"/>
          <c:min val="-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cs typeface="Times New Roman" panose="02020603050405020304" pitchFamily="18" charset="0"/>
                  </a:rPr>
                  <a:t>cone angle</a:t>
                </a:r>
                <a:r>
                  <a:rPr lang="en-US" sz="1200" b="0" i="0" u="none" strike="noStrike" kern="1200" baseline="-25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cs typeface="Times New Roman" panose="02020603050405020304" pitchFamily="18" charset="0"/>
                  </a:rPr>
                  <a:t>L </a:t>
                </a: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cs typeface="Times New Roman" panose="02020603050405020304" pitchFamily="18" charset="0"/>
                    <a:sym typeface="Symbol" panose="05050102010706020507" pitchFamily="18" charset="2"/>
                  </a:rPr>
                  <a:t></a:t>
                </a: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cs typeface="Times New Roman" panose="02020603050405020304" pitchFamily="18" charset="0"/>
                  </a:rPr>
                  <a:t> </a:t>
                </a:r>
                <a:r>
                  <a:rPr lang="el-GR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cs typeface="Times New Roman" panose="02020603050405020304" pitchFamily="18" charset="0"/>
                  </a:rPr>
                  <a:t>σ</a:t>
                </a:r>
                <a:r>
                  <a:rPr lang="en-US" sz="1200" b="0" i="1" u="none" strike="noStrike" kern="1200" baseline="-25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cs typeface="Times New Roman" panose="02020603050405020304" pitchFamily="18" charset="0"/>
                  </a:rPr>
                  <a:t>p</a:t>
                </a:r>
                <a:r>
                  <a:rPr lang="en-US" sz="1200" b="0" i="0" u="none" strike="noStrike" kern="1200" baseline="-25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cs typeface="Times New Roman" panose="02020603050405020304" pitchFamily="18" charset="0"/>
                  </a:rPr>
                  <a:t>R</a:t>
                </a:r>
                <a:endParaRPr lang="en-US" sz="1200" b="0" i="0" u="none" strike="noStrike" kern="1200" baseline="-2500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-Light" panose="020B0400000000000000" pitchFamily="34" charset="0"/>
                <a:ea typeface="+mn-ea"/>
                <a:cs typeface="+mn-cs"/>
              </a:defRPr>
            </a:pPr>
            <a:endParaRPr lang="en-US"/>
          </a:p>
        </c:txPr>
        <c:crossAx val="733769168"/>
        <c:crosses val="autoZero"/>
        <c:crossBetween val="midCat"/>
      </c:valAx>
      <c:valAx>
        <c:axId val="733769168"/>
        <c:scaling>
          <c:orientation val="minMax"/>
          <c:max val="1.5"/>
          <c:min val="-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</a:rPr>
                  <a:t>log(</a:t>
                </a:r>
                <a:r>
                  <a:rPr lang="en-US" sz="1200" b="0" i="0" u="none" strike="noStrike" kern="1200" baseline="0">
                    <a:solidFill>
                      <a:srgbClr val="7F0040"/>
                    </a:solidFill>
                    <a:latin typeface="Helvetica" pitchFamily="2" charset="0"/>
                  </a:rPr>
                  <a:t>3B</a:t>
                </a: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</a:rPr>
                  <a:t> / </a:t>
                </a:r>
                <a:r>
                  <a:rPr lang="en-US" sz="1200" b="0" i="0" u="none" strike="noStrike" kern="1200" baseline="0">
                    <a:solidFill>
                      <a:srgbClr val="093398"/>
                    </a:solidFill>
                    <a:latin typeface="Helvetica" pitchFamily="2" charset="0"/>
                  </a:rPr>
                  <a:t>3A</a:t>
                </a: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</a:rPr>
                  <a:t>)</a:t>
                </a:r>
                <a:endParaRPr lang="en-US" sz="1200" b="0" i="0" u="none" strike="noStrike" kern="1200" baseline="3000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-Light" panose="020B0400000000000000" pitchFamily="34" charset="0"/>
                <a:ea typeface="+mn-ea"/>
                <a:cs typeface="+mn-cs"/>
              </a:defRPr>
            </a:pPr>
            <a:endParaRPr lang="en-US"/>
          </a:p>
        </c:txPr>
        <c:crossAx val="733771632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LOLO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6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15382168138073"/>
                  <c:y val="4.72652315519383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LOLO!$V$2:$V$44</c:f>
              <c:numCache>
                <c:formatCode>0.00</c:formatCode>
                <c:ptCount val="43"/>
                <c:pt idx="0">
                  <c:v>-0.54450400204623883</c:v>
                </c:pt>
                <c:pt idx="1">
                  <c:v>-0.50783407992184604</c:v>
                </c:pt>
                <c:pt idx="2">
                  <c:v>0.14745288848840082</c:v>
                </c:pt>
                <c:pt idx="3">
                  <c:v>1.848161157689775</c:v>
                </c:pt>
                <c:pt idx="4">
                  <c:v>1.8945215671162077</c:v>
                </c:pt>
                <c:pt idx="5">
                  <c:v>-0.65983962474136404</c:v>
                </c:pt>
                <c:pt idx="6">
                  <c:v>1.2443017637621994</c:v>
                </c:pt>
                <c:pt idx="7">
                  <c:v>-0.74735187579228024</c:v>
                </c:pt>
                <c:pt idx="8">
                  <c:v>-0.1257496909661617</c:v>
                </c:pt>
                <c:pt idx="9">
                  <c:v>1.5126523149827651</c:v>
                </c:pt>
                <c:pt idx="10">
                  <c:v>-0.56068337176436511</c:v>
                </c:pt>
                <c:pt idx="11">
                  <c:v>0.99123648392219033</c:v>
                </c:pt>
                <c:pt idx="12">
                  <c:v>0.61439190926005272</c:v>
                </c:pt>
                <c:pt idx="13">
                  <c:v>-4.9587442926128815E-2</c:v>
                </c:pt>
                <c:pt idx="14">
                  <c:v>-0.75117935154108739</c:v>
                </c:pt>
                <c:pt idx="15">
                  <c:v>1.6306689395977298</c:v>
                </c:pt>
                <c:pt idx="16">
                  <c:v>1.595585526826333</c:v>
                </c:pt>
                <c:pt idx="17">
                  <c:v>-0.29797925830154015</c:v>
                </c:pt>
                <c:pt idx="18">
                  <c:v>0.29070901989757381</c:v>
                </c:pt>
                <c:pt idx="19">
                  <c:v>0.6912229957690178</c:v>
                </c:pt>
                <c:pt idx="20">
                  <c:v>0.87171704564628627</c:v>
                </c:pt>
                <c:pt idx="21">
                  <c:v>-3.8351484388420377E-2</c:v>
                </c:pt>
                <c:pt idx="22">
                  <c:v>-0.36671935575980447</c:v>
                </c:pt>
                <c:pt idx="23">
                  <c:v>1.425252976797361</c:v>
                </c:pt>
                <c:pt idx="24">
                  <c:v>-0.47002638789559903</c:v>
                </c:pt>
                <c:pt idx="25">
                  <c:v>-0.50660756272891638</c:v>
                </c:pt>
                <c:pt idx="26">
                  <c:v>0.4508118715227144</c:v>
                </c:pt>
                <c:pt idx="27">
                  <c:v>0.56415656325430852</c:v>
                </c:pt>
                <c:pt idx="28">
                  <c:v>-0.56754939329520815</c:v>
                </c:pt>
                <c:pt idx="29">
                  <c:v>-0.41284134913213522</c:v>
                </c:pt>
                <c:pt idx="30">
                  <c:v>1.3445292867177749</c:v>
                </c:pt>
                <c:pt idx="31">
                  <c:v>-0.51583286978596632</c:v>
                </c:pt>
                <c:pt idx="32">
                  <c:v>0.65226524808288666</c:v>
                </c:pt>
                <c:pt idx="33">
                  <c:v>1.2853771992480076</c:v>
                </c:pt>
                <c:pt idx="34">
                  <c:v>-0.65215033542009948</c:v>
                </c:pt>
                <c:pt idx="35" formatCode="#,##0.00">
                  <c:v>0.5980220385704369</c:v>
                </c:pt>
                <c:pt idx="36" formatCode="#,##0.00">
                  <c:v>-0.25474306586396717</c:v>
                </c:pt>
                <c:pt idx="37" formatCode="#,##0.00">
                  <c:v>-0.62078440598227913</c:v>
                </c:pt>
                <c:pt idx="38">
                  <c:v>-0.74726797587868898</c:v>
                </c:pt>
                <c:pt idx="39" formatCode="General">
                  <c:v>1.2282038445085051</c:v>
                </c:pt>
                <c:pt idx="40">
                  <c:v>-0.21129962351926446</c:v>
                </c:pt>
                <c:pt idx="41">
                  <c:v>1.7450146872601209</c:v>
                </c:pt>
                <c:pt idx="42">
                  <c:v>-0.69556364247050928</c:v>
                </c:pt>
              </c:numCache>
            </c:numRef>
          </c:xVal>
          <c:yVal>
            <c:numRef>
              <c:f>LOLO!$W$2:$W$44</c:f>
              <c:numCache>
                <c:formatCode>0.00</c:formatCode>
                <c:ptCount val="43"/>
                <c:pt idx="0">
                  <c:v>0.76337390715304854</c:v>
                </c:pt>
                <c:pt idx="1">
                  <c:v>0.90967463003319304</c:v>
                </c:pt>
                <c:pt idx="2">
                  <c:v>1.6411782444339136</c:v>
                </c:pt>
                <c:pt idx="3">
                  <c:v>2.9088431374432897</c:v>
                </c:pt>
                <c:pt idx="4">
                  <c:v>3.2684816321307117</c:v>
                </c:pt>
                <c:pt idx="5">
                  <c:v>0.68013957243706924</c:v>
                </c:pt>
                <c:pt idx="6">
                  <c:v>2.5447735661565751</c:v>
                </c:pt>
                <c:pt idx="7">
                  <c:v>0.56769329610658936</c:v>
                </c:pt>
                <c:pt idx="8">
                  <c:v>1.242370954089469</c:v>
                </c:pt>
                <c:pt idx="9">
                  <c:v>2.2085370002596632</c:v>
                </c:pt>
                <c:pt idx="10">
                  <c:v>0.71854486424132702</c:v>
                </c:pt>
                <c:pt idx="11">
                  <c:v>2.2747510323193425</c:v>
                </c:pt>
                <c:pt idx="12">
                  <c:v>2.362902782927315</c:v>
                </c:pt>
                <c:pt idx="13">
                  <c:v>1.2859350320219847</c:v>
                </c:pt>
                <c:pt idx="14">
                  <c:v>0.6050668306851954</c:v>
                </c:pt>
                <c:pt idx="15">
                  <c:v>2.5129839115100658</c:v>
                </c:pt>
                <c:pt idx="16">
                  <c:v>2.6283956379395903</c:v>
                </c:pt>
                <c:pt idx="17">
                  <c:v>0.63865557468621337</c:v>
                </c:pt>
                <c:pt idx="18">
                  <c:v>1.3527004065166706</c:v>
                </c:pt>
                <c:pt idx="19">
                  <c:v>2.4745206706942882</c:v>
                </c:pt>
                <c:pt idx="20">
                  <c:v>2.3914579726291096</c:v>
                </c:pt>
                <c:pt idx="21">
                  <c:v>0.75766304665795647</c:v>
                </c:pt>
                <c:pt idx="22">
                  <c:v>1.1384858058922247</c:v>
                </c:pt>
                <c:pt idx="23">
                  <c:v>2.1925525489922837</c:v>
                </c:pt>
                <c:pt idx="24">
                  <c:v>0.64003739500472157</c:v>
                </c:pt>
                <c:pt idx="25">
                  <c:v>0.54034771282722072</c:v>
                </c:pt>
                <c:pt idx="26">
                  <c:v>2.0682506757267731</c:v>
                </c:pt>
                <c:pt idx="27">
                  <c:v>2.0397050795966543</c:v>
                </c:pt>
                <c:pt idx="28">
                  <c:v>0.53234938176312208</c:v>
                </c:pt>
                <c:pt idx="29">
                  <c:v>1.1221226086915714</c:v>
                </c:pt>
                <c:pt idx="30">
                  <c:v>2.1626471716758484</c:v>
                </c:pt>
                <c:pt idx="31">
                  <c:v>0.63064491958453039</c:v>
                </c:pt>
                <c:pt idx="32">
                  <c:v>2.1095847039738058</c:v>
                </c:pt>
                <c:pt idx="33">
                  <c:v>2.3185775911125797</c:v>
                </c:pt>
                <c:pt idx="34">
                  <c:v>0.56338268342742215</c:v>
                </c:pt>
                <c:pt idx="35">
                  <c:v>2.1828444784532852</c:v>
                </c:pt>
                <c:pt idx="36">
                  <c:v>1.1932631036717267</c:v>
                </c:pt>
                <c:pt idx="37">
                  <c:v>0.66836275346813989</c:v>
                </c:pt>
                <c:pt idx="38">
                  <c:v>0.57498394002940245</c:v>
                </c:pt>
                <c:pt idx="39">
                  <c:v>2.6511557622949695</c:v>
                </c:pt>
                <c:pt idx="40">
                  <c:v>1.2724605870545429</c:v>
                </c:pt>
                <c:pt idx="41">
                  <c:v>2.2661786831655082</c:v>
                </c:pt>
                <c:pt idx="42">
                  <c:v>0.69123004786692588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3C-4ADB-92FB-B40DFB300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71632"/>
        <c:axId val="733769168"/>
      </c:scatterChart>
      <c:valAx>
        <c:axId val="73377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Measured </a:t>
                </a:r>
                <a:r>
                  <a:rPr lang="el-GR" sz="1400"/>
                  <a:t>ΔΔ</a:t>
                </a:r>
                <a:r>
                  <a:rPr lang="en-US" sz="1400"/>
                  <a:t>G</a:t>
                </a:r>
                <a:r>
                  <a:rPr lang="en-US" sz="1400" b="0" i="0" u="none" strike="noStrike" baseline="30000">
                    <a:effectLst/>
                  </a:rPr>
                  <a:t>‡</a:t>
                </a:r>
                <a:endParaRPr lang="en-US" sz="1400" baseline="30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69168"/>
        <c:crosses val="autoZero"/>
        <c:crossBetween val="midCat"/>
      </c:valAx>
      <c:valAx>
        <c:axId val="733769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Predicted </a:t>
                </a:r>
                <a:r>
                  <a:rPr lang="el-GR" sz="14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ΔΔ</a:t>
                </a:r>
                <a:r>
                  <a:rPr lang="en-US" sz="14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G</a:t>
                </a:r>
                <a:r>
                  <a:rPr lang="en-US" sz="1400" b="0" i="0" u="none" strike="noStrike" kern="1200" baseline="3000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</a:rPr>
                  <a:t>‡</a:t>
                </a:r>
                <a:endParaRPr lang="en-US" sz="1400" b="0" i="0" u="none" strike="noStrike" kern="1200" baseline="30000">
                  <a:solidFill>
                    <a:srgbClr val="000000">
                      <a:lumMod val="65000"/>
                      <a:lumOff val="35000"/>
                    </a:srgb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716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5-Fold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6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100758983633478"/>
                  <c:y val="-5.9892635969523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'5-fold'!$V$2:$V$44</c:f>
              <c:numCache>
                <c:formatCode>0.00</c:formatCode>
                <c:ptCount val="43"/>
                <c:pt idx="0">
                  <c:v>-0.50783407992184604</c:v>
                </c:pt>
                <c:pt idx="1">
                  <c:v>0.6912229957690178</c:v>
                </c:pt>
                <c:pt idx="2">
                  <c:v>-0.41284134913213522</c:v>
                </c:pt>
                <c:pt idx="3">
                  <c:v>1.3445292867177749</c:v>
                </c:pt>
                <c:pt idx="4">
                  <c:v>-0.74735187579228024</c:v>
                </c:pt>
                <c:pt idx="5">
                  <c:v>-3.8351484388420377E-2</c:v>
                </c:pt>
                <c:pt idx="6">
                  <c:v>1.5126523149827651</c:v>
                </c:pt>
                <c:pt idx="7">
                  <c:v>-0.51583286978596632</c:v>
                </c:pt>
                <c:pt idx="8">
                  <c:v>1.6306689395977298</c:v>
                </c:pt>
                <c:pt idx="9">
                  <c:v>-0.36671935575980447</c:v>
                </c:pt>
                <c:pt idx="10">
                  <c:v>-0.65983962474136404</c:v>
                </c:pt>
                <c:pt idx="11">
                  <c:v>-0.54450400204623883</c:v>
                </c:pt>
                <c:pt idx="12">
                  <c:v>-0.56068337176436511</c:v>
                </c:pt>
                <c:pt idx="13">
                  <c:v>-0.74726797587868898</c:v>
                </c:pt>
                <c:pt idx="14">
                  <c:v>1.425252976797361</c:v>
                </c:pt>
                <c:pt idx="15">
                  <c:v>0.65226524808288666</c:v>
                </c:pt>
                <c:pt idx="16">
                  <c:v>-0.47002638789559903</c:v>
                </c:pt>
                <c:pt idx="17">
                  <c:v>1.2853771992480076</c:v>
                </c:pt>
                <c:pt idx="18">
                  <c:v>-0.50660756272891638</c:v>
                </c:pt>
                <c:pt idx="19">
                  <c:v>-0.65215033542009948</c:v>
                </c:pt>
                <c:pt idx="20">
                  <c:v>0.4508118715227144</c:v>
                </c:pt>
                <c:pt idx="21">
                  <c:v>0.14745288848840082</c:v>
                </c:pt>
                <c:pt idx="22">
                  <c:v>1.848161157689775</c:v>
                </c:pt>
                <c:pt idx="23">
                  <c:v>1.2282038445085051</c:v>
                </c:pt>
                <c:pt idx="24">
                  <c:v>0.5980220385704369</c:v>
                </c:pt>
                <c:pt idx="25">
                  <c:v>0.56415656325430852</c:v>
                </c:pt>
                <c:pt idx="26">
                  <c:v>-0.21129962351926446</c:v>
                </c:pt>
                <c:pt idx="27">
                  <c:v>1.595585526826333</c:v>
                </c:pt>
                <c:pt idx="28">
                  <c:v>0.99123648392219033</c:v>
                </c:pt>
                <c:pt idx="29">
                  <c:v>-0.25474306586396717</c:v>
                </c:pt>
                <c:pt idx="30">
                  <c:v>1.7450146872601209</c:v>
                </c:pt>
                <c:pt idx="31">
                  <c:v>-0.69556364247050928</c:v>
                </c:pt>
                <c:pt idx="32">
                  <c:v>0.61439190926005272</c:v>
                </c:pt>
                <c:pt idx="33">
                  <c:v>-0.29797925830154015</c:v>
                </c:pt>
                <c:pt idx="34">
                  <c:v>1.2443017637621994</c:v>
                </c:pt>
                <c:pt idx="35">
                  <c:v>-0.62078440598227913</c:v>
                </c:pt>
                <c:pt idx="36">
                  <c:v>0.29070901989757381</c:v>
                </c:pt>
                <c:pt idx="37">
                  <c:v>-4.9587442926128815E-2</c:v>
                </c:pt>
                <c:pt idx="38">
                  <c:v>1.8945215671162077</c:v>
                </c:pt>
                <c:pt idx="39">
                  <c:v>-0.56754939329520815</c:v>
                </c:pt>
                <c:pt idx="40">
                  <c:v>-0.75117935154108739</c:v>
                </c:pt>
                <c:pt idx="41">
                  <c:v>0.87171704564628627</c:v>
                </c:pt>
                <c:pt idx="42">
                  <c:v>-0.1257496909661617</c:v>
                </c:pt>
              </c:numCache>
            </c:numRef>
          </c:xVal>
          <c:yVal>
            <c:numRef>
              <c:f>'5-fold'!$W$2:$W$44</c:f>
              <c:numCache>
                <c:formatCode>0.00</c:formatCode>
                <c:ptCount val="43"/>
                <c:pt idx="0">
                  <c:v>0.92803016016618489</c:v>
                </c:pt>
                <c:pt idx="1">
                  <c:v>2.3430020998083525</c:v>
                </c:pt>
                <c:pt idx="2">
                  <c:v>1.0878060989786709</c:v>
                </c:pt>
                <c:pt idx="3">
                  <c:v>2.1216371744625602</c:v>
                </c:pt>
                <c:pt idx="4">
                  <c:v>0.61964653097564393</c:v>
                </c:pt>
                <c:pt idx="5">
                  <c:v>0.71417212608453351</c:v>
                </c:pt>
                <c:pt idx="6">
                  <c:v>2.3263659738470532</c:v>
                </c:pt>
                <c:pt idx="7">
                  <c:v>0.60833645277623138</c:v>
                </c:pt>
                <c:pt idx="8">
                  <c:v>2.4785481010076644</c:v>
                </c:pt>
                <c:pt idx="9">
                  <c:v>1.1297313769791639</c:v>
                </c:pt>
                <c:pt idx="10">
                  <c:v>0.76624549664048047</c:v>
                </c:pt>
                <c:pt idx="11">
                  <c:v>0.8182905572539374</c:v>
                </c:pt>
                <c:pt idx="12">
                  <c:v>0.74027879431675447</c:v>
                </c:pt>
                <c:pt idx="13">
                  <c:v>0.67908090071827698</c:v>
                </c:pt>
                <c:pt idx="14">
                  <c:v>2.1421902671027575</c:v>
                </c:pt>
                <c:pt idx="15">
                  <c:v>2.1158998996516072</c:v>
                </c:pt>
                <c:pt idx="16">
                  <c:v>0.6391453221085579</c:v>
                </c:pt>
                <c:pt idx="17">
                  <c:v>2.3611846895270494</c:v>
                </c:pt>
                <c:pt idx="18">
                  <c:v>0.50755671186261075</c:v>
                </c:pt>
                <c:pt idx="19">
                  <c:v>0.53903029271225222</c:v>
                </c:pt>
                <c:pt idx="20">
                  <c:v>2.0757018580598379</c:v>
                </c:pt>
                <c:pt idx="21">
                  <c:v>1.6649520642328157</c:v>
                </c:pt>
                <c:pt idx="22">
                  <c:v>2.9553297298792605</c:v>
                </c:pt>
                <c:pt idx="23">
                  <c:v>2.7906350592329758</c:v>
                </c:pt>
                <c:pt idx="24">
                  <c:v>2.2044160858939112</c:v>
                </c:pt>
                <c:pt idx="25">
                  <c:v>1.9730265961878872</c:v>
                </c:pt>
                <c:pt idx="26">
                  <c:v>1.3083703059855289</c:v>
                </c:pt>
                <c:pt idx="27">
                  <c:v>2.4892927642554139</c:v>
                </c:pt>
                <c:pt idx="28">
                  <c:v>2.1466200228318177</c:v>
                </c:pt>
                <c:pt idx="29">
                  <c:v>1.107025415058738</c:v>
                </c:pt>
                <c:pt idx="30">
                  <c:v>2.3262756062811274</c:v>
                </c:pt>
                <c:pt idx="31">
                  <c:v>0.71573582744615816</c:v>
                </c:pt>
                <c:pt idx="32">
                  <c:v>2.3049376123690273</c:v>
                </c:pt>
                <c:pt idx="33">
                  <c:v>0.55380021892596121</c:v>
                </c:pt>
                <c:pt idx="34">
                  <c:v>2.6699890950563834</c:v>
                </c:pt>
                <c:pt idx="35">
                  <c:v>0.66584014528090962</c:v>
                </c:pt>
                <c:pt idx="36">
                  <c:v>1.3120451790378858</c:v>
                </c:pt>
                <c:pt idx="37">
                  <c:v>1.3056175235373941</c:v>
                </c:pt>
                <c:pt idx="38">
                  <c:v>3.3684404635610266</c:v>
                </c:pt>
                <c:pt idx="39">
                  <c:v>0.52239799171730672</c:v>
                </c:pt>
                <c:pt idx="40">
                  <c:v>0.61027802770713402</c:v>
                </c:pt>
                <c:pt idx="41">
                  <c:v>2.3235548522614788</c:v>
                </c:pt>
                <c:pt idx="42">
                  <c:v>1.3514145689783983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BD-4E24-9E15-6A5A2554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71632"/>
        <c:axId val="733769168"/>
      </c:scatterChart>
      <c:valAx>
        <c:axId val="73377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Measured </a:t>
                </a:r>
                <a:r>
                  <a:rPr lang="el-GR" sz="1400"/>
                  <a:t>ΔΔ</a:t>
                </a:r>
                <a:r>
                  <a:rPr lang="en-US" sz="1400"/>
                  <a:t>G</a:t>
                </a:r>
                <a:r>
                  <a:rPr lang="en-US" sz="1400" b="0" i="0" u="none" strike="noStrike" baseline="30000">
                    <a:effectLst/>
                  </a:rPr>
                  <a:t>‡</a:t>
                </a:r>
                <a:endParaRPr lang="en-US" sz="1400" baseline="30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69168"/>
        <c:crosses val="autoZero"/>
        <c:crossBetween val="midCat"/>
      </c:valAx>
      <c:valAx>
        <c:axId val="733769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Predicted </a:t>
                </a:r>
                <a:r>
                  <a:rPr lang="el-GR" sz="14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ΔΔ</a:t>
                </a:r>
                <a:r>
                  <a:rPr lang="en-US" sz="14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G</a:t>
                </a:r>
                <a:r>
                  <a:rPr lang="en-US" sz="1400" b="0" i="0" u="none" strike="noStrike" kern="1200" baseline="30000">
                    <a:solidFill>
                      <a:srgbClr val="000000">
                        <a:lumMod val="65000"/>
                        <a:lumOff val="35000"/>
                      </a:srgbClr>
                    </a:solidFill>
                    <a:effectLst/>
                  </a:rPr>
                  <a:t>‡</a:t>
                </a:r>
                <a:endParaRPr lang="en-US" sz="1400" b="0" i="0" u="none" strike="noStrike" kern="1200" baseline="30000">
                  <a:solidFill>
                    <a:srgbClr val="000000">
                      <a:lumMod val="65000"/>
                      <a:lumOff val="35000"/>
                    </a:srgb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716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CataXCium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6166C"/>
              </a:solidFill>
              <a:ln w="9525">
                <a:noFill/>
              </a:ln>
              <a:effectLst/>
            </c:spPr>
          </c:marker>
          <c:trendline>
            <c:spPr>
              <a:ln w="19050" cap="rnd" cmpd="dbl">
                <a:solidFill>
                  <a:srgbClr val="66166C">
                    <a:alpha val="10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Isoelectronic!$K$6:$K$9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0.52</c:v>
                </c:pt>
                <c:pt idx="2">
                  <c:v>0.76</c:v>
                </c:pt>
                <c:pt idx="3">
                  <c:v>1.24</c:v>
                </c:pt>
              </c:numCache>
            </c:numRef>
          </c:xVal>
          <c:yVal>
            <c:numRef>
              <c:f>Isoelectronic!$V$6:$V$9</c:f>
              <c:numCache>
                <c:formatCode>0.00</c:formatCode>
                <c:ptCount val="4"/>
                <c:pt idx="0">
                  <c:v>-0.38645318412759438</c:v>
                </c:pt>
                <c:pt idx="1">
                  <c:v>-0.43770713554352531</c:v>
                </c:pt>
                <c:pt idx="2">
                  <c:v>-7.3648757447663749E-2</c:v>
                </c:pt>
                <c:pt idx="3">
                  <c:v>0.8859263398014311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C7-4BE3-B871-A46FAE96DA25}"/>
            </c:ext>
          </c:extLst>
        </c:ser>
        <c:ser>
          <c:idx val="2"/>
          <c:order val="2"/>
          <c:tx>
            <c:v>P(o-tol)3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3E277D"/>
              </a:solidFill>
              <a:ln w="9525">
                <a:noFill/>
              </a:ln>
              <a:effectLst/>
            </c:spPr>
          </c:marker>
          <c:trendline>
            <c:spPr>
              <a:ln w="19050" cap="rnd" cmpd="dbl">
                <a:solidFill>
                  <a:srgbClr val="3E277D">
                    <a:alpha val="10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Isoelectronic!$K$10:$K$13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1.24</c:v>
                </c:pt>
                <c:pt idx="2">
                  <c:v>0.76</c:v>
                </c:pt>
                <c:pt idx="3">
                  <c:v>0.52</c:v>
                </c:pt>
              </c:numCache>
            </c:numRef>
          </c:xVal>
          <c:yVal>
            <c:numRef>
              <c:f>Isoelectronic!$V$10:$V$13</c:f>
              <c:numCache>
                <c:formatCode>0.00</c:formatCode>
                <c:ptCount val="4"/>
                <c:pt idx="0">
                  <c:v>-0.32837960343873773</c:v>
                </c:pt>
                <c:pt idx="1">
                  <c:v>0.5805448491901668</c:v>
                </c:pt>
                <c:pt idx="2">
                  <c:v>-2.9042246771795809E-2</c:v>
                </c:pt>
                <c:pt idx="3">
                  <c:v>-0.43994880175276135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C7-4BE3-B871-A46FAE96DA25}"/>
            </c:ext>
          </c:extLst>
        </c:ser>
        <c:ser>
          <c:idx val="3"/>
          <c:order val="3"/>
          <c:tx>
            <c:v>PCy3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64E90"/>
              </a:solidFill>
              <a:ln w="9525">
                <a:noFill/>
              </a:ln>
              <a:effectLst/>
            </c:spPr>
          </c:marker>
          <c:trendline>
            <c:spPr>
              <a:ln w="19050" cap="rnd" cmpd="dbl">
                <a:solidFill>
                  <a:srgbClr val="064E90">
                    <a:alpha val="10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Isoelectronic!$K$14:$K$17</c:f>
              <c:numCache>
                <c:formatCode>General</c:formatCode>
                <c:ptCount val="4"/>
                <c:pt idx="0">
                  <c:v>0.52</c:v>
                </c:pt>
                <c:pt idx="1">
                  <c:v>0.76</c:v>
                </c:pt>
                <c:pt idx="2">
                  <c:v>1.24</c:v>
                </c:pt>
                <c:pt idx="3">
                  <c:v>0.56000000000000005</c:v>
                </c:pt>
              </c:numCache>
            </c:numRef>
          </c:xVal>
          <c:yVal>
            <c:numRef>
              <c:f>Isoelectronic!$V$14:$V$17</c:f>
              <c:numCache>
                <c:formatCode>0.00</c:formatCode>
                <c:ptCount val="4"/>
                <c:pt idx="0">
                  <c:v>-0.17451973003250021</c:v>
                </c:pt>
                <c:pt idx="1">
                  <c:v>0.17026171539495738</c:v>
                </c:pt>
                <c:pt idx="2">
                  <c:v>0.51054501020661214</c:v>
                </c:pt>
                <c:pt idx="3">
                  <c:v>-2.2461599307156129E-2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C7-4BE3-B871-A46FAE96DA25}"/>
            </c:ext>
          </c:extLst>
        </c:ser>
        <c:ser>
          <c:idx val="4"/>
          <c:order val="4"/>
          <c:tx>
            <c:v>PEt3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157C7F"/>
              </a:solidFill>
              <a:ln w="9525">
                <a:noFill/>
              </a:ln>
              <a:effectLst/>
            </c:spPr>
          </c:marker>
          <c:trendline>
            <c:spPr>
              <a:ln w="19050" cap="rnd" cmpd="dbl">
                <a:solidFill>
                  <a:srgbClr val="157C7F">
                    <a:alpha val="10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Isoelectronic!$K$18:$K$20</c:f>
              <c:numCache>
                <c:formatCode>General</c:formatCode>
                <c:ptCount val="3"/>
                <c:pt idx="0">
                  <c:v>0.76</c:v>
                </c:pt>
                <c:pt idx="1">
                  <c:v>0.56000000000000005</c:v>
                </c:pt>
                <c:pt idx="2">
                  <c:v>0.52</c:v>
                </c:pt>
              </c:numCache>
            </c:numRef>
          </c:xVal>
          <c:yVal>
            <c:numRef>
              <c:f>Isoelectronic!$V$18:$V$20</c:f>
              <c:numCache>
                <c:formatCode>0.00</c:formatCode>
                <c:ptCount val="3"/>
                <c:pt idx="0">
                  <c:v>-0.21477925453498814</c:v>
                </c:pt>
                <c:pt idx="1">
                  <c:v>-0.27528385294751634</c:v>
                </c:pt>
                <c:pt idx="2">
                  <c:v>-0.29670862188133862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C7-4BE3-B871-A46FAE96DA25}"/>
            </c:ext>
          </c:extLst>
        </c:ser>
        <c:ser>
          <c:idx val="5"/>
          <c:order val="5"/>
          <c:tx>
            <c:v>PPh2Me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C638A"/>
              </a:solidFill>
              <a:ln w="9525">
                <a:noFill/>
              </a:ln>
              <a:effectLst/>
            </c:spPr>
          </c:marker>
          <c:trendline>
            <c:spPr>
              <a:ln w="19050" cap="rnd" cmpd="dbl">
                <a:solidFill>
                  <a:srgbClr val="0C638A">
                    <a:alpha val="10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Isoelectronic!$K$21:$K$23</c:f>
              <c:numCache>
                <c:formatCode>General</c:formatCode>
                <c:ptCount val="3"/>
                <c:pt idx="0">
                  <c:v>0.52</c:v>
                </c:pt>
                <c:pt idx="1">
                  <c:v>0.76</c:v>
                </c:pt>
                <c:pt idx="2">
                  <c:v>0.56000000000000005</c:v>
                </c:pt>
              </c:numCache>
            </c:numRef>
          </c:xVal>
          <c:yVal>
            <c:numRef>
              <c:f>Isoelectronic!$V$21:$V$23</c:f>
              <c:numCache>
                <c:formatCode>0.00</c:formatCode>
                <c:ptCount val="3"/>
                <c:pt idx="0">
                  <c:v>-0.33240087737166191</c:v>
                </c:pt>
                <c:pt idx="1">
                  <c:v>-0.24179186567369548</c:v>
                </c:pt>
                <c:pt idx="2">
                  <c:v>-0.30211167612826895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C7-4BE3-B871-A46FAE96DA25}"/>
            </c:ext>
          </c:extLst>
        </c:ser>
        <c:ser>
          <c:idx val="6"/>
          <c:order val="6"/>
          <c:tx>
            <c:v>PPh3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93398"/>
              </a:solidFill>
              <a:ln w="9525">
                <a:noFill/>
              </a:ln>
              <a:effectLst/>
            </c:spPr>
          </c:marker>
          <c:trendline>
            <c:spPr>
              <a:ln w="19050" cap="rnd" cmpd="dbl">
                <a:solidFill>
                  <a:srgbClr val="093398">
                    <a:alpha val="10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Isoelectronic!$K$24:$K$27</c:f>
              <c:numCache>
                <c:formatCode>General</c:formatCode>
                <c:ptCount val="4"/>
                <c:pt idx="0">
                  <c:v>1.24</c:v>
                </c:pt>
                <c:pt idx="1">
                  <c:v>0.52</c:v>
                </c:pt>
                <c:pt idx="2">
                  <c:v>0.76</c:v>
                </c:pt>
                <c:pt idx="3">
                  <c:v>0.56000000000000005</c:v>
                </c:pt>
              </c:numCache>
            </c:numRef>
          </c:xVal>
          <c:yVal>
            <c:numRef>
              <c:f>Isoelectronic!$V$24:$V$27</c:f>
              <c:numCache>
                <c:formatCode>0.00</c:formatCode>
                <c:ptCount val="4"/>
                <c:pt idx="0">
                  <c:v>0.3820170425748684</c:v>
                </c:pt>
                <c:pt idx="1">
                  <c:v>-0.38194974082037297</c:v>
                </c:pt>
                <c:pt idx="2">
                  <c:v>-0.14919726740591457</c:v>
                </c:pt>
                <c:pt idx="3">
                  <c:v>-0.36357942347376265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7C7-4BE3-B871-A46FAE96DA25}"/>
            </c:ext>
          </c:extLst>
        </c:ser>
        <c:ser>
          <c:idx val="7"/>
          <c:order val="7"/>
          <c:tx>
            <c:v>PtBu3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F0040"/>
              </a:solidFill>
              <a:ln w="9525">
                <a:noFill/>
              </a:ln>
              <a:effectLst/>
            </c:spPr>
          </c:marker>
          <c:trendline>
            <c:spPr>
              <a:ln w="19050" cap="rnd" cmpd="dbl">
                <a:solidFill>
                  <a:srgbClr val="7F0040">
                    <a:alpha val="10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Isoelectronic!$K$28:$K$31</c:f>
              <c:numCache>
                <c:formatCode>General</c:formatCode>
                <c:ptCount val="4"/>
                <c:pt idx="0">
                  <c:v>0.52</c:v>
                </c:pt>
                <c:pt idx="1">
                  <c:v>0.76</c:v>
                </c:pt>
                <c:pt idx="2">
                  <c:v>1.24</c:v>
                </c:pt>
                <c:pt idx="3">
                  <c:v>0.56000000000000005</c:v>
                </c:pt>
              </c:numCache>
            </c:numRef>
          </c:xVal>
          <c:yVal>
            <c:numRef>
              <c:f>Isoelectronic!$V$28:$V$31</c:f>
              <c:numCache>
                <c:formatCode>0.00</c:formatCode>
                <c:ptCount val="4"/>
                <c:pt idx="0">
                  <c:v>-0.43765799725667559</c:v>
                </c:pt>
                <c:pt idx="1">
                  <c:v>-0.12375342318368461</c:v>
                </c:pt>
                <c:pt idx="2">
                  <c:v>1.0220157398177203</c:v>
                </c:pt>
                <c:pt idx="3">
                  <c:v>-0.40737593548050111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C7-4BE3-B871-A46FAE96D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71632"/>
        <c:axId val="733769168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v>Trixie</c:v>
                </c:tx>
                <c:spPr>
                  <a:ln w="2540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Isoelectronic!$K$2:$K$5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0.52</c:v>
                      </c:pt>
                      <c:pt idx="1">
                        <c:v>0.56000000000000005</c:v>
                      </c:pt>
                      <c:pt idx="2">
                        <c:v>0.76</c:v>
                      </c:pt>
                      <c:pt idx="3">
                        <c:v>1.24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Isoelectronic!$V$2:$V$5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-0.31890371155486019</c:v>
                      </c:pt>
                      <c:pt idx="1">
                        <c:v>-0.29742696533453861</c:v>
                      </c:pt>
                      <c:pt idx="2">
                        <c:v>8.6359830674748214E-2</c:v>
                      </c:pt>
                      <c:pt idx="3">
                        <c:v>1.082426300860772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07C7-4BE3-B871-A46FAE96DA25}"/>
                  </c:ext>
                </c:extLst>
              </c15:ser>
            </c15:filteredScatterSeries>
          </c:ext>
        </c:extLst>
      </c:scatterChart>
      <c:valAx>
        <c:axId val="733771632"/>
        <c:scaling>
          <c:orientation val="minMax"/>
          <c:max val="1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ν</a:t>
                </a:r>
                <a:r>
                  <a:rPr lang="en-US" sz="1200" b="0" i="0" u="none" strike="noStrike" kern="1200" baseline="-25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cs typeface="Times New Roman" panose="02020603050405020304" pitchFamily="18" charset="0"/>
                  </a:rPr>
                  <a:t>R</a:t>
                </a:r>
                <a:endParaRPr lang="en-US" sz="1200" b="0" i="0" u="none" strike="noStrike" kern="1200" baseline="-2500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-Light" panose="020B0400000000000000" pitchFamily="34" charset="0"/>
                <a:ea typeface="+mn-ea"/>
                <a:cs typeface="+mn-cs"/>
              </a:defRPr>
            </a:pPr>
            <a:endParaRPr lang="en-US"/>
          </a:p>
        </c:txPr>
        <c:crossAx val="733769168"/>
        <c:crosses val="autoZero"/>
        <c:crossBetween val="midCat"/>
        <c:majorUnit val="0.25"/>
      </c:valAx>
      <c:valAx>
        <c:axId val="733769168"/>
        <c:scaling>
          <c:orientation val="minMax"/>
          <c:max val="1.2"/>
          <c:min val="-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</a:rPr>
                  <a:t>log(</a:t>
                </a:r>
                <a:r>
                  <a:rPr lang="en-US" sz="1200" b="0" i="0" u="none" strike="noStrike" kern="1200" baseline="0">
                    <a:solidFill>
                      <a:srgbClr val="7F0040"/>
                    </a:solidFill>
                    <a:latin typeface="Helvetica" pitchFamily="2" charset="0"/>
                  </a:rPr>
                  <a:t>3B</a:t>
                </a: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</a:rPr>
                  <a:t> / </a:t>
                </a:r>
                <a:r>
                  <a:rPr lang="en-US" sz="1200" b="0" i="0" u="none" strike="noStrike" kern="1200" baseline="0">
                    <a:solidFill>
                      <a:srgbClr val="093398"/>
                    </a:solidFill>
                    <a:latin typeface="Helvetica" pitchFamily="2" charset="0"/>
                  </a:rPr>
                  <a:t>3A</a:t>
                </a: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</a:rPr>
                  <a:t>)</a:t>
                </a:r>
                <a:endParaRPr lang="en-US" sz="1200" b="0" i="0" u="none" strike="noStrike" kern="1200" baseline="3000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-Light" panose="020B0400000000000000" pitchFamily="34" charset="0"/>
                <a:ea typeface="+mn-ea"/>
                <a:cs typeface="+mn-cs"/>
              </a:defRPr>
            </a:pPr>
            <a:endParaRPr lang="en-US"/>
          </a:p>
        </c:txPr>
        <c:crossAx val="733771632"/>
        <c:crosses val="autoZero"/>
        <c:crossBetween val="midCat"/>
        <c:majorUnit val="0.30000000000000004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LOLO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CataXCium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589668011579088"/>
                  <c:y val="-0.290899192534358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CataCXium A</a:t>
                    </a:r>
                    <a:br>
                      <a:rPr lang="en-US" baseline="0"/>
                    </a:br>
                    <a:r>
                      <a:rPr lang="en-US" baseline="0"/>
                      <a:t>y = 1.855x - 1.4313</a:t>
                    </a:r>
                    <a:br>
                      <a:rPr lang="en-US" baseline="0"/>
                    </a:br>
                    <a:r>
                      <a:rPr lang="en-US" baseline="0"/>
                      <a:t>R² = 0.9966</a:t>
                    </a:r>
                  </a:p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Cone: 168.2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Isoelectronic!$K$6:$K$9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0.52</c:v>
                </c:pt>
                <c:pt idx="2">
                  <c:v>0.76</c:v>
                </c:pt>
                <c:pt idx="3">
                  <c:v>1.24</c:v>
                </c:pt>
              </c:numCache>
            </c:numRef>
          </c:xVal>
          <c:yVal>
            <c:numRef>
              <c:f>Isoelectronic!$V$6:$V$9</c:f>
              <c:numCache>
                <c:formatCode>0.00</c:formatCode>
                <c:ptCount val="4"/>
                <c:pt idx="0">
                  <c:v>-0.38645318412759438</c:v>
                </c:pt>
                <c:pt idx="1">
                  <c:v>-0.43770713554352531</c:v>
                </c:pt>
                <c:pt idx="2">
                  <c:v>-7.3648757447663749E-2</c:v>
                </c:pt>
                <c:pt idx="3">
                  <c:v>0.8859263398014311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8B9-4F33-892F-D379591A5153}"/>
            </c:ext>
          </c:extLst>
        </c:ser>
        <c:ser>
          <c:idx val="2"/>
          <c:order val="2"/>
          <c:tx>
            <c:v>P(o-tol)3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850239735697"/>
                  <c:y val="-0.383697251202355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P(</a:t>
                    </a:r>
                    <a:r>
                      <a:rPr lang="en-US" i="1" baseline="0"/>
                      <a:t>o</a:t>
                    </a:r>
                    <a:r>
                      <a:rPr lang="en-US" baseline="0"/>
                      <a:t>-tol)</a:t>
                    </a:r>
                    <a:r>
                      <a:rPr lang="en-US" baseline="-25000"/>
                      <a:t>3</a:t>
                    </a:r>
                  </a:p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1.38x - 1.1168</a:t>
                    </a:r>
                    <a:br>
                      <a:rPr lang="en-US" baseline="0"/>
                    </a:br>
                    <a:r>
                      <a:rPr lang="en-US" baseline="0"/>
                      <a:t>R² = 0.9942</a:t>
                    </a:r>
                  </a:p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Cone: 162.5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Isoelectronic!$K$10:$K$13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1.24</c:v>
                </c:pt>
                <c:pt idx="2">
                  <c:v>0.76</c:v>
                </c:pt>
                <c:pt idx="3">
                  <c:v>0.52</c:v>
                </c:pt>
              </c:numCache>
            </c:numRef>
          </c:xVal>
          <c:yVal>
            <c:numRef>
              <c:f>Isoelectronic!$V$10:$V$13</c:f>
              <c:numCache>
                <c:formatCode>0.00</c:formatCode>
                <c:ptCount val="4"/>
                <c:pt idx="0">
                  <c:v>-0.32837960343873773</c:v>
                </c:pt>
                <c:pt idx="1">
                  <c:v>0.5805448491901668</c:v>
                </c:pt>
                <c:pt idx="2">
                  <c:v>-2.9042246771795809E-2</c:v>
                </c:pt>
                <c:pt idx="3">
                  <c:v>-0.43994880175276135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8B9-4F33-892F-D379591A5153}"/>
            </c:ext>
          </c:extLst>
        </c:ser>
        <c:ser>
          <c:idx val="3"/>
          <c:order val="3"/>
          <c:tx>
            <c:v>PCy3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891117508754245E-3"/>
                  <c:y val="-0.3997020940924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PCy</a:t>
                    </a:r>
                    <a:r>
                      <a:rPr lang="en-US" baseline="-25000"/>
                      <a:t>3</a:t>
                    </a:r>
                  </a:p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0.8748x - 0.5527</a:t>
                    </a:r>
                    <a:br>
                      <a:rPr lang="en-US" baseline="0"/>
                    </a:br>
                    <a:r>
                      <a:rPr lang="en-US" baseline="0"/>
                      <a:t>R² = 0.9567</a:t>
                    </a:r>
                  </a:p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Cone: 163.3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Isoelectronic!$K$14:$K$17</c:f>
              <c:numCache>
                <c:formatCode>General</c:formatCode>
                <c:ptCount val="4"/>
                <c:pt idx="0">
                  <c:v>0.52</c:v>
                </c:pt>
                <c:pt idx="1">
                  <c:v>0.76</c:v>
                </c:pt>
                <c:pt idx="2">
                  <c:v>1.24</c:v>
                </c:pt>
                <c:pt idx="3">
                  <c:v>0.56000000000000005</c:v>
                </c:pt>
              </c:numCache>
            </c:numRef>
          </c:xVal>
          <c:yVal>
            <c:numRef>
              <c:f>Isoelectronic!$V$14:$V$17</c:f>
              <c:numCache>
                <c:formatCode>0.00</c:formatCode>
                <c:ptCount val="4"/>
                <c:pt idx="0">
                  <c:v>-0.17451973003250021</c:v>
                </c:pt>
                <c:pt idx="1">
                  <c:v>0.17026171539495738</c:v>
                </c:pt>
                <c:pt idx="2">
                  <c:v>0.51054501020661214</c:v>
                </c:pt>
                <c:pt idx="3">
                  <c:v>-2.2461599307156129E-2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8B9-4F33-892F-D379591A5153}"/>
            </c:ext>
          </c:extLst>
        </c:ser>
        <c:ser>
          <c:idx val="4"/>
          <c:order val="4"/>
          <c:tx>
            <c:v>PEt3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048749336999516"/>
                  <c:y val="-0.488123988057970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PEt</a:t>
                    </a:r>
                    <a:r>
                      <a:rPr lang="en-US" baseline="-25000"/>
                      <a:t>3</a:t>
                    </a:r>
                  </a:p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0.3288x - 0.4639</a:t>
                    </a:r>
                    <a:br>
                      <a:rPr lang="en-US" baseline="0"/>
                    </a:br>
                    <a:r>
                      <a:rPr lang="en-US" baseline="0"/>
                      <a:t>R² = 0.9903</a:t>
                    </a:r>
                  </a:p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Cone: 140.3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Isoelectronic!$K$18:$K$20</c:f>
              <c:numCache>
                <c:formatCode>General</c:formatCode>
                <c:ptCount val="3"/>
                <c:pt idx="0">
                  <c:v>0.76</c:v>
                </c:pt>
                <c:pt idx="1">
                  <c:v>0.56000000000000005</c:v>
                </c:pt>
                <c:pt idx="2">
                  <c:v>0.52</c:v>
                </c:pt>
              </c:numCache>
            </c:numRef>
          </c:xVal>
          <c:yVal>
            <c:numRef>
              <c:f>Isoelectronic!$V$18:$V$20</c:f>
              <c:numCache>
                <c:formatCode>0.00</c:formatCode>
                <c:ptCount val="3"/>
                <c:pt idx="0">
                  <c:v>-0.21477925453498814</c:v>
                </c:pt>
                <c:pt idx="1">
                  <c:v>-0.27528385294751634</c:v>
                </c:pt>
                <c:pt idx="2">
                  <c:v>-0.29670862188133862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8B9-4F33-892F-D379591A5153}"/>
            </c:ext>
          </c:extLst>
        </c:ser>
        <c:ser>
          <c:idx val="5"/>
          <c:order val="5"/>
          <c:tx>
            <c:v>PPh2Me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638446375465422"/>
                  <c:y val="-0.503841886946212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PPh</a:t>
                    </a:r>
                    <a:r>
                      <a:rPr lang="en-US" baseline="-25000"/>
                      <a:t>2</a:t>
                    </a:r>
                    <a:r>
                      <a:rPr lang="en-US" baseline="0"/>
                      <a:t>Me</a:t>
                    </a:r>
                  </a:p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0.353x - 0.5086</a:t>
                    </a:r>
                    <a:br>
                      <a:rPr lang="en-US" baseline="0"/>
                    </a:br>
                    <a:r>
                      <a:rPr lang="en-US" baseline="0"/>
                      <a:t>R² = 0.9685</a:t>
                    </a:r>
                  </a:p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Cone: 139.1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Isoelectronic!$K$21:$K$23</c:f>
              <c:numCache>
                <c:formatCode>General</c:formatCode>
                <c:ptCount val="3"/>
                <c:pt idx="0">
                  <c:v>0.52</c:v>
                </c:pt>
                <c:pt idx="1">
                  <c:v>0.76</c:v>
                </c:pt>
                <c:pt idx="2">
                  <c:v>0.56000000000000005</c:v>
                </c:pt>
              </c:numCache>
            </c:numRef>
          </c:xVal>
          <c:yVal>
            <c:numRef>
              <c:f>Isoelectronic!$V$21:$V$23</c:f>
              <c:numCache>
                <c:formatCode>0.00</c:formatCode>
                <c:ptCount val="3"/>
                <c:pt idx="0">
                  <c:v>-0.33240087737166191</c:v>
                </c:pt>
                <c:pt idx="1">
                  <c:v>-0.24179186567369548</c:v>
                </c:pt>
                <c:pt idx="2">
                  <c:v>-0.30211167612826895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8B9-4F33-892F-D379591A5153}"/>
            </c:ext>
          </c:extLst>
        </c:ser>
        <c:ser>
          <c:idx val="6"/>
          <c:order val="6"/>
          <c:tx>
            <c:v>PPh3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762391182159546"/>
                  <c:y val="-0.444458142561886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PPh</a:t>
                    </a:r>
                    <a:r>
                      <a:rPr lang="en-US" baseline="-25000"/>
                      <a:t>3</a:t>
                    </a:r>
                  </a:p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1.0772x - 0.9576</a:t>
                    </a:r>
                    <a:br>
                      <a:rPr lang="en-US" baseline="0"/>
                    </a:br>
                    <a:r>
                      <a:rPr lang="en-US" baseline="0"/>
                      <a:t>R² = 0.9988</a:t>
                    </a:r>
                  </a:p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Cone: 149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Isoelectronic!$K$24:$K$27</c:f>
              <c:numCache>
                <c:formatCode>General</c:formatCode>
                <c:ptCount val="4"/>
                <c:pt idx="0">
                  <c:v>1.24</c:v>
                </c:pt>
                <c:pt idx="1">
                  <c:v>0.52</c:v>
                </c:pt>
                <c:pt idx="2">
                  <c:v>0.76</c:v>
                </c:pt>
                <c:pt idx="3">
                  <c:v>0.56000000000000005</c:v>
                </c:pt>
              </c:numCache>
            </c:numRef>
          </c:xVal>
          <c:yVal>
            <c:numRef>
              <c:f>Isoelectronic!$V$24:$V$27</c:f>
              <c:numCache>
                <c:formatCode>0.00</c:formatCode>
                <c:ptCount val="4"/>
                <c:pt idx="0">
                  <c:v>0.3820170425748684</c:v>
                </c:pt>
                <c:pt idx="1">
                  <c:v>-0.38194974082037297</c:v>
                </c:pt>
                <c:pt idx="2">
                  <c:v>-0.14919726740591457</c:v>
                </c:pt>
                <c:pt idx="3">
                  <c:v>-0.36357942347376265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8B9-4F33-892F-D379591A5153}"/>
            </c:ext>
          </c:extLst>
        </c:ser>
        <c:ser>
          <c:idx val="7"/>
          <c:order val="7"/>
          <c:tx>
            <c:v>PtBu3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999366686105882"/>
                  <c:y val="-0.261624302637029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</a:t>
                    </a:r>
                    <a:r>
                      <a:rPr lang="en-US" i="1" baseline="30000"/>
                      <a:t>t</a:t>
                    </a:r>
                    <a:r>
                      <a:rPr lang="en-US" baseline="0"/>
                      <a:t>Bu</a:t>
                    </a:r>
                    <a:r>
                      <a:rPr lang="en-US" baseline="-25000"/>
                      <a:t>3</a:t>
                    </a:r>
                  </a:p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2.0652x - 1.5769</a:t>
                    </a:r>
                    <a:br>
                      <a:rPr lang="en-US" baseline="0"/>
                    </a:br>
                    <a:r>
                      <a:rPr lang="en-US" baseline="0"/>
                      <a:t>R² = 0.9863</a:t>
                    </a:r>
                  </a:p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Cone: 176.1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Isoelectronic!$K$28:$K$31</c:f>
              <c:numCache>
                <c:formatCode>General</c:formatCode>
                <c:ptCount val="4"/>
                <c:pt idx="0">
                  <c:v>0.52</c:v>
                </c:pt>
                <c:pt idx="1">
                  <c:v>0.76</c:v>
                </c:pt>
                <c:pt idx="2">
                  <c:v>1.24</c:v>
                </c:pt>
                <c:pt idx="3">
                  <c:v>0.56000000000000005</c:v>
                </c:pt>
              </c:numCache>
            </c:numRef>
          </c:xVal>
          <c:yVal>
            <c:numRef>
              <c:f>Isoelectronic!$V$28:$V$31</c:f>
              <c:numCache>
                <c:formatCode>0.00</c:formatCode>
                <c:ptCount val="4"/>
                <c:pt idx="0">
                  <c:v>-0.43765799725667559</c:v>
                </c:pt>
                <c:pt idx="1">
                  <c:v>-0.12375342318368461</c:v>
                </c:pt>
                <c:pt idx="2">
                  <c:v>1.0220157398177203</c:v>
                </c:pt>
                <c:pt idx="3">
                  <c:v>-0.40737593548050111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8B9-4F33-892F-D379591A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71632"/>
        <c:axId val="733769168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v>Trixie</c:v>
                </c:tx>
                <c:spPr>
                  <a:ln w="2540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Isoelectronic!$K$2:$K$5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0.52</c:v>
                      </c:pt>
                      <c:pt idx="1">
                        <c:v>0.56000000000000005</c:v>
                      </c:pt>
                      <c:pt idx="2">
                        <c:v>0.76</c:v>
                      </c:pt>
                      <c:pt idx="3">
                        <c:v>1.24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Isoelectronic!$V$2:$V$5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-0.31890371155486019</c:v>
                      </c:pt>
                      <c:pt idx="1">
                        <c:v>-0.29742696533453861</c:v>
                      </c:pt>
                      <c:pt idx="2">
                        <c:v>8.6359830674748214E-2</c:v>
                      </c:pt>
                      <c:pt idx="3">
                        <c:v>1.082426300860772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9-88B9-4F33-892F-D379591A5153}"/>
                  </c:ext>
                </c:extLst>
              </c15:ser>
            </c15:filteredScatterSeries>
          </c:ext>
        </c:extLst>
      </c:scatterChart>
      <c:valAx>
        <c:axId val="73377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</a:t>
                </a:r>
                <a:endParaRPr lang="en-US" sz="1400" baseline="30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69168"/>
        <c:crosses val="autoZero"/>
        <c:crossBetween val="midCat"/>
      </c:valAx>
      <c:valAx>
        <c:axId val="733769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Log(B/A)</a:t>
                </a:r>
                <a:endParaRPr lang="en-US" sz="1400" b="0" i="0" u="none" strike="noStrike" kern="1200" baseline="30000">
                  <a:solidFill>
                    <a:srgbClr val="000000">
                      <a:lumMod val="65000"/>
                      <a:lumOff val="35000"/>
                    </a:srgb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71632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19050">
              <a:noFill/>
            </a:ln>
          </c:spPr>
          <c:marker>
            <c:symbol val="x"/>
            <c:size val="6"/>
            <c:spPr>
              <a:ln>
                <a:solidFill>
                  <a:schemeClr val="accent1">
                    <a:lumMod val="50000"/>
                  </a:schemeClr>
                </a:solidFill>
              </a:ln>
            </c:spPr>
          </c:marker>
          <c:trendline>
            <c:spPr>
              <a:ln w="19050">
                <a:solidFill>
                  <a:srgbClr val="989898"/>
                </a:solidFill>
                <a:prstDash val="dash"/>
              </a:ln>
            </c:spPr>
            <c:trendlineType val="linear"/>
            <c:dispRSqr val="1"/>
            <c:dispEq val="0"/>
            <c:trendlineLbl>
              <c:layout>
                <c:manualLayout>
                  <c:x val="-0.25762294933757296"/>
                  <c:y val="5.372868877741760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>
                      <a:latin typeface="Helvetica-Light" panose="020B0400000000000000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Isoelectronic!$I$6:$I$31</c:f>
              <c:numCache>
                <c:formatCode>0.00</c:formatCode>
                <c:ptCount val="26"/>
                <c:pt idx="0">
                  <c:v>94.192000000000007</c:v>
                </c:pt>
                <c:pt idx="1">
                  <c:v>87.463999999999999</c:v>
                </c:pt>
                <c:pt idx="2">
                  <c:v>127.83199999999999</c:v>
                </c:pt>
                <c:pt idx="3">
                  <c:v>208.56799999999998</c:v>
                </c:pt>
                <c:pt idx="4">
                  <c:v>91.000000000000014</c:v>
                </c:pt>
                <c:pt idx="5">
                  <c:v>201.5</c:v>
                </c:pt>
                <c:pt idx="6">
                  <c:v>123.5</c:v>
                </c:pt>
                <c:pt idx="7">
                  <c:v>84.5</c:v>
                </c:pt>
                <c:pt idx="8">
                  <c:v>84.916000000000011</c:v>
                </c:pt>
                <c:pt idx="9">
                  <c:v>124.108</c:v>
                </c:pt>
                <c:pt idx="10">
                  <c:v>202.49200000000002</c:v>
                </c:pt>
                <c:pt idx="11">
                  <c:v>91.448000000000022</c:v>
                </c:pt>
                <c:pt idx="12">
                  <c:v>106.62800000000001</c:v>
                </c:pt>
                <c:pt idx="13">
                  <c:v>78.568000000000012</c:v>
                </c:pt>
                <c:pt idx="14">
                  <c:v>72.956000000000003</c:v>
                </c:pt>
                <c:pt idx="15">
                  <c:v>72.331999999999994</c:v>
                </c:pt>
                <c:pt idx="16">
                  <c:v>105.71599999999999</c:v>
                </c:pt>
                <c:pt idx="17">
                  <c:v>77.896000000000001</c:v>
                </c:pt>
                <c:pt idx="18">
                  <c:v>184.76</c:v>
                </c:pt>
                <c:pt idx="19">
                  <c:v>77.48</c:v>
                </c:pt>
                <c:pt idx="20">
                  <c:v>113.24</c:v>
                </c:pt>
                <c:pt idx="21">
                  <c:v>83.440000000000012</c:v>
                </c:pt>
                <c:pt idx="22">
                  <c:v>91.572000000000003</c:v>
                </c:pt>
                <c:pt idx="23">
                  <c:v>133.83599999999998</c:v>
                </c:pt>
                <c:pt idx="24">
                  <c:v>218.364</c:v>
                </c:pt>
                <c:pt idx="25">
                  <c:v>98.616</c:v>
                </c:pt>
              </c:numCache>
            </c:numRef>
          </c:xVal>
          <c:yVal>
            <c:numRef>
              <c:f>Isoelectronic!$V$6:$V$31</c:f>
              <c:numCache>
                <c:formatCode>0.00</c:formatCode>
                <c:ptCount val="26"/>
                <c:pt idx="0">
                  <c:v>-0.38645318412759438</c:v>
                </c:pt>
                <c:pt idx="1">
                  <c:v>-0.43770713554352531</c:v>
                </c:pt>
                <c:pt idx="2">
                  <c:v>-7.3648757447663749E-2</c:v>
                </c:pt>
                <c:pt idx="3">
                  <c:v>0.8859263398014311</c:v>
                </c:pt>
                <c:pt idx="4">
                  <c:v>-0.32837960343873773</c:v>
                </c:pt>
                <c:pt idx="5">
                  <c:v>0.5805448491901668</c:v>
                </c:pt>
                <c:pt idx="6">
                  <c:v>-2.9042246771795809E-2</c:v>
                </c:pt>
                <c:pt idx="7">
                  <c:v>-0.43994880175276135</c:v>
                </c:pt>
                <c:pt idx="8">
                  <c:v>-0.17451973003250021</c:v>
                </c:pt>
                <c:pt idx="9">
                  <c:v>0.17026171539495738</c:v>
                </c:pt>
                <c:pt idx="10">
                  <c:v>0.51054501020661214</c:v>
                </c:pt>
                <c:pt idx="11">
                  <c:v>-2.2461599307156129E-2</c:v>
                </c:pt>
                <c:pt idx="12">
                  <c:v>-0.21477925453498814</c:v>
                </c:pt>
                <c:pt idx="13">
                  <c:v>-0.27528385294751634</c:v>
                </c:pt>
                <c:pt idx="14">
                  <c:v>-0.29670862188133862</c:v>
                </c:pt>
                <c:pt idx="15">
                  <c:v>-0.33240087737166191</c:v>
                </c:pt>
                <c:pt idx="16">
                  <c:v>-0.24179186567369548</c:v>
                </c:pt>
                <c:pt idx="17">
                  <c:v>-0.30211167612826895</c:v>
                </c:pt>
                <c:pt idx="18">
                  <c:v>0.3820170425748684</c:v>
                </c:pt>
                <c:pt idx="19">
                  <c:v>-0.38194974082037297</c:v>
                </c:pt>
                <c:pt idx="20">
                  <c:v>-0.14919726740591457</c:v>
                </c:pt>
                <c:pt idx="21">
                  <c:v>-0.36357942347376265</c:v>
                </c:pt>
                <c:pt idx="22">
                  <c:v>-0.43765799725667559</c:v>
                </c:pt>
                <c:pt idx="23">
                  <c:v>-0.12375342318368461</c:v>
                </c:pt>
                <c:pt idx="24">
                  <c:v>1.0220157398177203</c:v>
                </c:pt>
                <c:pt idx="25">
                  <c:v>-0.40737593548050111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60-4868-9E0F-C514FEC31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71632"/>
        <c:axId val="733769168"/>
        <c:extLst/>
      </c:scatterChart>
      <c:valAx>
        <c:axId val="73377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latin typeface="Helvetica" pitchFamily="2" charset="0"/>
                  </a:rPr>
                  <a:t>v*Cone</a:t>
                </a:r>
                <a:endParaRPr lang="en-US" sz="1800" baseline="30000"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69168"/>
        <c:crosses val="autoZero"/>
        <c:crossBetween val="midCat"/>
      </c:valAx>
      <c:valAx>
        <c:axId val="733769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Helvetica" pitchFamily="2" charset="0"/>
                  </a:rPr>
                  <a:t>Log(B/A)</a:t>
                </a:r>
                <a:endParaRPr lang="en-US" sz="1800" b="0" i="0" u="none" strike="noStrike" kern="1200" baseline="30000">
                  <a:solidFill>
                    <a:srgbClr val="000000">
                      <a:lumMod val="65000"/>
                      <a:lumOff val="35000"/>
                    </a:srgbClr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71632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LOLO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2731861921521137"/>
                  <c:y val="-5.2913327514612925E-2"/>
                </c:manualLayout>
              </c:layout>
              <c:numFmt formatCode="General" sourceLinked="0"/>
            </c:trendlineLbl>
          </c:trendline>
          <c:xVal>
            <c:numRef>
              <c:f>Isoelectronic!$H$6:$H$31</c:f>
              <c:numCache>
                <c:formatCode>0.00</c:formatCode>
                <c:ptCount val="26"/>
                <c:pt idx="0">
                  <c:v>32.9957816776</c:v>
                </c:pt>
                <c:pt idx="1">
                  <c:v>30.638940129199998</c:v>
                </c:pt>
                <c:pt idx="2">
                  <c:v>44.7799894196</c:v>
                </c:pt>
                <c:pt idx="3">
                  <c:v>73.062088000399996</c:v>
                </c:pt>
                <c:pt idx="4">
                  <c:v>34.581289461600001</c:v>
                </c:pt>
                <c:pt idx="5">
                  <c:v>76.572855236400002</c:v>
                </c:pt>
                <c:pt idx="6">
                  <c:v>46.9317499836</c:v>
                </c:pt>
                <c:pt idx="7">
                  <c:v>32.111197357199998</c:v>
                </c:pt>
                <c:pt idx="8">
                  <c:v>28.207295480000003</c:v>
                </c:pt>
                <c:pt idx="9">
                  <c:v>41.22604724</c:v>
                </c:pt>
                <c:pt idx="10">
                  <c:v>67.263550760000001</c:v>
                </c:pt>
                <c:pt idx="11">
                  <c:v>30.377087440000004</c:v>
                </c:pt>
                <c:pt idx="12">
                  <c:v>33.309762257999999</c:v>
                </c:pt>
                <c:pt idx="13">
                  <c:v>24.544035348000001</c:v>
                </c:pt>
                <c:pt idx="14">
                  <c:v>22.790889965999998</c:v>
                </c:pt>
                <c:pt idx="15">
                  <c:v>24.038528706400001</c:v>
                </c:pt>
                <c:pt idx="16">
                  <c:v>35.133234263200002</c:v>
                </c:pt>
                <c:pt idx="17">
                  <c:v>25.887646299200004</c:v>
                </c:pt>
                <c:pt idx="18">
                  <c:v>62.854016730800005</c:v>
                </c:pt>
                <c:pt idx="19">
                  <c:v>26.358136048400002</c:v>
                </c:pt>
                <c:pt idx="20">
                  <c:v>38.523429609200001</c:v>
                </c:pt>
                <c:pt idx="21">
                  <c:v>28.385684975200004</c:v>
                </c:pt>
                <c:pt idx="22">
                  <c:v>33.866811071599997</c:v>
                </c:pt>
                <c:pt idx="23">
                  <c:v>49.497646950799997</c:v>
                </c:pt>
                <c:pt idx="24">
                  <c:v>80.759318709199988</c:v>
                </c:pt>
                <c:pt idx="25">
                  <c:v>36.471950384800003</c:v>
                </c:pt>
              </c:numCache>
            </c:numRef>
          </c:xVal>
          <c:yVal>
            <c:numRef>
              <c:f>Isoelectronic!$V$6:$V$31</c:f>
              <c:numCache>
                <c:formatCode>0.00</c:formatCode>
                <c:ptCount val="26"/>
                <c:pt idx="0">
                  <c:v>-0.38645318412759438</c:v>
                </c:pt>
                <c:pt idx="1">
                  <c:v>-0.43770713554352531</c:v>
                </c:pt>
                <c:pt idx="2">
                  <c:v>-7.3648757447663749E-2</c:v>
                </c:pt>
                <c:pt idx="3">
                  <c:v>0.8859263398014311</c:v>
                </c:pt>
                <c:pt idx="4">
                  <c:v>-0.32837960343873773</c:v>
                </c:pt>
                <c:pt idx="5">
                  <c:v>0.5805448491901668</c:v>
                </c:pt>
                <c:pt idx="6">
                  <c:v>-2.9042246771795809E-2</c:v>
                </c:pt>
                <c:pt idx="7">
                  <c:v>-0.43994880175276135</c:v>
                </c:pt>
                <c:pt idx="8">
                  <c:v>-0.17451973003250021</c:v>
                </c:pt>
                <c:pt idx="9">
                  <c:v>0.17026171539495738</c:v>
                </c:pt>
                <c:pt idx="10">
                  <c:v>0.51054501020661214</c:v>
                </c:pt>
                <c:pt idx="11">
                  <c:v>-2.2461599307156129E-2</c:v>
                </c:pt>
                <c:pt idx="12">
                  <c:v>-0.21477925453498814</c:v>
                </c:pt>
                <c:pt idx="13">
                  <c:v>-0.27528385294751634</c:v>
                </c:pt>
                <c:pt idx="14">
                  <c:v>-0.29670862188133862</c:v>
                </c:pt>
                <c:pt idx="15">
                  <c:v>-0.33240087737166191</c:v>
                </c:pt>
                <c:pt idx="16">
                  <c:v>-0.24179186567369548</c:v>
                </c:pt>
                <c:pt idx="17">
                  <c:v>-0.30211167612826895</c:v>
                </c:pt>
                <c:pt idx="18">
                  <c:v>0.3820170425748684</c:v>
                </c:pt>
                <c:pt idx="19">
                  <c:v>-0.38194974082037297</c:v>
                </c:pt>
                <c:pt idx="20">
                  <c:v>-0.14919726740591457</c:v>
                </c:pt>
                <c:pt idx="21">
                  <c:v>-0.36357942347376265</c:v>
                </c:pt>
                <c:pt idx="22">
                  <c:v>-0.43765799725667559</c:v>
                </c:pt>
                <c:pt idx="23">
                  <c:v>-0.12375342318368461</c:v>
                </c:pt>
                <c:pt idx="24">
                  <c:v>1.0220157398177203</c:v>
                </c:pt>
                <c:pt idx="25">
                  <c:v>-0.40737593548050111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3A-4693-A841-3728E783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71632"/>
        <c:axId val="733769168"/>
        <c:extLst/>
      </c:scatterChart>
      <c:valAx>
        <c:axId val="73377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v*%Vbur</a:t>
                </a:r>
                <a:endParaRPr lang="en-US" sz="1400" baseline="30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69168"/>
        <c:crosses val="autoZero"/>
        <c:crossBetween val="midCat"/>
      </c:valAx>
      <c:valAx>
        <c:axId val="733769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Log(B/A)</a:t>
                </a:r>
                <a:endParaRPr lang="en-US" sz="1400" b="0" i="0" u="none" strike="noStrike" kern="1200" baseline="30000">
                  <a:solidFill>
                    <a:srgbClr val="000000">
                      <a:lumMod val="65000"/>
                      <a:lumOff val="35000"/>
                    </a:srgb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71632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CataXCium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6166C"/>
              </a:solidFill>
              <a:ln w="9525">
                <a:noFill/>
              </a:ln>
              <a:effectLst/>
            </c:spPr>
          </c:marker>
          <c:xVal>
            <c:numRef>
              <c:f>Isoelectronic!$I$6:$I$9</c:f>
              <c:numCache>
                <c:formatCode>0.00</c:formatCode>
                <c:ptCount val="4"/>
                <c:pt idx="0">
                  <c:v>94.192000000000007</c:v>
                </c:pt>
                <c:pt idx="1">
                  <c:v>87.463999999999999</c:v>
                </c:pt>
                <c:pt idx="2">
                  <c:v>127.83199999999999</c:v>
                </c:pt>
                <c:pt idx="3">
                  <c:v>208.56799999999998</c:v>
                </c:pt>
              </c:numCache>
            </c:numRef>
          </c:xVal>
          <c:yVal>
            <c:numRef>
              <c:f>Isoelectronic!$V$6:$V$9</c:f>
              <c:numCache>
                <c:formatCode>0.00</c:formatCode>
                <c:ptCount val="4"/>
                <c:pt idx="0">
                  <c:v>-0.38645318412759438</c:v>
                </c:pt>
                <c:pt idx="1">
                  <c:v>-0.43770713554352531</c:v>
                </c:pt>
                <c:pt idx="2">
                  <c:v>-7.3648757447663749E-2</c:v>
                </c:pt>
                <c:pt idx="3">
                  <c:v>0.8859263398014311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29-4C1B-A9ED-F04C6A036711}"/>
            </c:ext>
          </c:extLst>
        </c:ser>
        <c:ser>
          <c:idx val="2"/>
          <c:order val="2"/>
          <c:tx>
            <c:v>P(o-tol)3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3E277D"/>
              </a:solidFill>
              <a:ln w="9525">
                <a:noFill/>
              </a:ln>
              <a:effectLst/>
            </c:spPr>
          </c:marker>
          <c:xVal>
            <c:numRef>
              <c:f>Isoelectronic!$I$10:$I$13</c:f>
              <c:numCache>
                <c:formatCode>0.00</c:formatCode>
                <c:ptCount val="4"/>
                <c:pt idx="0">
                  <c:v>91.000000000000014</c:v>
                </c:pt>
                <c:pt idx="1">
                  <c:v>201.5</c:v>
                </c:pt>
                <c:pt idx="2">
                  <c:v>123.5</c:v>
                </c:pt>
                <c:pt idx="3">
                  <c:v>84.5</c:v>
                </c:pt>
              </c:numCache>
            </c:numRef>
          </c:xVal>
          <c:yVal>
            <c:numRef>
              <c:f>Isoelectronic!$V$10:$V$13</c:f>
              <c:numCache>
                <c:formatCode>0.00</c:formatCode>
                <c:ptCount val="4"/>
                <c:pt idx="0">
                  <c:v>-0.32837960343873773</c:v>
                </c:pt>
                <c:pt idx="1">
                  <c:v>0.5805448491901668</c:v>
                </c:pt>
                <c:pt idx="2">
                  <c:v>-2.9042246771795809E-2</c:v>
                </c:pt>
                <c:pt idx="3">
                  <c:v>-0.43994880175276135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29-4C1B-A9ED-F04C6A036711}"/>
            </c:ext>
          </c:extLst>
        </c:ser>
        <c:ser>
          <c:idx val="3"/>
          <c:order val="3"/>
          <c:tx>
            <c:v>PCy3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64E90"/>
              </a:solidFill>
              <a:ln w="9525">
                <a:noFill/>
              </a:ln>
              <a:effectLst/>
            </c:spPr>
          </c:marker>
          <c:xVal>
            <c:numRef>
              <c:f>Isoelectronic!$I$14:$I$17</c:f>
              <c:numCache>
                <c:formatCode>0.00</c:formatCode>
                <c:ptCount val="4"/>
                <c:pt idx="0">
                  <c:v>84.916000000000011</c:v>
                </c:pt>
                <c:pt idx="1">
                  <c:v>124.108</c:v>
                </c:pt>
                <c:pt idx="2">
                  <c:v>202.49200000000002</c:v>
                </c:pt>
                <c:pt idx="3">
                  <c:v>91.448000000000022</c:v>
                </c:pt>
              </c:numCache>
            </c:numRef>
          </c:xVal>
          <c:yVal>
            <c:numRef>
              <c:f>Isoelectronic!$V$14:$V$17</c:f>
              <c:numCache>
                <c:formatCode>0.00</c:formatCode>
                <c:ptCount val="4"/>
                <c:pt idx="0">
                  <c:v>-0.17451973003250021</c:v>
                </c:pt>
                <c:pt idx="1">
                  <c:v>0.17026171539495738</c:v>
                </c:pt>
                <c:pt idx="2">
                  <c:v>0.51054501020661214</c:v>
                </c:pt>
                <c:pt idx="3">
                  <c:v>-2.2461599307156129E-2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29-4C1B-A9ED-F04C6A036711}"/>
            </c:ext>
          </c:extLst>
        </c:ser>
        <c:ser>
          <c:idx val="4"/>
          <c:order val="4"/>
          <c:tx>
            <c:v>PEt3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157C7F"/>
              </a:solidFill>
              <a:ln w="9525">
                <a:noFill/>
              </a:ln>
              <a:effectLst/>
            </c:spPr>
          </c:marker>
          <c:xVal>
            <c:numRef>
              <c:f>Isoelectronic!$I$18:$I$20</c:f>
              <c:numCache>
                <c:formatCode>0.00</c:formatCode>
                <c:ptCount val="3"/>
                <c:pt idx="0">
                  <c:v>106.62800000000001</c:v>
                </c:pt>
                <c:pt idx="1">
                  <c:v>78.568000000000012</c:v>
                </c:pt>
                <c:pt idx="2">
                  <c:v>72.956000000000003</c:v>
                </c:pt>
              </c:numCache>
            </c:numRef>
          </c:xVal>
          <c:yVal>
            <c:numRef>
              <c:f>Isoelectronic!$V$18:$V$20</c:f>
              <c:numCache>
                <c:formatCode>0.00</c:formatCode>
                <c:ptCount val="3"/>
                <c:pt idx="0">
                  <c:v>-0.21477925453498814</c:v>
                </c:pt>
                <c:pt idx="1">
                  <c:v>-0.27528385294751634</c:v>
                </c:pt>
                <c:pt idx="2">
                  <c:v>-0.29670862188133862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29-4C1B-A9ED-F04C6A036711}"/>
            </c:ext>
          </c:extLst>
        </c:ser>
        <c:ser>
          <c:idx val="5"/>
          <c:order val="5"/>
          <c:tx>
            <c:v>PPh2Me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C638A"/>
              </a:solidFill>
              <a:ln w="9525">
                <a:noFill/>
              </a:ln>
              <a:effectLst/>
            </c:spPr>
          </c:marker>
          <c:xVal>
            <c:numRef>
              <c:f>Isoelectronic!$I$21:$I$23</c:f>
              <c:numCache>
                <c:formatCode>0.00</c:formatCode>
                <c:ptCount val="3"/>
                <c:pt idx="0">
                  <c:v>72.331999999999994</c:v>
                </c:pt>
                <c:pt idx="1">
                  <c:v>105.71599999999999</c:v>
                </c:pt>
                <c:pt idx="2">
                  <c:v>77.896000000000001</c:v>
                </c:pt>
              </c:numCache>
            </c:numRef>
          </c:xVal>
          <c:yVal>
            <c:numRef>
              <c:f>Isoelectronic!$V$21:$V$23</c:f>
              <c:numCache>
                <c:formatCode>0.00</c:formatCode>
                <c:ptCount val="3"/>
                <c:pt idx="0">
                  <c:v>-0.33240087737166191</c:v>
                </c:pt>
                <c:pt idx="1">
                  <c:v>-0.24179186567369548</c:v>
                </c:pt>
                <c:pt idx="2">
                  <c:v>-0.30211167612826895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29-4C1B-A9ED-F04C6A036711}"/>
            </c:ext>
          </c:extLst>
        </c:ser>
        <c:ser>
          <c:idx val="6"/>
          <c:order val="6"/>
          <c:tx>
            <c:v>PPh3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93398"/>
              </a:solidFill>
              <a:ln w="9525">
                <a:noFill/>
              </a:ln>
              <a:effectLst/>
            </c:spPr>
          </c:marker>
          <c:xVal>
            <c:numRef>
              <c:f>Isoelectronic!$I$24:$I$27</c:f>
              <c:numCache>
                <c:formatCode>0.00</c:formatCode>
                <c:ptCount val="4"/>
                <c:pt idx="0">
                  <c:v>184.76</c:v>
                </c:pt>
                <c:pt idx="1">
                  <c:v>77.48</c:v>
                </c:pt>
                <c:pt idx="2">
                  <c:v>113.24</c:v>
                </c:pt>
                <c:pt idx="3">
                  <c:v>83.440000000000012</c:v>
                </c:pt>
              </c:numCache>
            </c:numRef>
          </c:xVal>
          <c:yVal>
            <c:numRef>
              <c:f>Isoelectronic!$V$24:$V$27</c:f>
              <c:numCache>
                <c:formatCode>0.00</c:formatCode>
                <c:ptCount val="4"/>
                <c:pt idx="0">
                  <c:v>0.3820170425748684</c:v>
                </c:pt>
                <c:pt idx="1">
                  <c:v>-0.38194974082037297</c:v>
                </c:pt>
                <c:pt idx="2">
                  <c:v>-0.14919726740591457</c:v>
                </c:pt>
                <c:pt idx="3">
                  <c:v>-0.36357942347376265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29-4C1B-A9ED-F04C6A036711}"/>
            </c:ext>
          </c:extLst>
        </c:ser>
        <c:ser>
          <c:idx val="7"/>
          <c:order val="7"/>
          <c:tx>
            <c:v>PtBu3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F0040"/>
              </a:solidFill>
              <a:ln w="9525">
                <a:noFill/>
              </a:ln>
              <a:effectLst/>
            </c:spPr>
          </c:marker>
          <c:xVal>
            <c:numRef>
              <c:f>Isoelectronic!$I$28:$I$31</c:f>
              <c:numCache>
                <c:formatCode>0.00</c:formatCode>
                <c:ptCount val="4"/>
                <c:pt idx="0">
                  <c:v>91.572000000000003</c:v>
                </c:pt>
                <c:pt idx="1">
                  <c:v>133.83599999999998</c:v>
                </c:pt>
                <c:pt idx="2">
                  <c:v>218.364</c:v>
                </c:pt>
                <c:pt idx="3">
                  <c:v>98.616</c:v>
                </c:pt>
              </c:numCache>
            </c:numRef>
          </c:xVal>
          <c:yVal>
            <c:numRef>
              <c:f>Isoelectronic!$V$28:$V$31</c:f>
              <c:numCache>
                <c:formatCode>0.00</c:formatCode>
                <c:ptCount val="4"/>
                <c:pt idx="0">
                  <c:v>-0.43765799725667559</c:v>
                </c:pt>
                <c:pt idx="1">
                  <c:v>-0.12375342318368461</c:v>
                </c:pt>
                <c:pt idx="2">
                  <c:v>1.0220157398177203</c:v>
                </c:pt>
                <c:pt idx="3">
                  <c:v>-0.40737593548050111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D29-4C1B-A9ED-F04C6A036711}"/>
            </c:ext>
          </c:extLst>
        </c:ser>
        <c:ser>
          <c:idx val="0"/>
          <c:order val="8"/>
          <c:tx>
            <c:v>All</c:v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989898"/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Isoelectronic!$I$6:$I$31</c:f>
              <c:numCache>
                <c:formatCode>0.00</c:formatCode>
                <c:ptCount val="26"/>
                <c:pt idx="0">
                  <c:v>94.192000000000007</c:v>
                </c:pt>
                <c:pt idx="1">
                  <c:v>87.463999999999999</c:v>
                </c:pt>
                <c:pt idx="2">
                  <c:v>127.83199999999999</c:v>
                </c:pt>
                <c:pt idx="3">
                  <c:v>208.56799999999998</c:v>
                </c:pt>
                <c:pt idx="4">
                  <c:v>91.000000000000014</c:v>
                </c:pt>
                <c:pt idx="5">
                  <c:v>201.5</c:v>
                </c:pt>
                <c:pt idx="6">
                  <c:v>123.5</c:v>
                </c:pt>
                <c:pt idx="7">
                  <c:v>84.5</c:v>
                </c:pt>
                <c:pt idx="8">
                  <c:v>84.916000000000011</c:v>
                </c:pt>
                <c:pt idx="9">
                  <c:v>124.108</c:v>
                </c:pt>
                <c:pt idx="10">
                  <c:v>202.49200000000002</c:v>
                </c:pt>
                <c:pt idx="11">
                  <c:v>91.448000000000022</c:v>
                </c:pt>
                <c:pt idx="12">
                  <c:v>106.62800000000001</c:v>
                </c:pt>
                <c:pt idx="13">
                  <c:v>78.568000000000012</c:v>
                </c:pt>
                <c:pt idx="14">
                  <c:v>72.956000000000003</c:v>
                </c:pt>
                <c:pt idx="15">
                  <c:v>72.331999999999994</c:v>
                </c:pt>
                <c:pt idx="16">
                  <c:v>105.71599999999999</c:v>
                </c:pt>
                <c:pt idx="17">
                  <c:v>77.896000000000001</c:v>
                </c:pt>
                <c:pt idx="18">
                  <c:v>184.76</c:v>
                </c:pt>
                <c:pt idx="19">
                  <c:v>77.48</c:v>
                </c:pt>
                <c:pt idx="20">
                  <c:v>113.24</c:v>
                </c:pt>
                <c:pt idx="21">
                  <c:v>83.440000000000012</c:v>
                </c:pt>
                <c:pt idx="22">
                  <c:v>91.572000000000003</c:v>
                </c:pt>
                <c:pt idx="23">
                  <c:v>133.83599999999998</c:v>
                </c:pt>
                <c:pt idx="24">
                  <c:v>218.364</c:v>
                </c:pt>
                <c:pt idx="25">
                  <c:v>98.616</c:v>
                </c:pt>
              </c:numCache>
            </c:numRef>
          </c:xVal>
          <c:yVal>
            <c:numRef>
              <c:f>Isoelectronic!$V$6:$V$31</c:f>
              <c:numCache>
                <c:formatCode>0.00</c:formatCode>
                <c:ptCount val="26"/>
                <c:pt idx="0">
                  <c:v>-0.38645318412759438</c:v>
                </c:pt>
                <c:pt idx="1">
                  <c:v>-0.43770713554352531</c:v>
                </c:pt>
                <c:pt idx="2">
                  <c:v>-7.3648757447663749E-2</c:v>
                </c:pt>
                <c:pt idx="3">
                  <c:v>0.8859263398014311</c:v>
                </c:pt>
                <c:pt idx="4">
                  <c:v>-0.32837960343873773</c:v>
                </c:pt>
                <c:pt idx="5">
                  <c:v>0.5805448491901668</c:v>
                </c:pt>
                <c:pt idx="6">
                  <c:v>-2.9042246771795809E-2</c:v>
                </c:pt>
                <c:pt idx="7">
                  <c:v>-0.43994880175276135</c:v>
                </c:pt>
                <c:pt idx="8">
                  <c:v>-0.17451973003250021</c:v>
                </c:pt>
                <c:pt idx="9">
                  <c:v>0.17026171539495738</c:v>
                </c:pt>
                <c:pt idx="10">
                  <c:v>0.51054501020661214</c:v>
                </c:pt>
                <c:pt idx="11">
                  <c:v>-2.2461599307156129E-2</c:v>
                </c:pt>
                <c:pt idx="12">
                  <c:v>-0.21477925453498814</c:v>
                </c:pt>
                <c:pt idx="13">
                  <c:v>-0.27528385294751634</c:v>
                </c:pt>
                <c:pt idx="14">
                  <c:v>-0.29670862188133862</c:v>
                </c:pt>
                <c:pt idx="15">
                  <c:v>-0.33240087737166191</c:v>
                </c:pt>
                <c:pt idx="16">
                  <c:v>-0.24179186567369548</c:v>
                </c:pt>
                <c:pt idx="17">
                  <c:v>-0.30211167612826895</c:v>
                </c:pt>
                <c:pt idx="18">
                  <c:v>0.3820170425748684</c:v>
                </c:pt>
                <c:pt idx="19">
                  <c:v>-0.38194974082037297</c:v>
                </c:pt>
                <c:pt idx="20">
                  <c:v>-0.14919726740591457</c:v>
                </c:pt>
                <c:pt idx="21">
                  <c:v>-0.36357942347376265</c:v>
                </c:pt>
                <c:pt idx="22">
                  <c:v>-0.43765799725667559</c:v>
                </c:pt>
                <c:pt idx="23">
                  <c:v>-0.12375342318368461</c:v>
                </c:pt>
                <c:pt idx="24">
                  <c:v>1.0220157398177203</c:v>
                </c:pt>
                <c:pt idx="25">
                  <c:v>-0.40737593548050111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D29-4C1B-A9ED-F04C6A036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71632"/>
        <c:axId val="733769168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0"/>
                <c:tx>
                  <c:v>Trixie</c:v>
                </c:tx>
                <c:spPr>
                  <a:ln w="2540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Isoelectronic!$K$2:$K$5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0.52</c:v>
                      </c:pt>
                      <c:pt idx="1">
                        <c:v>0.56000000000000005</c:v>
                      </c:pt>
                      <c:pt idx="2">
                        <c:v>0.76</c:v>
                      </c:pt>
                      <c:pt idx="3">
                        <c:v>1.24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Isoelectronic!$V$2:$V$5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-0.31890371155486019</c:v>
                      </c:pt>
                      <c:pt idx="1">
                        <c:v>-0.29742696533453861</c:v>
                      </c:pt>
                      <c:pt idx="2">
                        <c:v>8.6359830674748214E-2</c:v>
                      </c:pt>
                      <c:pt idx="3">
                        <c:v>1.082426300860772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8D29-4C1B-A9ED-F04C6A036711}"/>
                  </c:ext>
                </c:extLst>
              </c15:ser>
            </c15:filteredScatterSeries>
          </c:ext>
        </c:extLst>
      </c:scatterChart>
      <c:valAx>
        <c:axId val="733771632"/>
        <c:scaling>
          <c:orientation val="minMax"/>
          <c:max val="225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cs typeface="Times New Roman" panose="02020603050405020304" pitchFamily="18" charset="0"/>
                  </a:rPr>
                  <a:t>cone angle</a:t>
                </a:r>
                <a:r>
                  <a:rPr lang="en-US" sz="1200" b="0" i="0" u="none" strike="noStrike" kern="1200" baseline="-25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cs typeface="Times New Roman" panose="02020603050405020304" pitchFamily="18" charset="0"/>
                  </a:rPr>
                  <a:t>L </a:t>
                </a: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cs typeface="Times New Roman" panose="02020603050405020304" pitchFamily="18" charset="0"/>
                    <a:sym typeface="Symbol" panose="05050102010706020507" pitchFamily="18" charset="2"/>
                  </a:rPr>
                  <a:t></a:t>
                </a: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cs typeface="Times New Roman" panose="02020603050405020304" pitchFamily="18" charset="0"/>
                  </a:rPr>
                  <a:t> </a:t>
                </a:r>
                <a:r>
                  <a:rPr lang="el-GR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ν</a:t>
                </a:r>
                <a:r>
                  <a:rPr lang="en-US" sz="1200" b="0" i="0" u="none" strike="noStrike" kern="1200" baseline="-25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cs typeface="Times New Roman" panose="02020603050405020304" pitchFamily="18" charset="0"/>
                  </a:rPr>
                  <a:t>R</a:t>
                </a:r>
                <a:endParaRPr lang="en-US" sz="1200" b="0" i="0" u="none" strike="noStrike" kern="1200" baseline="-2500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-Light" panose="020B0400000000000000" pitchFamily="34" charset="0"/>
                <a:ea typeface="+mn-ea"/>
                <a:cs typeface="+mn-cs"/>
              </a:defRPr>
            </a:pPr>
            <a:endParaRPr lang="en-US"/>
          </a:p>
        </c:txPr>
        <c:crossAx val="733769168"/>
        <c:crosses val="autoZero"/>
        <c:crossBetween val="midCat"/>
        <c:majorUnit val="50"/>
      </c:valAx>
      <c:valAx>
        <c:axId val="733769168"/>
        <c:scaling>
          <c:orientation val="minMax"/>
          <c:max val="1.2"/>
          <c:min val="-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</a:rPr>
                  <a:t>log(</a:t>
                </a:r>
                <a:r>
                  <a:rPr lang="en-US" sz="1200" b="0" i="0" u="none" strike="noStrike" kern="1200" baseline="0">
                    <a:solidFill>
                      <a:srgbClr val="7F0040"/>
                    </a:solidFill>
                    <a:latin typeface="Helvetica" pitchFamily="2" charset="0"/>
                  </a:rPr>
                  <a:t>3B</a:t>
                </a: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</a:rPr>
                  <a:t> / </a:t>
                </a:r>
                <a:r>
                  <a:rPr lang="en-US" sz="1200" b="0" i="0" u="none" strike="noStrike" kern="1200" baseline="0">
                    <a:solidFill>
                      <a:srgbClr val="093398"/>
                    </a:solidFill>
                    <a:latin typeface="Helvetica" pitchFamily="2" charset="0"/>
                  </a:rPr>
                  <a:t>3A</a:t>
                </a: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</a:rPr>
                  <a:t>)</a:t>
                </a:r>
                <a:endParaRPr lang="en-US" sz="1200" b="0" i="0" u="none" strike="noStrike" kern="1200" baseline="3000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-Light" panose="020B0400000000000000" pitchFamily="34" charset="0"/>
                <a:ea typeface="+mn-ea"/>
                <a:cs typeface="+mn-cs"/>
              </a:defRPr>
            </a:pPr>
            <a:endParaRPr lang="en-US"/>
          </a:p>
        </c:txPr>
        <c:crossAx val="733771632"/>
        <c:crosses val="autoZero"/>
        <c:crossBetween val="midCat"/>
        <c:majorUnit val="0.30000000000000004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65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Isosteric!$J$5:$J$42</c:f>
              <c:numCache>
                <c:formatCode>0.00</c:formatCode>
                <c:ptCount val="38"/>
                <c:pt idx="0">
                  <c:v>94.192000000000007</c:v>
                </c:pt>
                <c:pt idx="1">
                  <c:v>60.551999999999992</c:v>
                </c:pt>
                <c:pt idx="2">
                  <c:v>87.463999999999999</c:v>
                </c:pt>
                <c:pt idx="3">
                  <c:v>91.000000000000014</c:v>
                </c:pt>
                <c:pt idx="4">
                  <c:v>92.624999999999986</c:v>
                </c:pt>
                <c:pt idx="5">
                  <c:v>84.5</c:v>
                </c:pt>
                <c:pt idx="6">
                  <c:v>58.5</c:v>
                </c:pt>
                <c:pt idx="7">
                  <c:v>58.788000000000004</c:v>
                </c:pt>
                <c:pt idx="8">
                  <c:v>84.916000000000011</c:v>
                </c:pt>
                <c:pt idx="9">
                  <c:v>93.081000000000003</c:v>
                </c:pt>
                <c:pt idx="10">
                  <c:v>91.448000000000022</c:v>
                </c:pt>
                <c:pt idx="11">
                  <c:v>50.508000000000003</c:v>
                </c:pt>
                <c:pt idx="12">
                  <c:v>78.568000000000012</c:v>
                </c:pt>
                <c:pt idx="13">
                  <c:v>72.956000000000003</c:v>
                </c:pt>
                <c:pt idx="14">
                  <c:v>79.971000000000004</c:v>
                </c:pt>
                <c:pt idx="15">
                  <c:v>79.286999999999992</c:v>
                </c:pt>
                <c:pt idx="16">
                  <c:v>72.331999999999994</c:v>
                </c:pt>
                <c:pt idx="17">
                  <c:v>50.075999999999993</c:v>
                </c:pt>
                <c:pt idx="18">
                  <c:v>77.896000000000001</c:v>
                </c:pt>
                <c:pt idx="19">
                  <c:v>53.64</c:v>
                </c:pt>
                <c:pt idx="20">
                  <c:v>77.48</c:v>
                </c:pt>
                <c:pt idx="21">
                  <c:v>84.929999999999993</c:v>
                </c:pt>
                <c:pt idx="22">
                  <c:v>83.440000000000012</c:v>
                </c:pt>
                <c:pt idx="23">
                  <c:v>91.572000000000003</c:v>
                </c:pt>
                <c:pt idx="24">
                  <c:v>63.395999999999994</c:v>
                </c:pt>
                <c:pt idx="25">
                  <c:v>98.616</c:v>
                </c:pt>
                <c:pt idx="26">
                  <c:v>127.83199999999999</c:v>
                </c:pt>
                <c:pt idx="27">
                  <c:v>208.56799999999998</c:v>
                </c:pt>
                <c:pt idx="28">
                  <c:v>123.5</c:v>
                </c:pt>
                <c:pt idx="29">
                  <c:v>201.5</c:v>
                </c:pt>
                <c:pt idx="30">
                  <c:v>202.49200000000002</c:v>
                </c:pt>
                <c:pt idx="31">
                  <c:v>124.108</c:v>
                </c:pt>
                <c:pt idx="32">
                  <c:v>106.62800000000001</c:v>
                </c:pt>
                <c:pt idx="33">
                  <c:v>105.71599999999999</c:v>
                </c:pt>
                <c:pt idx="34">
                  <c:v>184.76</c:v>
                </c:pt>
                <c:pt idx="35">
                  <c:v>113.24</c:v>
                </c:pt>
                <c:pt idx="36">
                  <c:v>218.364</c:v>
                </c:pt>
                <c:pt idx="37">
                  <c:v>133.83599999999998</c:v>
                </c:pt>
              </c:numCache>
            </c:numRef>
          </c:xVal>
          <c:yVal>
            <c:numRef>
              <c:f>Isosteric!$X$5:$X$42</c:f>
              <c:numCache>
                <c:formatCode>0.00</c:formatCode>
                <c:ptCount val="38"/>
                <c:pt idx="0">
                  <c:v>-0.38645318412759438</c:v>
                </c:pt>
                <c:pt idx="1">
                  <c:v>0.72875947516787443</c:v>
                </c:pt>
                <c:pt idx="2">
                  <c:v>-0.43770713554352531</c:v>
                </c:pt>
                <c:pt idx="3">
                  <c:v>-0.32837960343873773</c:v>
                </c:pt>
                <c:pt idx="4">
                  <c:v>0.35983548233988799</c:v>
                </c:pt>
                <c:pt idx="5">
                  <c:v>-0.43994880175276135</c:v>
                </c:pt>
                <c:pt idx="6">
                  <c:v>0.95504601472292572</c:v>
                </c:pt>
                <c:pt idx="7">
                  <c:v>0.93449845124356767</c:v>
                </c:pt>
                <c:pt idx="8">
                  <c:v>-0.17451973003250021</c:v>
                </c:pt>
                <c:pt idx="9">
                  <c:v>0.40483371661993806</c:v>
                </c:pt>
                <c:pt idx="10">
                  <c:v>-2.2461599307156129E-2</c:v>
                </c:pt>
                <c:pt idx="11">
                  <c:v>0.8347385189038411</c:v>
                </c:pt>
                <c:pt idx="12">
                  <c:v>-0.27528385294751634</c:v>
                </c:pt>
                <c:pt idx="13">
                  <c:v>-0.29670862188133862</c:v>
                </c:pt>
                <c:pt idx="14">
                  <c:v>0.26403034413212262</c:v>
                </c:pt>
                <c:pt idx="15">
                  <c:v>0.33041377334919075</c:v>
                </c:pt>
                <c:pt idx="16">
                  <c:v>-0.33240087737166191</c:v>
                </c:pt>
                <c:pt idx="17">
                  <c:v>0.78746047451841505</c:v>
                </c:pt>
                <c:pt idx="18">
                  <c:v>-0.30211167612826895</c:v>
                </c:pt>
                <c:pt idx="19">
                  <c:v>0.75281643118827146</c:v>
                </c:pt>
                <c:pt idx="20">
                  <c:v>-0.38194974082037297</c:v>
                </c:pt>
                <c:pt idx="21">
                  <c:v>0.35024801833416286</c:v>
                </c:pt>
                <c:pt idx="22">
                  <c:v>-0.36357942347376265</c:v>
                </c:pt>
                <c:pt idx="23">
                  <c:v>-0.43765799725667559</c:v>
                </c:pt>
                <c:pt idx="24">
                  <c:v>0.71933128698372661</c:v>
                </c:pt>
                <c:pt idx="25">
                  <c:v>-0.40737593548050111</c:v>
                </c:pt>
                <c:pt idx="26">
                  <c:v>-7.3648757447663749E-2</c:v>
                </c:pt>
                <c:pt idx="27">
                  <c:v>0.8859263398014311</c:v>
                </c:pt>
                <c:pt idx="28">
                  <c:v>-2.9042246771795809E-2</c:v>
                </c:pt>
                <c:pt idx="29">
                  <c:v>0.5805448491901668</c:v>
                </c:pt>
                <c:pt idx="30">
                  <c:v>0.51054501020661214</c:v>
                </c:pt>
                <c:pt idx="31">
                  <c:v>0.17026171539495738</c:v>
                </c:pt>
                <c:pt idx="32">
                  <c:v>-0.21477925453498814</c:v>
                </c:pt>
                <c:pt idx="33">
                  <c:v>-0.24179186567369548</c:v>
                </c:pt>
                <c:pt idx="34">
                  <c:v>0.3820170425748684</c:v>
                </c:pt>
                <c:pt idx="35">
                  <c:v>-0.14919726740591457</c:v>
                </c:pt>
                <c:pt idx="36">
                  <c:v>1.0220157398177203</c:v>
                </c:pt>
                <c:pt idx="37">
                  <c:v>-0.12375342318368461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B1-4B88-B4D3-48422A4AC227}"/>
            </c:ext>
          </c:extLst>
        </c:ser>
        <c:ser>
          <c:idx val="0"/>
          <c:order val="1"/>
          <c:tx>
            <c:v>PtBu3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F0040"/>
              </a:solidFill>
              <a:ln w="9525">
                <a:noFill/>
              </a:ln>
              <a:effectLst/>
            </c:spPr>
          </c:marker>
          <c:xVal>
            <c:numRef>
              <c:f>(Isosteric!$J$28:$J$30,Isosteric!$J$41:$J$42)</c:f>
              <c:numCache>
                <c:formatCode>0.00</c:formatCode>
                <c:ptCount val="5"/>
                <c:pt idx="0">
                  <c:v>91.572000000000003</c:v>
                </c:pt>
                <c:pt idx="1">
                  <c:v>63.395999999999994</c:v>
                </c:pt>
                <c:pt idx="2">
                  <c:v>98.616</c:v>
                </c:pt>
                <c:pt idx="3">
                  <c:v>218.364</c:v>
                </c:pt>
                <c:pt idx="4">
                  <c:v>133.83599999999998</c:v>
                </c:pt>
              </c:numCache>
            </c:numRef>
          </c:xVal>
          <c:yVal>
            <c:numRef>
              <c:f>(Isosteric!$X$28:$X$30,Isosteric!$X$41:$X$42)</c:f>
              <c:numCache>
                <c:formatCode>0.00</c:formatCode>
                <c:ptCount val="5"/>
                <c:pt idx="0">
                  <c:v>-0.43765799725667559</c:v>
                </c:pt>
                <c:pt idx="1">
                  <c:v>0.71933128698372661</c:v>
                </c:pt>
                <c:pt idx="2">
                  <c:v>-0.40737593548050111</c:v>
                </c:pt>
                <c:pt idx="3">
                  <c:v>1.0220157398177203</c:v>
                </c:pt>
                <c:pt idx="4">
                  <c:v>-0.12375342318368461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16-4DF3-94CA-78B9600AC8F6}"/>
            </c:ext>
          </c:extLst>
        </c:ser>
        <c:ser>
          <c:idx val="1"/>
          <c:order val="2"/>
          <c:tx>
            <c:v>CataCXium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6166C"/>
              </a:solidFill>
              <a:ln w="9525">
                <a:noFill/>
              </a:ln>
              <a:effectLst/>
            </c:spPr>
          </c:marker>
          <c:xVal>
            <c:numRef>
              <c:f>(Isosteric!$J$5:$J$7,Isosteric!$J$31:$J$32)</c:f>
              <c:numCache>
                <c:formatCode>0.00</c:formatCode>
                <c:ptCount val="5"/>
                <c:pt idx="0">
                  <c:v>94.192000000000007</c:v>
                </c:pt>
                <c:pt idx="1">
                  <c:v>60.551999999999992</c:v>
                </c:pt>
                <c:pt idx="2">
                  <c:v>87.463999999999999</c:v>
                </c:pt>
                <c:pt idx="3">
                  <c:v>127.83199999999999</c:v>
                </c:pt>
                <c:pt idx="4">
                  <c:v>208.56799999999998</c:v>
                </c:pt>
              </c:numCache>
            </c:numRef>
          </c:xVal>
          <c:yVal>
            <c:numRef>
              <c:f>(Isosteric!$X$5:$X$7,Isosteric!$X$31:$X$32)</c:f>
              <c:numCache>
                <c:formatCode>0.00</c:formatCode>
                <c:ptCount val="5"/>
                <c:pt idx="0">
                  <c:v>-0.38645318412759438</c:v>
                </c:pt>
                <c:pt idx="1">
                  <c:v>0.72875947516787443</c:v>
                </c:pt>
                <c:pt idx="2">
                  <c:v>-0.43770713554352531</c:v>
                </c:pt>
                <c:pt idx="3">
                  <c:v>-7.3648757447663749E-2</c:v>
                </c:pt>
                <c:pt idx="4">
                  <c:v>0.8859263398014311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16-4DF3-94CA-78B9600AC8F6}"/>
            </c:ext>
          </c:extLst>
        </c:ser>
        <c:ser>
          <c:idx val="2"/>
          <c:order val="3"/>
          <c:tx>
            <c:v>P(o-tol)3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3E277D"/>
              </a:solidFill>
              <a:ln w="9525">
                <a:noFill/>
              </a:ln>
              <a:effectLst/>
            </c:spPr>
          </c:marker>
          <c:xVal>
            <c:numRef>
              <c:f>(Isosteric!$J$8:$J$11,Isosteric!$J$33:$J$34)</c:f>
              <c:numCache>
                <c:formatCode>0.00</c:formatCode>
                <c:ptCount val="6"/>
                <c:pt idx="0">
                  <c:v>91.000000000000014</c:v>
                </c:pt>
                <c:pt idx="1">
                  <c:v>92.624999999999986</c:v>
                </c:pt>
                <c:pt idx="2">
                  <c:v>84.5</c:v>
                </c:pt>
                <c:pt idx="3">
                  <c:v>58.5</c:v>
                </c:pt>
                <c:pt idx="4">
                  <c:v>123.5</c:v>
                </c:pt>
                <c:pt idx="5">
                  <c:v>201.5</c:v>
                </c:pt>
              </c:numCache>
            </c:numRef>
          </c:xVal>
          <c:yVal>
            <c:numRef>
              <c:f>(Isosteric!$X$8:$X$11,Isosteric!$X$33:$X$34)</c:f>
              <c:numCache>
                <c:formatCode>0.00</c:formatCode>
                <c:ptCount val="6"/>
                <c:pt idx="0">
                  <c:v>-0.32837960343873773</c:v>
                </c:pt>
                <c:pt idx="1">
                  <c:v>0.35983548233988799</c:v>
                </c:pt>
                <c:pt idx="2">
                  <c:v>-0.43994880175276135</c:v>
                </c:pt>
                <c:pt idx="3">
                  <c:v>0.95504601472292572</c:v>
                </c:pt>
                <c:pt idx="4">
                  <c:v>-2.9042246771795809E-2</c:v>
                </c:pt>
                <c:pt idx="5">
                  <c:v>0.5805448491901668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16-4DF3-94CA-78B9600AC8F6}"/>
            </c:ext>
          </c:extLst>
        </c:ser>
        <c:ser>
          <c:idx val="4"/>
          <c:order val="4"/>
          <c:tx>
            <c:v>PCy3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64E90"/>
              </a:solidFill>
              <a:ln w="9525">
                <a:noFill/>
              </a:ln>
              <a:effectLst/>
            </c:spPr>
          </c:marker>
          <c:xVal>
            <c:numRef>
              <c:f>(Isosteric!$J$12:$J$15,Isosteric!$J$35:$J$36)</c:f>
              <c:numCache>
                <c:formatCode>0.00</c:formatCode>
                <c:ptCount val="6"/>
                <c:pt idx="0">
                  <c:v>58.788000000000004</c:v>
                </c:pt>
                <c:pt idx="1">
                  <c:v>84.916000000000011</c:v>
                </c:pt>
                <c:pt idx="2">
                  <c:v>93.081000000000003</c:v>
                </c:pt>
                <c:pt idx="3">
                  <c:v>91.448000000000022</c:v>
                </c:pt>
                <c:pt idx="4">
                  <c:v>202.49200000000002</c:v>
                </c:pt>
                <c:pt idx="5">
                  <c:v>124.108</c:v>
                </c:pt>
              </c:numCache>
            </c:numRef>
          </c:xVal>
          <c:yVal>
            <c:numRef>
              <c:f>(Isosteric!$X$12:$X$15,Isosteric!$X$35:$X$36)</c:f>
              <c:numCache>
                <c:formatCode>0.00</c:formatCode>
                <c:ptCount val="6"/>
                <c:pt idx="0">
                  <c:v>0.93449845124356767</c:v>
                </c:pt>
                <c:pt idx="1">
                  <c:v>-0.17451973003250021</c:v>
                </c:pt>
                <c:pt idx="2">
                  <c:v>0.40483371661993806</c:v>
                </c:pt>
                <c:pt idx="3">
                  <c:v>-2.2461599307156129E-2</c:v>
                </c:pt>
                <c:pt idx="4">
                  <c:v>0.51054501020661214</c:v>
                </c:pt>
                <c:pt idx="5">
                  <c:v>0.17026171539495738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16-4DF3-94CA-78B9600AC8F6}"/>
            </c:ext>
          </c:extLst>
        </c:ser>
        <c:ser>
          <c:idx val="5"/>
          <c:order val="5"/>
          <c:tx>
            <c:v>PPh3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93398"/>
              </a:solidFill>
              <a:ln w="9525">
                <a:noFill/>
              </a:ln>
              <a:effectLst/>
            </c:spPr>
          </c:marker>
          <c:xVal>
            <c:numRef>
              <c:f>(Isosteric!$J$24:$J$27,Isosteric!$J$39:$J$40)</c:f>
              <c:numCache>
                <c:formatCode>0.00</c:formatCode>
                <c:ptCount val="6"/>
                <c:pt idx="0">
                  <c:v>53.64</c:v>
                </c:pt>
                <c:pt idx="1">
                  <c:v>77.48</c:v>
                </c:pt>
                <c:pt idx="2">
                  <c:v>84.929999999999993</c:v>
                </c:pt>
                <c:pt idx="3">
                  <c:v>83.440000000000012</c:v>
                </c:pt>
                <c:pt idx="4">
                  <c:v>184.76</c:v>
                </c:pt>
                <c:pt idx="5">
                  <c:v>113.24</c:v>
                </c:pt>
              </c:numCache>
            </c:numRef>
          </c:xVal>
          <c:yVal>
            <c:numRef>
              <c:f>(Isosteric!$X$24:$X$27,Isosteric!$X$39:$X$40)</c:f>
              <c:numCache>
                <c:formatCode>0.00</c:formatCode>
                <c:ptCount val="6"/>
                <c:pt idx="0">
                  <c:v>0.75281643118827146</c:v>
                </c:pt>
                <c:pt idx="1">
                  <c:v>-0.38194974082037297</c:v>
                </c:pt>
                <c:pt idx="2">
                  <c:v>0.35024801833416286</c:v>
                </c:pt>
                <c:pt idx="3">
                  <c:v>-0.36357942347376265</c:v>
                </c:pt>
                <c:pt idx="4">
                  <c:v>0.3820170425748684</c:v>
                </c:pt>
                <c:pt idx="5">
                  <c:v>-0.14919726740591457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16-4DF3-94CA-78B9600AC8F6}"/>
            </c:ext>
          </c:extLst>
        </c:ser>
        <c:ser>
          <c:idx val="6"/>
          <c:order val="6"/>
          <c:tx>
            <c:v>PPh2Me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C638A"/>
              </a:solidFill>
              <a:ln w="9525">
                <a:noFill/>
              </a:ln>
              <a:effectLst/>
            </c:spPr>
          </c:marker>
          <c:xVal>
            <c:numRef>
              <c:f>Isosteric!$J$20:$J$23</c:f>
              <c:numCache>
                <c:formatCode>0.00</c:formatCode>
                <c:ptCount val="4"/>
                <c:pt idx="0">
                  <c:v>79.286999999999992</c:v>
                </c:pt>
                <c:pt idx="1">
                  <c:v>72.331999999999994</c:v>
                </c:pt>
                <c:pt idx="2">
                  <c:v>50.075999999999993</c:v>
                </c:pt>
                <c:pt idx="3">
                  <c:v>77.896000000000001</c:v>
                </c:pt>
              </c:numCache>
            </c:numRef>
          </c:xVal>
          <c:yVal>
            <c:numRef>
              <c:f>Isosteric!$X$20:$X$23</c:f>
              <c:numCache>
                <c:formatCode>0.00</c:formatCode>
                <c:ptCount val="4"/>
                <c:pt idx="0">
                  <c:v>0.33041377334919075</c:v>
                </c:pt>
                <c:pt idx="1">
                  <c:v>-0.33240087737166191</c:v>
                </c:pt>
                <c:pt idx="2">
                  <c:v>0.78746047451841505</c:v>
                </c:pt>
                <c:pt idx="3">
                  <c:v>-0.30211167612826895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16-4DF3-94CA-78B9600AC8F6}"/>
            </c:ext>
          </c:extLst>
        </c:ser>
        <c:ser>
          <c:idx val="7"/>
          <c:order val="7"/>
          <c:tx>
            <c:v>PEt3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157C7F"/>
              </a:solidFill>
              <a:ln w="9525">
                <a:noFill/>
              </a:ln>
              <a:effectLst/>
            </c:spPr>
          </c:marker>
          <c:xVal>
            <c:numRef>
              <c:f>Isosteric!$J$16:$J$19</c:f>
              <c:numCache>
                <c:formatCode>0.00</c:formatCode>
                <c:ptCount val="4"/>
                <c:pt idx="0">
                  <c:v>50.508000000000003</c:v>
                </c:pt>
                <c:pt idx="1">
                  <c:v>78.568000000000012</c:v>
                </c:pt>
                <c:pt idx="2">
                  <c:v>72.956000000000003</c:v>
                </c:pt>
                <c:pt idx="3">
                  <c:v>79.971000000000004</c:v>
                </c:pt>
              </c:numCache>
            </c:numRef>
          </c:xVal>
          <c:yVal>
            <c:numRef>
              <c:f>Isosteric!$X$16:$X$19</c:f>
              <c:numCache>
                <c:formatCode>0.00</c:formatCode>
                <c:ptCount val="4"/>
                <c:pt idx="0">
                  <c:v>0.8347385189038411</c:v>
                </c:pt>
                <c:pt idx="1">
                  <c:v>-0.27528385294751634</c:v>
                </c:pt>
                <c:pt idx="2">
                  <c:v>-0.29670862188133862</c:v>
                </c:pt>
                <c:pt idx="3">
                  <c:v>0.26403034413212262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16-4DF3-94CA-78B9600AC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71632"/>
        <c:axId val="733769168"/>
      </c:scatterChart>
      <c:valAx>
        <c:axId val="733771632"/>
        <c:scaling>
          <c:orientation val="minMax"/>
          <c:max val="2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cs typeface="Times New Roman" panose="02020603050405020304" pitchFamily="18" charset="0"/>
                  </a:rPr>
                  <a:t>cone angle</a:t>
                </a:r>
                <a:r>
                  <a:rPr lang="en-US" sz="1200" b="0" i="0" u="none" strike="noStrike" kern="1200" baseline="-25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cs typeface="Times New Roman" panose="02020603050405020304" pitchFamily="18" charset="0"/>
                  </a:rPr>
                  <a:t>L </a:t>
                </a: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cs typeface="Times New Roman" panose="02020603050405020304" pitchFamily="18" charset="0"/>
                    <a:sym typeface="Symbol" panose="05050102010706020507" pitchFamily="18" charset="2"/>
                  </a:rPr>
                  <a:t></a:t>
                </a: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cs typeface="Times New Roman" panose="02020603050405020304" pitchFamily="18" charset="0"/>
                  </a:rPr>
                  <a:t> </a:t>
                </a:r>
                <a:r>
                  <a:rPr lang="el-GR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ν</a:t>
                </a:r>
                <a:r>
                  <a:rPr lang="en-US" sz="1200" b="0" i="0" u="none" strike="noStrike" kern="1200" baseline="-25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  <a:cs typeface="Times New Roman" panose="02020603050405020304" pitchFamily="18" charset="0"/>
                  </a:rPr>
                  <a:t>R</a:t>
                </a:r>
                <a:endParaRPr lang="en-US" sz="1200" b="0" i="0" u="none" strike="noStrike" kern="1200" baseline="-2500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-Light" panose="020B0400000000000000" pitchFamily="34" charset="0"/>
                <a:ea typeface="+mn-ea"/>
                <a:cs typeface="+mn-cs"/>
              </a:defRPr>
            </a:pPr>
            <a:endParaRPr lang="en-US"/>
          </a:p>
        </c:txPr>
        <c:crossAx val="733769168"/>
        <c:crosses val="autoZero"/>
        <c:crossBetween val="midCat"/>
        <c:majorUnit val="25"/>
      </c:valAx>
      <c:valAx>
        <c:axId val="733769168"/>
        <c:scaling>
          <c:orientation val="minMax"/>
          <c:max val="1.2"/>
          <c:min val="-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</a:rPr>
                  <a:t>log(</a:t>
                </a:r>
                <a:r>
                  <a:rPr lang="en-US" sz="1200" b="0" i="0" u="none" strike="noStrike" kern="1200" baseline="0">
                    <a:solidFill>
                      <a:srgbClr val="7F0040"/>
                    </a:solidFill>
                    <a:latin typeface="Helvetica" pitchFamily="2" charset="0"/>
                  </a:rPr>
                  <a:t>3B</a:t>
                </a: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</a:rPr>
                  <a:t> / </a:t>
                </a:r>
                <a:r>
                  <a:rPr lang="en-US" sz="1200" b="0" i="0" u="none" strike="noStrike" kern="1200" baseline="0">
                    <a:solidFill>
                      <a:srgbClr val="093398"/>
                    </a:solidFill>
                    <a:latin typeface="Helvetica" pitchFamily="2" charset="0"/>
                  </a:rPr>
                  <a:t>3A</a:t>
                </a:r>
                <a:r>
                  <a: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pitchFamily="2" charset="0"/>
                  </a:rPr>
                  <a:t>)</a:t>
                </a:r>
                <a:endParaRPr lang="en-US" sz="1200" b="0" i="0" u="none" strike="noStrike" kern="1200" baseline="3000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989898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-Light" panose="020B0400000000000000" pitchFamily="34" charset="0"/>
                <a:ea typeface="+mn-ea"/>
                <a:cs typeface="+mn-cs"/>
              </a:defRPr>
            </a:pPr>
            <a:endParaRPr lang="en-US"/>
          </a:p>
        </c:txPr>
        <c:crossAx val="733771632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657091</xdr:colOff>
      <xdr:row>44</xdr:row>
      <xdr:rowOff>90538</xdr:rowOff>
    </xdr:from>
    <xdr:to>
      <xdr:col>22</xdr:col>
      <xdr:colOff>1435069</xdr:colOff>
      <xdr:row>56</xdr:row>
      <xdr:rowOff>102591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22201-A8CD-4852-4CDF-2164E0F35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568662</xdr:colOff>
      <xdr:row>45</xdr:row>
      <xdr:rowOff>36834</xdr:rowOff>
    </xdr:from>
    <xdr:to>
      <xdr:col>19</xdr:col>
      <xdr:colOff>568662</xdr:colOff>
      <xdr:row>53</xdr:row>
      <xdr:rowOff>89481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EE20011-8B25-48F3-A71B-033E9C5A56F7}"/>
            </a:ext>
          </a:extLst>
        </xdr:cNvPr>
        <xdr:cNvCxnSpPr/>
      </xdr:nvCxnSpPr>
      <xdr:spPr>
        <a:xfrm>
          <a:off x="16254186" y="7401810"/>
          <a:ext cx="0" cy="1650389"/>
        </a:xfrm>
        <a:prstGeom prst="line">
          <a:avLst/>
        </a:prstGeom>
        <a:ln w="19050">
          <a:solidFill>
            <a:srgbClr val="98989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184005</xdr:colOff>
      <xdr:row>62</xdr:row>
      <xdr:rowOff>21649</xdr:rowOff>
    </xdr:from>
    <xdr:ext cx="1966308" cy="175346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F699D5A-5DF9-0042-404E-B9402B450077}"/>
            </a:ext>
          </a:extLst>
        </xdr:cNvPr>
        <xdr:cNvSpPr txBox="1"/>
      </xdr:nvSpPr>
      <xdr:spPr>
        <a:xfrm>
          <a:off x="21561136" y="10672331"/>
          <a:ext cx="1966308" cy="17534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rtl="0"/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R² = 0.90</a:t>
          </a:r>
          <a:endParaRPr lang="en-US" sz="1600">
            <a:solidFill>
              <a:schemeClr val="tx1">
                <a:lumMod val="65000"/>
                <a:lumOff val="35000"/>
              </a:schemeClr>
            </a:solidFill>
            <a:effectLst/>
            <a:latin typeface="Helvetica-Light" panose="020B0400000000000000" pitchFamily="34" charset="0"/>
          </a:endParaRPr>
        </a:p>
        <a:p>
          <a:pPr rtl="0"/>
          <a:r>
            <a:rPr lang="en-US" sz="1600" b="0" i="0" baseline="-25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pred</a:t>
          </a:r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R</a:t>
          </a:r>
          <a:r>
            <a:rPr lang="en-US" sz="1600" b="0" i="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2</a:t>
          </a:r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 = 0.94</a:t>
          </a:r>
          <a:endParaRPr lang="en-US" sz="1600">
            <a:solidFill>
              <a:schemeClr val="tx1">
                <a:lumMod val="65000"/>
                <a:lumOff val="35000"/>
              </a:schemeClr>
            </a:solidFill>
            <a:effectLst/>
            <a:latin typeface="Helvetica-Light" panose="020B0400000000000000" pitchFamily="34" charset="0"/>
          </a:endParaRPr>
        </a:p>
        <a:p>
          <a:pPr rtl="0"/>
          <a:r>
            <a:rPr lang="en-US" sz="1600" b="0" i="0" baseline="-25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TrixiePhos</a:t>
          </a:r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R</a:t>
          </a:r>
          <a:r>
            <a:rPr lang="en-US" sz="1600" b="0" i="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2</a:t>
          </a:r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 = 0.99</a:t>
          </a:r>
          <a:endParaRPr lang="en-US" sz="1600">
            <a:solidFill>
              <a:schemeClr val="tx1">
                <a:lumMod val="65000"/>
                <a:lumOff val="35000"/>
              </a:schemeClr>
            </a:solidFill>
            <a:effectLst/>
            <a:latin typeface="Helvetica-Light" panose="020B0400000000000000" pitchFamily="34" charset="0"/>
          </a:endParaRPr>
        </a:p>
        <a:p>
          <a:pPr rtl="0"/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LOLO R</a:t>
          </a:r>
          <a:r>
            <a:rPr lang="en-US" sz="1600" b="0" i="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2</a:t>
          </a:r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 = 0.90</a:t>
          </a:r>
          <a:endParaRPr lang="en-US" sz="1600">
            <a:solidFill>
              <a:schemeClr val="tx1">
                <a:lumMod val="65000"/>
                <a:lumOff val="35000"/>
              </a:schemeClr>
            </a:solidFill>
            <a:effectLst/>
            <a:latin typeface="Helvetica-Light" panose="020B0400000000000000" pitchFamily="34" charset="0"/>
          </a:endParaRPr>
        </a:p>
        <a:p>
          <a:pPr rtl="0"/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5-fold R</a:t>
          </a:r>
          <a:r>
            <a:rPr lang="en-US" sz="1600" b="0" i="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2</a:t>
          </a:r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 = 0.89</a:t>
          </a:r>
          <a:endParaRPr lang="en-US" sz="1600">
            <a:solidFill>
              <a:schemeClr val="tx1">
                <a:lumMod val="65000"/>
                <a:lumOff val="35000"/>
              </a:schemeClr>
            </a:solidFill>
            <a:effectLst/>
            <a:latin typeface="Helvetica-Light" panose="020B0400000000000000" pitchFamily="34" charset="0"/>
          </a:endParaRPr>
        </a:p>
        <a:p>
          <a:pPr rtl="0"/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LOO R</a:t>
          </a:r>
          <a:r>
            <a:rPr lang="en-US" sz="1600" b="0" i="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2</a:t>
          </a:r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 (Q</a:t>
          </a:r>
          <a:r>
            <a:rPr lang="en-US" sz="1600" b="0" i="0" baseline="3000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2</a:t>
          </a:r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Helvetica-Light" panose="020B0400000000000000" pitchFamily="34" charset="0"/>
              <a:ea typeface="+mn-ea"/>
              <a:cs typeface="+mn-cs"/>
            </a:rPr>
            <a:t>) = 0.89</a:t>
          </a:r>
          <a:endParaRPr lang="en-US" sz="1600">
            <a:solidFill>
              <a:schemeClr val="tx1">
                <a:lumMod val="65000"/>
                <a:lumOff val="35000"/>
              </a:schemeClr>
            </a:solidFill>
            <a:effectLst/>
            <a:latin typeface="Helvetica-Light" panose="020B0400000000000000" pitchFamily="34" charset="0"/>
          </a:endParaRPr>
        </a:p>
        <a:p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22</xdr:col>
      <xdr:colOff>976475</xdr:colOff>
      <xdr:row>52</xdr:row>
      <xdr:rowOff>100889</xdr:rowOff>
    </xdr:from>
    <xdr:to>
      <xdr:col>22</xdr:col>
      <xdr:colOff>1040483</xdr:colOff>
      <xdr:row>52</xdr:row>
      <xdr:rowOff>165979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55DDF55-180F-85D8-B31D-59E049B8F2CF}"/>
            </a:ext>
          </a:extLst>
        </xdr:cNvPr>
        <xdr:cNvSpPr>
          <a:spLocks noChangeAspect="1"/>
        </xdr:cNvSpPr>
      </xdr:nvSpPr>
      <xdr:spPr>
        <a:xfrm>
          <a:off x="20288714" y="8854243"/>
          <a:ext cx="64008" cy="65090"/>
        </a:xfrm>
        <a:prstGeom prst="rect">
          <a:avLst/>
        </a:prstGeom>
        <a:noFill/>
        <a:ln>
          <a:solidFill>
            <a:srgbClr val="09339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1093699</xdr:colOff>
      <xdr:row>51</xdr:row>
      <xdr:rowOff>96400</xdr:rowOff>
    </xdr:from>
    <xdr:to>
      <xdr:col>22</xdr:col>
      <xdr:colOff>1157707</xdr:colOff>
      <xdr:row>51</xdr:row>
      <xdr:rowOff>161491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000147C-AA02-488B-B16C-ED55F210C894}"/>
            </a:ext>
          </a:extLst>
        </xdr:cNvPr>
        <xdr:cNvSpPr>
          <a:spLocks noChangeAspect="1"/>
        </xdr:cNvSpPr>
      </xdr:nvSpPr>
      <xdr:spPr>
        <a:xfrm>
          <a:off x="20405938" y="8650815"/>
          <a:ext cx="64008" cy="65091"/>
        </a:xfrm>
        <a:prstGeom prst="rect">
          <a:avLst/>
        </a:prstGeom>
        <a:noFill/>
        <a:ln>
          <a:solidFill>
            <a:srgbClr val="09339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976894</xdr:colOff>
      <xdr:row>50</xdr:row>
      <xdr:rowOff>90067</xdr:rowOff>
    </xdr:from>
    <xdr:to>
      <xdr:col>22</xdr:col>
      <xdr:colOff>1040902</xdr:colOff>
      <xdr:row>50</xdr:row>
      <xdr:rowOff>153790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5AD3B720-379C-4783-0603-14AE6E8D7723}"/>
            </a:ext>
          </a:extLst>
        </xdr:cNvPr>
        <xdr:cNvSpPr/>
      </xdr:nvSpPr>
      <xdr:spPr>
        <a:xfrm>
          <a:off x="20289133" y="8445542"/>
          <a:ext cx="64008" cy="63723"/>
        </a:xfrm>
        <a:prstGeom prst="ellipse">
          <a:avLst/>
        </a:prstGeom>
        <a:solidFill>
          <a:srgbClr val="7F004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963231</xdr:colOff>
      <xdr:row>51</xdr:row>
      <xdr:rowOff>127601</xdr:rowOff>
    </xdr:from>
    <xdr:to>
      <xdr:col>22</xdr:col>
      <xdr:colOff>1054671</xdr:colOff>
      <xdr:row>51</xdr:row>
      <xdr:rowOff>127601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7CB651CE-3FA5-AE77-8215-1912C16B2AFF}"/>
            </a:ext>
          </a:extLst>
        </xdr:cNvPr>
        <xdr:cNvCxnSpPr/>
      </xdr:nvCxnSpPr>
      <xdr:spPr>
        <a:xfrm rot="2700000">
          <a:off x="20321190" y="8636296"/>
          <a:ext cx="0" cy="91440"/>
        </a:xfrm>
        <a:prstGeom prst="line">
          <a:avLst/>
        </a:prstGeom>
        <a:ln w="12700">
          <a:solidFill>
            <a:srgbClr val="09339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964097</xdr:colOff>
      <xdr:row>51</xdr:row>
      <xdr:rowOff>129242</xdr:rowOff>
    </xdr:from>
    <xdr:to>
      <xdr:col>22</xdr:col>
      <xdr:colOff>1055537</xdr:colOff>
      <xdr:row>51</xdr:row>
      <xdr:rowOff>129242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DDEF06FA-B6F9-49C5-B933-66E040129525}"/>
            </a:ext>
          </a:extLst>
        </xdr:cNvPr>
        <xdr:cNvCxnSpPr/>
      </xdr:nvCxnSpPr>
      <xdr:spPr>
        <a:xfrm rot="18900000" flipH="1">
          <a:off x="20322056" y="8637937"/>
          <a:ext cx="0" cy="91440"/>
        </a:xfrm>
        <a:prstGeom prst="line">
          <a:avLst/>
        </a:prstGeom>
        <a:ln w="12700">
          <a:solidFill>
            <a:srgbClr val="09339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283050</xdr:colOff>
      <xdr:row>48</xdr:row>
      <xdr:rowOff>68582</xdr:rowOff>
    </xdr:from>
    <xdr:to>
      <xdr:col>18</xdr:col>
      <xdr:colOff>193802</xdr:colOff>
      <xdr:row>81</xdr:row>
      <xdr:rowOff>138665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AF97C-74C8-483C-9CE6-298BD3D19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472474</xdr:colOff>
      <xdr:row>48</xdr:row>
      <xdr:rowOff>159950</xdr:rowOff>
    </xdr:from>
    <xdr:to>
      <xdr:col>20</xdr:col>
      <xdr:colOff>1227705</xdr:colOff>
      <xdr:row>82</xdr:row>
      <xdr:rowOff>79582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90AAD-75A0-400B-85E9-1FBF52457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</xdr:colOff>
      <xdr:row>83</xdr:row>
      <xdr:rowOff>142865</xdr:rowOff>
    </xdr:from>
    <xdr:to>
      <xdr:col>15</xdr:col>
      <xdr:colOff>50293</xdr:colOff>
      <xdr:row>99</xdr:row>
      <xdr:rowOff>80048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ECB53A-85DB-4107-9DAF-F84A8DA5D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6423</xdr:colOff>
      <xdr:row>84</xdr:row>
      <xdr:rowOff>102109</xdr:rowOff>
    </xdr:from>
    <xdr:to>
      <xdr:col>10</xdr:col>
      <xdr:colOff>6423</xdr:colOff>
      <xdr:row>96</xdr:row>
      <xdr:rowOff>146436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AED79CC3-32E0-4A61-8D84-62C339497443}"/>
            </a:ext>
          </a:extLst>
        </xdr:cNvPr>
        <xdr:cNvCxnSpPr/>
      </xdr:nvCxnSpPr>
      <xdr:spPr>
        <a:xfrm>
          <a:off x="9701838" y="15746845"/>
          <a:ext cx="0" cy="2454487"/>
        </a:xfrm>
        <a:prstGeom prst="line">
          <a:avLst/>
        </a:prstGeom>
        <a:ln w="19050">
          <a:solidFill>
            <a:srgbClr val="98989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353670</xdr:colOff>
      <xdr:row>33</xdr:row>
      <xdr:rowOff>203395</xdr:rowOff>
    </xdr:from>
    <xdr:to>
      <xdr:col>19</xdr:col>
      <xdr:colOff>275497</xdr:colOff>
      <xdr:row>67</xdr:row>
      <xdr:rowOff>27672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2C14A-0BF5-48AE-B6D2-BFE1821BD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459241</xdr:colOff>
      <xdr:row>25</xdr:row>
      <xdr:rowOff>68035</xdr:rowOff>
    </xdr:from>
    <xdr:to>
      <xdr:col>25</xdr:col>
      <xdr:colOff>159952</xdr:colOff>
      <xdr:row>59</xdr:row>
      <xdr:rowOff>138119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EAC5FD-D673-492C-B9CE-2A0779993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425223</xdr:colOff>
      <xdr:row>60</xdr:row>
      <xdr:rowOff>17008</xdr:rowOff>
    </xdr:from>
    <xdr:to>
      <xdr:col>25</xdr:col>
      <xdr:colOff>125934</xdr:colOff>
      <xdr:row>93</xdr:row>
      <xdr:rowOff>87092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7AB65F-D14B-423C-8CB9-6EEFF309A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645242</xdr:colOff>
      <xdr:row>26</xdr:row>
      <xdr:rowOff>30726</xdr:rowOff>
    </xdr:from>
    <xdr:to>
      <xdr:col>20</xdr:col>
      <xdr:colOff>645242</xdr:colOff>
      <xdr:row>56</xdr:row>
      <xdr:rowOff>34003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93B8D09-D0A9-4D7C-B547-E4D9AB58B577}"/>
            </a:ext>
          </a:extLst>
        </xdr:cNvPr>
        <xdr:cNvCxnSpPr/>
      </xdr:nvCxnSpPr>
      <xdr:spPr>
        <a:xfrm>
          <a:off x="17185968" y="4291371"/>
          <a:ext cx="0" cy="5943600"/>
        </a:xfrm>
        <a:prstGeom prst="line">
          <a:avLst/>
        </a:prstGeom>
        <a:ln w="19050">
          <a:solidFill>
            <a:srgbClr val="98989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644587</xdr:colOff>
      <xdr:row>56</xdr:row>
      <xdr:rowOff>31136</xdr:rowOff>
    </xdr:from>
    <xdr:to>
      <xdr:col>24</xdr:col>
      <xdr:colOff>1096298</xdr:colOff>
      <xdr:row>56</xdr:row>
      <xdr:rowOff>31136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619DEA9-FEBF-4CA4-8F93-CF1E35F3AD82}"/>
            </a:ext>
          </a:extLst>
        </xdr:cNvPr>
        <xdr:cNvCxnSpPr/>
      </xdr:nvCxnSpPr>
      <xdr:spPr>
        <a:xfrm rot="5400000">
          <a:off x="20294273" y="7123144"/>
          <a:ext cx="0" cy="6217920"/>
        </a:xfrm>
        <a:prstGeom prst="line">
          <a:avLst/>
        </a:prstGeom>
        <a:ln w="19050">
          <a:solidFill>
            <a:srgbClr val="98989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410967</xdr:colOff>
      <xdr:row>110</xdr:row>
      <xdr:rowOff>14832</xdr:rowOff>
    </xdr:from>
    <xdr:to>
      <xdr:col>22</xdr:col>
      <xdr:colOff>788956</xdr:colOff>
      <xdr:row>111</xdr:row>
      <xdr:rowOff>45540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001321A-E12B-4EE2-883B-378EDF917B19}"/>
            </a:ext>
          </a:extLst>
        </xdr:cNvPr>
        <xdr:cNvSpPr/>
      </xdr:nvSpPr>
      <xdr:spPr>
        <a:xfrm>
          <a:off x="19797143" y="21455420"/>
          <a:ext cx="377989" cy="236149"/>
        </a:xfrm>
        <a:prstGeom prst="rect">
          <a:avLst/>
        </a:prstGeom>
        <a:solidFill>
          <a:srgbClr val="66166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1622995</xdr:colOff>
      <xdr:row>110</xdr:row>
      <xdr:rowOff>23399</xdr:rowOff>
    </xdr:from>
    <xdr:to>
      <xdr:col>22</xdr:col>
      <xdr:colOff>2000984</xdr:colOff>
      <xdr:row>111</xdr:row>
      <xdr:rowOff>56925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743AA56-9295-481B-B8AD-D8642880ACBF}"/>
            </a:ext>
          </a:extLst>
        </xdr:cNvPr>
        <xdr:cNvSpPr/>
      </xdr:nvSpPr>
      <xdr:spPr>
        <a:xfrm>
          <a:off x="21009171" y="21463987"/>
          <a:ext cx="377989" cy="238967"/>
        </a:xfrm>
        <a:prstGeom prst="rect">
          <a:avLst/>
        </a:prstGeom>
        <a:solidFill>
          <a:srgbClr val="3E277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0</xdr:colOff>
      <xdr:row>110</xdr:row>
      <xdr:rowOff>34009</xdr:rowOff>
    </xdr:from>
    <xdr:to>
      <xdr:col>21</xdr:col>
      <xdr:colOff>377989</xdr:colOff>
      <xdr:row>111</xdr:row>
      <xdr:rowOff>67535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A483775-D544-4D0F-AD30-9C0F1ADD4BB5}"/>
            </a:ext>
          </a:extLst>
        </xdr:cNvPr>
        <xdr:cNvSpPr/>
      </xdr:nvSpPr>
      <xdr:spPr>
        <a:xfrm>
          <a:off x="18545735" y="21474597"/>
          <a:ext cx="377989" cy="238967"/>
        </a:xfrm>
        <a:prstGeom prst="rect">
          <a:avLst/>
        </a:prstGeom>
        <a:solidFill>
          <a:srgbClr val="7F004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736716</xdr:colOff>
      <xdr:row>110</xdr:row>
      <xdr:rowOff>21224</xdr:rowOff>
    </xdr:from>
    <xdr:to>
      <xdr:col>24</xdr:col>
      <xdr:colOff>274264</xdr:colOff>
      <xdr:row>111</xdr:row>
      <xdr:rowOff>51932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6AD96AD-AB48-4BD0-A0D7-D100B094E044}"/>
            </a:ext>
          </a:extLst>
        </xdr:cNvPr>
        <xdr:cNvSpPr/>
      </xdr:nvSpPr>
      <xdr:spPr>
        <a:xfrm>
          <a:off x="22252010" y="21461812"/>
          <a:ext cx="377989" cy="236149"/>
        </a:xfrm>
        <a:prstGeom prst="rect">
          <a:avLst/>
        </a:prstGeom>
        <a:solidFill>
          <a:srgbClr val="09339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1124284</xdr:colOff>
      <xdr:row>110</xdr:row>
      <xdr:rowOff>26593</xdr:rowOff>
    </xdr:from>
    <xdr:to>
      <xdr:col>25</xdr:col>
      <xdr:colOff>232273</xdr:colOff>
      <xdr:row>111</xdr:row>
      <xdr:rowOff>60119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2BBC48C-5EE2-4652-8B2D-53A3625A7982}"/>
            </a:ext>
          </a:extLst>
        </xdr:cNvPr>
        <xdr:cNvSpPr/>
      </xdr:nvSpPr>
      <xdr:spPr>
        <a:xfrm>
          <a:off x="23480019" y="21467181"/>
          <a:ext cx="377989" cy="238967"/>
        </a:xfrm>
        <a:prstGeom prst="rect">
          <a:avLst/>
        </a:prstGeom>
        <a:solidFill>
          <a:srgbClr val="064E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1058664</xdr:colOff>
      <xdr:row>110</xdr:row>
      <xdr:rowOff>34010</xdr:rowOff>
    </xdr:from>
    <xdr:to>
      <xdr:col>27</xdr:col>
      <xdr:colOff>8254</xdr:colOff>
      <xdr:row>110</xdr:row>
      <xdr:rowOff>184400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D8BEE02-58F9-4B51-8251-3016D530FC3E}"/>
            </a:ext>
          </a:extLst>
        </xdr:cNvPr>
        <xdr:cNvSpPr/>
      </xdr:nvSpPr>
      <xdr:spPr>
        <a:xfrm>
          <a:off x="26047782" y="21474598"/>
          <a:ext cx="144884" cy="150390"/>
        </a:xfrm>
        <a:prstGeom prst="rect">
          <a:avLst/>
        </a:prstGeom>
        <a:solidFill>
          <a:srgbClr val="157C7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1085491</xdr:colOff>
      <xdr:row>110</xdr:row>
      <xdr:rowOff>0</xdr:rowOff>
    </xdr:from>
    <xdr:to>
      <xdr:col>26</xdr:col>
      <xdr:colOff>100097</xdr:colOff>
      <xdr:row>111</xdr:row>
      <xdr:rowOff>30708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8F7A50B3-9E7C-41A4-B6DD-6DF9A1FAB86C}"/>
            </a:ext>
          </a:extLst>
        </xdr:cNvPr>
        <xdr:cNvSpPr/>
      </xdr:nvSpPr>
      <xdr:spPr>
        <a:xfrm>
          <a:off x="24711226" y="21440588"/>
          <a:ext cx="377989" cy="236149"/>
        </a:xfrm>
        <a:prstGeom prst="rect">
          <a:avLst/>
        </a:prstGeom>
        <a:solidFill>
          <a:srgbClr val="0C638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77527</xdr:colOff>
      <xdr:row>84</xdr:row>
      <xdr:rowOff>143207</xdr:rowOff>
    </xdr:from>
    <xdr:to>
      <xdr:col>10</xdr:col>
      <xdr:colOff>141535</xdr:colOff>
      <xdr:row>85</xdr:row>
      <xdr:rowOff>6688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AC1AFED8-73EB-4370-AB1C-41321001B8ED}"/>
            </a:ext>
          </a:extLst>
        </xdr:cNvPr>
        <xdr:cNvSpPr>
          <a:spLocks noChangeAspect="1"/>
        </xdr:cNvSpPr>
      </xdr:nvSpPr>
      <xdr:spPr>
        <a:xfrm>
          <a:off x="9784396" y="15827090"/>
          <a:ext cx="64008" cy="63846"/>
        </a:xfrm>
        <a:prstGeom prst="ellipse">
          <a:avLst/>
        </a:prstGeom>
        <a:solidFill>
          <a:srgbClr val="7F004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79463</xdr:colOff>
      <xdr:row>85</xdr:row>
      <xdr:rowOff>156176</xdr:rowOff>
    </xdr:from>
    <xdr:to>
      <xdr:col>10</xdr:col>
      <xdr:colOff>143471</xdr:colOff>
      <xdr:row>86</xdr:row>
      <xdr:rowOff>23115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B8EFCF14-F1B1-4B6D-B175-8281ED9C3630}"/>
            </a:ext>
          </a:extLst>
        </xdr:cNvPr>
        <xdr:cNvSpPr>
          <a:spLocks noChangeAspect="1"/>
        </xdr:cNvSpPr>
      </xdr:nvSpPr>
      <xdr:spPr>
        <a:xfrm>
          <a:off x="9768854" y="15807153"/>
          <a:ext cx="64008" cy="65175"/>
        </a:xfrm>
        <a:prstGeom prst="ellipse">
          <a:avLst/>
        </a:prstGeom>
        <a:solidFill>
          <a:srgbClr val="66166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78841</xdr:colOff>
      <xdr:row>86</xdr:row>
      <xdr:rowOff>171002</xdr:rowOff>
    </xdr:from>
    <xdr:to>
      <xdr:col>10</xdr:col>
      <xdr:colOff>142849</xdr:colOff>
      <xdr:row>87</xdr:row>
      <xdr:rowOff>38103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69B3C092-E3E6-41DB-82EB-2F016BFAE083}"/>
            </a:ext>
          </a:extLst>
        </xdr:cNvPr>
        <xdr:cNvSpPr>
          <a:spLocks noChangeAspect="1"/>
        </xdr:cNvSpPr>
      </xdr:nvSpPr>
      <xdr:spPr>
        <a:xfrm>
          <a:off x="9768232" y="16020215"/>
          <a:ext cx="64008" cy="65337"/>
        </a:xfrm>
        <a:prstGeom prst="ellipse">
          <a:avLst/>
        </a:prstGeom>
        <a:solidFill>
          <a:srgbClr val="3E277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80777</xdr:colOff>
      <xdr:row>87</xdr:row>
      <xdr:rowOff>181842</xdr:rowOff>
    </xdr:from>
    <xdr:to>
      <xdr:col>10</xdr:col>
      <xdr:colOff>144785</xdr:colOff>
      <xdr:row>88</xdr:row>
      <xdr:rowOff>51072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51EA3CF2-2175-4DF1-80EE-0944D7EE64FB}"/>
            </a:ext>
          </a:extLst>
        </xdr:cNvPr>
        <xdr:cNvSpPr>
          <a:spLocks noChangeAspect="1"/>
        </xdr:cNvSpPr>
      </xdr:nvSpPr>
      <xdr:spPr>
        <a:xfrm>
          <a:off x="9770168" y="16229291"/>
          <a:ext cx="64008" cy="67466"/>
        </a:xfrm>
        <a:prstGeom prst="ellipse">
          <a:avLst/>
        </a:prstGeom>
        <a:solidFill>
          <a:srgbClr val="09339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80155</xdr:colOff>
      <xdr:row>88</xdr:row>
      <xdr:rowOff>193718</xdr:rowOff>
    </xdr:from>
    <xdr:to>
      <xdr:col>10</xdr:col>
      <xdr:colOff>144163</xdr:colOff>
      <xdr:row>89</xdr:row>
      <xdr:rowOff>59490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33917657-BA8E-40B3-8494-8F52E9E59DB5}"/>
            </a:ext>
          </a:extLst>
        </xdr:cNvPr>
        <xdr:cNvSpPr>
          <a:spLocks noChangeAspect="1"/>
        </xdr:cNvSpPr>
      </xdr:nvSpPr>
      <xdr:spPr>
        <a:xfrm>
          <a:off x="9769546" y="16439403"/>
          <a:ext cx="64008" cy="64008"/>
        </a:xfrm>
        <a:prstGeom prst="ellipse">
          <a:avLst/>
        </a:prstGeom>
        <a:solidFill>
          <a:srgbClr val="064E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82091</xdr:colOff>
      <xdr:row>90</xdr:row>
      <xdr:rowOff>3317</xdr:rowOff>
    </xdr:from>
    <xdr:to>
      <xdr:col>10</xdr:col>
      <xdr:colOff>146099</xdr:colOff>
      <xdr:row>90</xdr:row>
      <xdr:rowOff>67325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9A5C707F-14DD-4F05-88A9-314F0B1E12F5}"/>
            </a:ext>
          </a:extLst>
        </xdr:cNvPr>
        <xdr:cNvSpPr>
          <a:spLocks noChangeAspect="1"/>
        </xdr:cNvSpPr>
      </xdr:nvSpPr>
      <xdr:spPr>
        <a:xfrm>
          <a:off x="9779106" y="16832529"/>
          <a:ext cx="64008" cy="64008"/>
        </a:xfrm>
        <a:prstGeom prst="ellipse">
          <a:avLst/>
        </a:prstGeom>
        <a:solidFill>
          <a:srgbClr val="0C638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81812</xdr:colOff>
      <xdr:row>91</xdr:row>
      <xdr:rowOff>16748</xdr:rowOff>
    </xdr:from>
    <xdr:to>
      <xdr:col>10</xdr:col>
      <xdr:colOff>145820</xdr:colOff>
      <xdr:row>91</xdr:row>
      <xdr:rowOff>82336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817D48E-38E2-42AF-AF41-47C5896A28CF}"/>
            </a:ext>
          </a:extLst>
        </xdr:cNvPr>
        <xdr:cNvSpPr>
          <a:spLocks noChangeAspect="1"/>
        </xdr:cNvSpPr>
      </xdr:nvSpPr>
      <xdr:spPr>
        <a:xfrm>
          <a:off x="9778827" y="17046216"/>
          <a:ext cx="64008" cy="65588"/>
        </a:xfrm>
        <a:prstGeom prst="ellipse">
          <a:avLst/>
        </a:prstGeom>
        <a:solidFill>
          <a:srgbClr val="157C7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836570</xdr:colOff>
      <xdr:row>96</xdr:row>
      <xdr:rowOff>140043</xdr:rowOff>
    </xdr:from>
    <xdr:to>
      <xdr:col>14</xdr:col>
      <xdr:colOff>282708</xdr:colOff>
      <xdr:row>96</xdr:row>
      <xdr:rowOff>140043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458EA5DB-9220-43D6-8CFF-8A8D4D8F347E}"/>
            </a:ext>
          </a:extLst>
        </xdr:cNvPr>
        <xdr:cNvCxnSpPr/>
      </xdr:nvCxnSpPr>
      <xdr:spPr>
        <a:xfrm rot="16200000">
          <a:off x="11038632" y="16814007"/>
          <a:ext cx="0" cy="2655974"/>
        </a:xfrm>
        <a:prstGeom prst="line">
          <a:avLst/>
        </a:prstGeom>
        <a:ln w="19050">
          <a:solidFill>
            <a:srgbClr val="98989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526815</xdr:colOff>
      <xdr:row>83</xdr:row>
      <xdr:rowOff>124526</xdr:rowOff>
    </xdr:from>
    <xdr:to>
      <xdr:col>20</xdr:col>
      <xdr:colOff>330725</xdr:colOff>
      <xdr:row>99</xdr:row>
      <xdr:rowOff>61709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A37333F-3845-4A7F-9579-03A1D8BCB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779528</xdr:colOff>
      <xdr:row>84</xdr:row>
      <xdr:rowOff>83770</xdr:rowOff>
    </xdr:from>
    <xdr:to>
      <xdr:col>16</xdr:col>
      <xdr:colOff>779528</xdr:colOff>
      <xdr:row>96</xdr:row>
      <xdr:rowOff>128097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AA843941-DB9B-4217-A221-A1C7B65AE646}"/>
            </a:ext>
          </a:extLst>
        </xdr:cNvPr>
        <xdr:cNvCxnSpPr/>
      </xdr:nvCxnSpPr>
      <xdr:spPr>
        <a:xfrm>
          <a:off x="13933881" y="15619373"/>
          <a:ext cx="0" cy="2409155"/>
        </a:xfrm>
        <a:prstGeom prst="line">
          <a:avLst/>
        </a:prstGeom>
        <a:ln w="19050">
          <a:solidFill>
            <a:srgbClr val="98989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13088</xdr:colOff>
      <xdr:row>84</xdr:row>
      <xdr:rowOff>124868</xdr:rowOff>
    </xdr:from>
    <xdr:to>
      <xdr:col>17</xdr:col>
      <xdr:colOff>77096</xdr:colOff>
      <xdr:row>84</xdr:row>
      <xdr:rowOff>185418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E7A6476E-06AB-40E1-8309-3710B52E3932}"/>
            </a:ext>
          </a:extLst>
        </xdr:cNvPr>
        <xdr:cNvSpPr>
          <a:spLocks noChangeAspect="1"/>
        </xdr:cNvSpPr>
      </xdr:nvSpPr>
      <xdr:spPr>
        <a:xfrm>
          <a:off x="14004985" y="15660471"/>
          <a:ext cx="64008" cy="60550"/>
        </a:xfrm>
        <a:prstGeom prst="ellipse">
          <a:avLst/>
        </a:prstGeom>
        <a:solidFill>
          <a:srgbClr val="7F004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15024</xdr:colOff>
      <xdr:row>85</xdr:row>
      <xdr:rowOff>137837</xdr:rowOff>
    </xdr:from>
    <xdr:to>
      <xdr:col>17</xdr:col>
      <xdr:colOff>79032</xdr:colOff>
      <xdr:row>86</xdr:row>
      <xdr:rowOff>4776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2EF1AAB8-B570-4708-94FC-FBDBEA03C8B4}"/>
            </a:ext>
          </a:extLst>
        </xdr:cNvPr>
        <xdr:cNvSpPr>
          <a:spLocks noChangeAspect="1"/>
        </xdr:cNvSpPr>
      </xdr:nvSpPr>
      <xdr:spPr>
        <a:xfrm>
          <a:off x="14006921" y="15870509"/>
          <a:ext cx="64008" cy="64008"/>
        </a:xfrm>
        <a:prstGeom prst="ellipse">
          <a:avLst/>
        </a:prstGeom>
        <a:solidFill>
          <a:srgbClr val="66166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14402</xdr:colOff>
      <xdr:row>86</xdr:row>
      <xdr:rowOff>152663</xdr:rowOff>
    </xdr:from>
    <xdr:to>
      <xdr:col>17</xdr:col>
      <xdr:colOff>78410</xdr:colOff>
      <xdr:row>87</xdr:row>
      <xdr:rowOff>19764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D12CDC1E-E3F5-4EF9-B504-D3FB78623812}"/>
            </a:ext>
          </a:extLst>
        </xdr:cNvPr>
        <xdr:cNvSpPr>
          <a:spLocks noChangeAspect="1"/>
        </xdr:cNvSpPr>
      </xdr:nvSpPr>
      <xdr:spPr>
        <a:xfrm>
          <a:off x="14006299" y="16082404"/>
          <a:ext cx="64008" cy="64170"/>
        </a:xfrm>
        <a:prstGeom prst="ellipse">
          <a:avLst/>
        </a:prstGeom>
        <a:solidFill>
          <a:srgbClr val="3E277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16338</xdr:colOff>
      <xdr:row>87</xdr:row>
      <xdr:rowOff>163503</xdr:rowOff>
    </xdr:from>
    <xdr:to>
      <xdr:col>17</xdr:col>
      <xdr:colOff>80346</xdr:colOff>
      <xdr:row>88</xdr:row>
      <xdr:rowOff>32733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A129C5A1-856D-4C71-B31E-B5B6544D27D6}"/>
            </a:ext>
          </a:extLst>
        </xdr:cNvPr>
        <xdr:cNvSpPr>
          <a:spLocks noChangeAspect="1"/>
        </xdr:cNvSpPr>
      </xdr:nvSpPr>
      <xdr:spPr>
        <a:xfrm>
          <a:off x="14008235" y="16290313"/>
          <a:ext cx="64008" cy="66299"/>
        </a:xfrm>
        <a:prstGeom prst="ellipse">
          <a:avLst/>
        </a:prstGeom>
        <a:solidFill>
          <a:srgbClr val="09339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15716</xdr:colOff>
      <xdr:row>88</xdr:row>
      <xdr:rowOff>175379</xdr:rowOff>
    </xdr:from>
    <xdr:to>
      <xdr:col>17</xdr:col>
      <xdr:colOff>79724</xdr:colOff>
      <xdr:row>89</xdr:row>
      <xdr:rowOff>41151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C3A44BF7-4786-4348-B0BA-60DDCF717D4D}"/>
            </a:ext>
          </a:extLst>
        </xdr:cNvPr>
        <xdr:cNvSpPr>
          <a:spLocks noChangeAspect="1"/>
        </xdr:cNvSpPr>
      </xdr:nvSpPr>
      <xdr:spPr>
        <a:xfrm>
          <a:off x="14007613" y="16499258"/>
          <a:ext cx="64008" cy="62841"/>
        </a:xfrm>
        <a:prstGeom prst="ellipse">
          <a:avLst/>
        </a:prstGeom>
        <a:solidFill>
          <a:srgbClr val="064E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17652</xdr:colOff>
      <xdr:row>89</xdr:row>
      <xdr:rowOff>182047</xdr:rowOff>
    </xdr:from>
    <xdr:to>
      <xdr:col>17</xdr:col>
      <xdr:colOff>81660</xdr:colOff>
      <xdr:row>90</xdr:row>
      <xdr:rowOff>48986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FBFB9C26-CD45-48EA-A6EF-0967C11A5165}"/>
            </a:ext>
          </a:extLst>
        </xdr:cNvPr>
        <xdr:cNvSpPr>
          <a:spLocks noChangeAspect="1"/>
        </xdr:cNvSpPr>
      </xdr:nvSpPr>
      <xdr:spPr>
        <a:xfrm>
          <a:off x="14009549" y="16702995"/>
          <a:ext cx="64008" cy="64008"/>
        </a:xfrm>
        <a:prstGeom prst="ellipse">
          <a:avLst/>
        </a:prstGeom>
        <a:solidFill>
          <a:srgbClr val="0C638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17373</xdr:colOff>
      <xdr:row>90</xdr:row>
      <xdr:rowOff>195478</xdr:rowOff>
    </xdr:from>
    <xdr:to>
      <xdr:col>17</xdr:col>
      <xdr:colOff>81381</xdr:colOff>
      <xdr:row>91</xdr:row>
      <xdr:rowOff>63997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BAE9593B-B00C-4813-91B5-1FBD30E73BDB}"/>
            </a:ext>
          </a:extLst>
        </xdr:cNvPr>
        <xdr:cNvSpPr>
          <a:spLocks noChangeAspect="1"/>
        </xdr:cNvSpPr>
      </xdr:nvSpPr>
      <xdr:spPr>
        <a:xfrm>
          <a:off x="14009270" y="16913495"/>
          <a:ext cx="64008" cy="65588"/>
        </a:xfrm>
        <a:prstGeom prst="ellipse">
          <a:avLst/>
        </a:prstGeom>
        <a:solidFill>
          <a:srgbClr val="157C7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772131</xdr:colOff>
      <xdr:row>96</xdr:row>
      <xdr:rowOff>121704</xdr:rowOff>
    </xdr:from>
    <xdr:to>
      <xdr:col>20</xdr:col>
      <xdr:colOff>70467</xdr:colOff>
      <xdr:row>96</xdr:row>
      <xdr:rowOff>121704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4AE6F5B6-949C-4D62-867F-2D40A21241B9}"/>
            </a:ext>
          </a:extLst>
        </xdr:cNvPr>
        <xdr:cNvCxnSpPr/>
      </xdr:nvCxnSpPr>
      <xdr:spPr>
        <a:xfrm rot="16200000">
          <a:off x="15250739" y="16697880"/>
          <a:ext cx="0" cy="2648509"/>
        </a:xfrm>
        <a:prstGeom prst="line">
          <a:avLst/>
        </a:prstGeom>
        <a:ln w="19050">
          <a:solidFill>
            <a:srgbClr val="98989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183534</xdr:colOff>
      <xdr:row>49</xdr:row>
      <xdr:rowOff>153880</xdr:rowOff>
    </xdr:from>
    <xdr:to>
      <xdr:col>11</xdr:col>
      <xdr:colOff>478939</xdr:colOff>
      <xdr:row>61</xdr:row>
      <xdr:rowOff>52106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03330-EDED-43E4-B95A-B18483EE2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50</xdr:row>
      <xdr:rowOff>0</xdr:rowOff>
    </xdr:from>
    <xdr:to>
      <xdr:col>24</xdr:col>
      <xdr:colOff>664222</xdr:colOff>
      <xdr:row>83</xdr:row>
      <xdr:rowOff>70083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E2875F-D2F4-4284-BF19-ADB6C3283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213360</xdr:colOff>
      <xdr:row>50</xdr:row>
      <xdr:rowOff>137160</xdr:rowOff>
    </xdr:from>
    <xdr:to>
      <xdr:col>33</xdr:col>
      <xdr:colOff>607470</xdr:colOff>
      <xdr:row>84</xdr:row>
      <xdr:rowOff>9123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D8C84B-DEEE-44F1-BE30-4AA0DE5AF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87</xdr:row>
      <xdr:rowOff>197991</xdr:rowOff>
    </xdr:from>
    <xdr:to>
      <xdr:col>20</xdr:col>
      <xdr:colOff>484855</xdr:colOff>
      <xdr:row>103</xdr:row>
      <xdr:rowOff>157374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ADFF70-E10A-4045-86F2-22E8D2043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89</xdr:row>
      <xdr:rowOff>0</xdr:rowOff>
    </xdr:from>
    <xdr:to>
      <xdr:col>28</xdr:col>
      <xdr:colOff>1108017</xdr:colOff>
      <xdr:row>104</xdr:row>
      <xdr:rowOff>102887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60DF36-807F-4728-A8B5-A71BCAAE1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301272</xdr:colOff>
      <xdr:row>88</xdr:row>
      <xdr:rowOff>122104</xdr:rowOff>
    </xdr:from>
    <xdr:to>
      <xdr:col>16</xdr:col>
      <xdr:colOff>301272</xdr:colOff>
      <xdr:row>100</xdr:row>
      <xdr:rowOff>123645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65C08C8E-7CC0-4B86-886A-FE049D76F692}"/>
            </a:ext>
          </a:extLst>
        </xdr:cNvPr>
        <xdr:cNvCxnSpPr/>
      </xdr:nvCxnSpPr>
      <xdr:spPr>
        <a:xfrm>
          <a:off x="14075064" y="15897216"/>
          <a:ext cx="0" cy="2377440"/>
        </a:xfrm>
        <a:prstGeom prst="line">
          <a:avLst/>
        </a:prstGeom>
        <a:ln w="19050">
          <a:solidFill>
            <a:srgbClr val="98989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296028</xdr:colOff>
      <xdr:row>100</xdr:row>
      <xdr:rowOff>117225</xdr:rowOff>
    </xdr:from>
    <xdr:to>
      <xdr:col>20</xdr:col>
      <xdr:colOff>181336</xdr:colOff>
      <xdr:row>100</xdr:row>
      <xdr:rowOff>117225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EEF834F-20F9-494C-8D46-C45E7A5D1E9F}"/>
            </a:ext>
          </a:extLst>
        </xdr:cNvPr>
        <xdr:cNvCxnSpPr/>
      </xdr:nvCxnSpPr>
      <xdr:spPr>
        <a:xfrm rot="5400000">
          <a:off x="15395740" y="16942316"/>
          <a:ext cx="0" cy="2651839"/>
        </a:xfrm>
        <a:prstGeom prst="line">
          <a:avLst/>
        </a:prstGeom>
        <a:ln w="19050">
          <a:solidFill>
            <a:srgbClr val="98989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958043</xdr:colOff>
      <xdr:row>58</xdr:row>
      <xdr:rowOff>24558</xdr:rowOff>
    </xdr:from>
    <xdr:to>
      <xdr:col>11</xdr:col>
      <xdr:colOff>151783</xdr:colOff>
      <xdr:row>58</xdr:row>
      <xdr:rowOff>24558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F6A7BA00-096B-40CD-AC33-B316C70FDE01}"/>
            </a:ext>
          </a:extLst>
        </xdr:cNvPr>
        <xdr:cNvCxnSpPr/>
      </xdr:nvCxnSpPr>
      <xdr:spPr>
        <a:xfrm rot="16200000">
          <a:off x="7584703" y="6916594"/>
          <a:ext cx="0" cy="6204820"/>
        </a:xfrm>
        <a:prstGeom prst="line">
          <a:avLst/>
        </a:prstGeom>
        <a:ln w="19050">
          <a:solidFill>
            <a:srgbClr val="98989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1038487</xdr:colOff>
      <xdr:row>50</xdr:row>
      <xdr:rowOff>144325</xdr:rowOff>
    </xdr:from>
    <xdr:to>
      <xdr:col>3</xdr:col>
      <xdr:colOff>1100349</xdr:colOff>
      <xdr:row>51</xdr:row>
      <xdr:rowOff>1768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9CFA9B80-7D49-4D33-BFD1-B78B6D5E580D}"/>
            </a:ext>
          </a:extLst>
        </xdr:cNvPr>
        <xdr:cNvSpPr>
          <a:spLocks noChangeAspect="1"/>
        </xdr:cNvSpPr>
      </xdr:nvSpPr>
      <xdr:spPr>
        <a:xfrm>
          <a:off x="4562186" y="8496594"/>
          <a:ext cx="61862" cy="58404"/>
        </a:xfrm>
        <a:prstGeom prst="ellipse">
          <a:avLst/>
        </a:prstGeom>
        <a:solidFill>
          <a:srgbClr val="7F004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1040423</xdr:colOff>
      <xdr:row>51</xdr:row>
      <xdr:rowOff>153275</xdr:rowOff>
    </xdr:from>
    <xdr:to>
      <xdr:col>3</xdr:col>
      <xdr:colOff>1102285</xdr:colOff>
      <xdr:row>52</xdr:row>
      <xdr:rowOff>16195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5676DEF7-982E-4F39-B497-74BE0FA18949}"/>
            </a:ext>
          </a:extLst>
        </xdr:cNvPr>
        <xdr:cNvSpPr>
          <a:spLocks noChangeAspect="1"/>
        </xdr:cNvSpPr>
      </xdr:nvSpPr>
      <xdr:spPr>
        <a:xfrm>
          <a:off x="4564122" y="8706505"/>
          <a:ext cx="61862" cy="63881"/>
        </a:xfrm>
        <a:prstGeom prst="ellipse">
          <a:avLst/>
        </a:prstGeom>
        <a:solidFill>
          <a:srgbClr val="66166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1039801</xdr:colOff>
      <xdr:row>52</xdr:row>
      <xdr:rowOff>164082</xdr:rowOff>
    </xdr:from>
    <xdr:to>
      <xdr:col>3</xdr:col>
      <xdr:colOff>1101663</xdr:colOff>
      <xdr:row>53</xdr:row>
      <xdr:rowOff>27166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82690B03-A59A-4D87-874C-DBFAE96C4F8E}"/>
            </a:ext>
          </a:extLst>
        </xdr:cNvPr>
        <xdr:cNvSpPr>
          <a:spLocks noChangeAspect="1"/>
        </xdr:cNvSpPr>
      </xdr:nvSpPr>
      <xdr:spPr>
        <a:xfrm>
          <a:off x="4563500" y="8918273"/>
          <a:ext cx="61862" cy="64045"/>
        </a:xfrm>
        <a:prstGeom prst="ellipse">
          <a:avLst/>
        </a:prstGeom>
        <a:solidFill>
          <a:srgbClr val="3E277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1041737</xdr:colOff>
      <xdr:row>53</xdr:row>
      <xdr:rowOff>170905</xdr:rowOff>
    </xdr:from>
    <xdr:to>
      <xdr:col>3</xdr:col>
      <xdr:colOff>1103599</xdr:colOff>
      <xdr:row>54</xdr:row>
      <xdr:rowOff>36116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E5ADC387-C8D6-4E69-ADAD-D22FBAEFE423}"/>
            </a:ext>
          </a:extLst>
        </xdr:cNvPr>
        <xdr:cNvSpPr>
          <a:spLocks noChangeAspect="1"/>
        </xdr:cNvSpPr>
      </xdr:nvSpPr>
      <xdr:spPr>
        <a:xfrm>
          <a:off x="4565436" y="9126057"/>
          <a:ext cx="61862" cy="66172"/>
        </a:xfrm>
        <a:prstGeom prst="ellipse">
          <a:avLst/>
        </a:prstGeom>
        <a:solidFill>
          <a:srgbClr val="09339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1041115</xdr:colOff>
      <xdr:row>54</xdr:row>
      <xdr:rowOff>178762</xdr:rowOff>
    </xdr:from>
    <xdr:to>
      <xdr:col>3</xdr:col>
      <xdr:colOff>1102977</xdr:colOff>
      <xdr:row>55</xdr:row>
      <xdr:rowOff>40516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7676F8B1-7F4B-4C13-B693-A05A9D1C61E8}"/>
            </a:ext>
          </a:extLst>
        </xdr:cNvPr>
        <xdr:cNvSpPr>
          <a:spLocks noChangeAspect="1"/>
        </xdr:cNvSpPr>
      </xdr:nvSpPr>
      <xdr:spPr>
        <a:xfrm>
          <a:off x="4564814" y="9334875"/>
          <a:ext cx="61862" cy="62715"/>
        </a:xfrm>
        <a:prstGeom prst="ellipse">
          <a:avLst/>
        </a:prstGeom>
        <a:solidFill>
          <a:srgbClr val="064E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1043051</xdr:colOff>
      <xdr:row>55</xdr:row>
      <xdr:rowOff>181412</xdr:rowOff>
    </xdr:from>
    <xdr:to>
      <xdr:col>3</xdr:col>
      <xdr:colOff>1104913</xdr:colOff>
      <xdr:row>56</xdr:row>
      <xdr:rowOff>44332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5B0DE6FD-E957-4E17-B38B-9F3FB632FD08}"/>
            </a:ext>
          </a:extLst>
        </xdr:cNvPr>
        <xdr:cNvSpPr>
          <a:spLocks noChangeAspect="1"/>
        </xdr:cNvSpPr>
      </xdr:nvSpPr>
      <xdr:spPr>
        <a:xfrm>
          <a:off x="4566750" y="9538486"/>
          <a:ext cx="61862" cy="63881"/>
        </a:xfrm>
        <a:prstGeom prst="ellipse">
          <a:avLst/>
        </a:prstGeom>
        <a:solidFill>
          <a:srgbClr val="0C638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1042772</xdr:colOff>
      <xdr:row>56</xdr:row>
      <xdr:rowOff>190824</xdr:rowOff>
    </xdr:from>
    <xdr:to>
      <xdr:col>3</xdr:col>
      <xdr:colOff>1104634</xdr:colOff>
      <xdr:row>57</xdr:row>
      <xdr:rowOff>55324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F2CD80E7-813A-4264-976A-3C7239C2003F}"/>
            </a:ext>
          </a:extLst>
        </xdr:cNvPr>
        <xdr:cNvSpPr>
          <a:spLocks noChangeAspect="1"/>
        </xdr:cNvSpPr>
      </xdr:nvSpPr>
      <xdr:spPr>
        <a:xfrm>
          <a:off x="4566471" y="9748859"/>
          <a:ext cx="61862" cy="65461"/>
        </a:xfrm>
        <a:prstGeom prst="ellipse">
          <a:avLst/>
        </a:prstGeom>
        <a:solidFill>
          <a:srgbClr val="157C7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301610</xdr:colOff>
      <xdr:row>50</xdr:row>
      <xdr:rowOff>186936</xdr:rowOff>
    </xdr:from>
    <xdr:to>
      <xdr:col>5</xdr:col>
      <xdr:colOff>803144</xdr:colOff>
      <xdr:row>53</xdr:row>
      <xdr:rowOff>91326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432A8F0B-35E2-1277-D407-4D0EC2D15AB9}"/>
            </a:ext>
          </a:extLst>
        </xdr:cNvPr>
        <xdr:cNvSpPr/>
      </xdr:nvSpPr>
      <xdr:spPr>
        <a:xfrm>
          <a:off x="5818004" y="8512191"/>
          <a:ext cx="501534" cy="500209"/>
        </a:xfrm>
        <a:prstGeom prst="ellipse">
          <a:avLst/>
        </a:prstGeom>
        <a:solidFill>
          <a:srgbClr val="989898">
            <a:alpha val="20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273095</xdr:colOff>
      <xdr:row>52</xdr:row>
      <xdr:rowOff>165569</xdr:rowOff>
    </xdr:from>
    <xdr:to>
      <xdr:col>6</xdr:col>
      <xdr:colOff>776015</xdr:colOff>
      <xdr:row>55</xdr:row>
      <xdr:rowOff>69959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E562D154-A963-41B0-983C-8C03CD3C5355}"/>
            </a:ext>
          </a:extLst>
        </xdr:cNvPr>
        <xdr:cNvSpPr/>
      </xdr:nvSpPr>
      <xdr:spPr>
        <a:xfrm>
          <a:off x="6618210" y="8840646"/>
          <a:ext cx="502920" cy="497871"/>
        </a:xfrm>
        <a:prstGeom prst="ellipse">
          <a:avLst/>
        </a:prstGeom>
        <a:solidFill>
          <a:srgbClr val="989898">
            <a:alpha val="20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706923</xdr:colOff>
      <xdr:row>93</xdr:row>
      <xdr:rowOff>80554</xdr:rowOff>
    </xdr:from>
    <xdr:to>
      <xdr:col>19</xdr:col>
      <xdr:colOff>299882</xdr:colOff>
      <xdr:row>95</xdr:row>
      <xdr:rowOff>108665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C82311C4-722B-4C83-B992-D3D7B1DB5C22}"/>
            </a:ext>
          </a:extLst>
        </xdr:cNvPr>
        <xdr:cNvSpPr>
          <a:spLocks noChangeAspect="1"/>
        </xdr:cNvSpPr>
      </xdr:nvSpPr>
      <xdr:spPr>
        <a:xfrm>
          <a:off x="15559180" y="16833596"/>
          <a:ext cx="431664" cy="424284"/>
        </a:xfrm>
        <a:prstGeom prst="ellipse">
          <a:avLst/>
        </a:prstGeom>
        <a:solidFill>
          <a:srgbClr val="989898">
            <a:alpha val="20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344417</xdr:colOff>
      <xdr:row>90</xdr:row>
      <xdr:rowOff>14924</xdr:rowOff>
    </xdr:from>
    <xdr:to>
      <xdr:col>19</xdr:col>
      <xdr:colOff>774185</xdr:colOff>
      <xdr:row>92</xdr:row>
      <xdr:rowOff>43035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6C8A8953-E9CB-4020-85BC-54989B75B0B4}"/>
            </a:ext>
          </a:extLst>
        </xdr:cNvPr>
        <xdr:cNvSpPr>
          <a:spLocks/>
        </xdr:cNvSpPr>
      </xdr:nvSpPr>
      <xdr:spPr>
        <a:xfrm>
          <a:off x="16035379" y="16173707"/>
          <a:ext cx="429768" cy="424284"/>
        </a:xfrm>
        <a:prstGeom prst="ellipse">
          <a:avLst/>
        </a:prstGeom>
        <a:solidFill>
          <a:srgbClr val="989898">
            <a:alpha val="20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376253</xdr:colOff>
      <xdr:row>88</xdr:row>
      <xdr:rowOff>178181</xdr:rowOff>
    </xdr:from>
    <xdr:to>
      <xdr:col>16</xdr:col>
      <xdr:colOff>435979</xdr:colOff>
      <xdr:row>89</xdr:row>
      <xdr:rowOff>32741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F7C00743-0DFD-4D7D-8E3C-E721562C3E76}"/>
            </a:ext>
          </a:extLst>
        </xdr:cNvPr>
        <xdr:cNvSpPr>
          <a:spLocks noChangeAspect="1"/>
        </xdr:cNvSpPr>
      </xdr:nvSpPr>
      <xdr:spPr>
        <a:xfrm>
          <a:off x="14143877" y="16174364"/>
          <a:ext cx="59726" cy="54512"/>
        </a:xfrm>
        <a:prstGeom prst="ellipse">
          <a:avLst/>
        </a:prstGeom>
        <a:solidFill>
          <a:srgbClr val="7F004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378189</xdr:colOff>
      <xdr:row>89</xdr:row>
      <xdr:rowOff>187133</xdr:rowOff>
    </xdr:from>
    <xdr:to>
      <xdr:col>16</xdr:col>
      <xdr:colOff>437915</xdr:colOff>
      <xdr:row>90</xdr:row>
      <xdr:rowOff>47169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3BA1F764-66A6-4025-9DD7-C082F3260D0E}"/>
            </a:ext>
          </a:extLst>
        </xdr:cNvPr>
        <xdr:cNvSpPr>
          <a:spLocks noChangeAspect="1"/>
        </xdr:cNvSpPr>
      </xdr:nvSpPr>
      <xdr:spPr>
        <a:xfrm>
          <a:off x="14145813" y="16383268"/>
          <a:ext cx="59726" cy="59989"/>
        </a:xfrm>
        <a:prstGeom prst="ellipse">
          <a:avLst/>
        </a:prstGeom>
        <a:solidFill>
          <a:srgbClr val="66166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377567</xdr:colOff>
      <xdr:row>90</xdr:row>
      <xdr:rowOff>197939</xdr:rowOff>
    </xdr:from>
    <xdr:to>
      <xdr:col>16</xdr:col>
      <xdr:colOff>437293</xdr:colOff>
      <xdr:row>91</xdr:row>
      <xdr:rowOff>58140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9E12AC17-1D82-4311-91C3-D7F92DC36C59}"/>
            </a:ext>
          </a:extLst>
        </xdr:cNvPr>
        <xdr:cNvSpPr>
          <a:spLocks noChangeAspect="1"/>
        </xdr:cNvSpPr>
      </xdr:nvSpPr>
      <xdr:spPr>
        <a:xfrm>
          <a:off x="14145191" y="16594027"/>
          <a:ext cx="59726" cy="60153"/>
        </a:xfrm>
        <a:prstGeom prst="ellipse">
          <a:avLst/>
        </a:prstGeom>
        <a:solidFill>
          <a:srgbClr val="3E277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379503</xdr:colOff>
      <xdr:row>92</xdr:row>
      <xdr:rowOff>4810</xdr:rowOff>
    </xdr:from>
    <xdr:to>
      <xdr:col>16</xdr:col>
      <xdr:colOff>439229</xdr:colOff>
      <xdr:row>92</xdr:row>
      <xdr:rowOff>67090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86E594AC-2395-4D7B-BDB4-79EEE5E3F185}"/>
            </a:ext>
          </a:extLst>
        </xdr:cNvPr>
        <xdr:cNvSpPr>
          <a:spLocks noChangeAspect="1"/>
        </xdr:cNvSpPr>
      </xdr:nvSpPr>
      <xdr:spPr>
        <a:xfrm>
          <a:off x="14147127" y="16800802"/>
          <a:ext cx="59726" cy="62280"/>
        </a:xfrm>
        <a:prstGeom prst="ellipse">
          <a:avLst/>
        </a:prstGeom>
        <a:solidFill>
          <a:srgbClr val="09339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378881</xdr:colOff>
      <xdr:row>93</xdr:row>
      <xdr:rowOff>12667</xdr:rowOff>
    </xdr:from>
    <xdr:to>
      <xdr:col>16</xdr:col>
      <xdr:colOff>438607</xdr:colOff>
      <xdr:row>93</xdr:row>
      <xdr:rowOff>71490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BB900E44-F33B-4A78-91E7-C09CC81B5DD6}"/>
            </a:ext>
          </a:extLst>
        </xdr:cNvPr>
        <xdr:cNvSpPr>
          <a:spLocks noChangeAspect="1"/>
        </xdr:cNvSpPr>
      </xdr:nvSpPr>
      <xdr:spPr>
        <a:xfrm>
          <a:off x="14146505" y="17008612"/>
          <a:ext cx="59726" cy="58823"/>
        </a:xfrm>
        <a:prstGeom prst="ellipse">
          <a:avLst/>
        </a:prstGeom>
        <a:solidFill>
          <a:srgbClr val="064E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380817</xdr:colOff>
      <xdr:row>94</xdr:row>
      <xdr:rowOff>15317</xdr:rowOff>
    </xdr:from>
    <xdr:to>
      <xdr:col>16</xdr:col>
      <xdr:colOff>440543</xdr:colOff>
      <xdr:row>94</xdr:row>
      <xdr:rowOff>75306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873DE80E-ABE8-409B-8657-1E653EA65026}"/>
            </a:ext>
          </a:extLst>
        </xdr:cNvPr>
        <xdr:cNvSpPr>
          <a:spLocks noChangeAspect="1"/>
        </xdr:cNvSpPr>
      </xdr:nvSpPr>
      <xdr:spPr>
        <a:xfrm>
          <a:off x="14148441" y="17211214"/>
          <a:ext cx="59726" cy="59989"/>
        </a:xfrm>
        <a:prstGeom prst="ellipse">
          <a:avLst/>
        </a:prstGeom>
        <a:solidFill>
          <a:srgbClr val="0C638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380538</xdr:colOff>
      <xdr:row>95</xdr:row>
      <xdr:rowOff>24729</xdr:rowOff>
    </xdr:from>
    <xdr:to>
      <xdr:col>16</xdr:col>
      <xdr:colOff>440264</xdr:colOff>
      <xdr:row>95</xdr:row>
      <xdr:rowOff>86298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EEDFF5BA-C0FE-4E25-8E8F-95FC51433882}"/>
            </a:ext>
          </a:extLst>
        </xdr:cNvPr>
        <xdr:cNvSpPr>
          <a:spLocks noChangeAspect="1"/>
        </xdr:cNvSpPr>
      </xdr:nvSpPr>
      <xdr:spPr>
        <a:xfrm>
          <a:off x="14148162" y="17420578"/>
          <a:ext cx="59726" cy="61569"/>
        </a:xfrm>
        <a:prstGeom prst="ellipse">
          <a:avLst/>
        </a:prstGeom>
        <a:solidFill>
          <a:srgbClr val="157C7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805190</xdr:colOff>
      <xdr:row>89</xdr:row>
      <xdr:rowOff>139415</xdr:rowOff>
    </xdr:from>
    <xdr:to>
      <xdr:col>26</xdr:col>
      <xdr:colOff>805190</xdr:colOff>
      <xdr:row>101</xdr:row>
      <xdr:rowOff>67804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EFE0D49C-3260-47A3-A698-2EBE62878A28}"/>
            </a:ext>
          </a:extLst>
        </xdr:cNvPr>
        <xdr:cNvCxnSpPr/>
      </xdr:nvCxnSpPr>
      <xdr:spPr>
        <a:xfrm>
          <a:off x="24770090" y="16434785"/>
          <a:ext cx="0" cy="2351549"/>
        </a:xfrm>
        <a:prstGeom prst="line">
          <a:avLst/>
        </a:prstGeom>
        <a:ln w="19050">
          <a:solidFill>
            <a:srgbClr val="98989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797563</xdr:colOff>
      <xdr:row>101</xdr:row>
      <xdr:rowOff>61888</xdr:rowOff>
    </xdr:from>
    <xdr:to>
      <xdr:col>28</xdr:col>
      <xdr:colOff>857065</xdr:colOff>
      <xdr:row>101</xdr:row>
      <xdr:rowOff>61888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7CCEAC18-2C11-4EBD-93A5-18DF30440382}"/>
            </a:ext>
          </a:extLst>
        </xdr:cNvPr>
        <xdr:cNvCxnSpPr/>
      </xdr:nvCxnSpPr>
      <xdr:spPr>
        <a:xfrm rot="5400000">
          <a:off x="26135453" y="17062088"/>
          <a:ext cx="0" cy="2697606"/>
        </a:xfrm>
        <a:prstGeom prst="line">
          <a:avLst/>
        </a:prstGeom>
        <a:ln w="19050">
          <a:solidFill>
            <a:srgbClr val="98989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879231</xdr:colOff>
      <xdr:row>90</xdr:row>
      <xdr:rowOff>7327</xdr:rowOff>
    </xdr:from>
    <xdr:to>
      <xdr:col>26</xdr:col>
      <xdr:colOff>938957</xdr:colOff>
      <xdr:row>90</xdr:row>
      <xdr:rowOff>59714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A6DCCAA8-9883-4A37-ACB0-EE8F90B1AECE}"/>
            </a:ext>
          </a:extLst>
        </xdr:cNvPr>
        <xdr:cNvSpPr>
          <a:spLocks noChangeAspect="1"/>
        </xdr:cNvSpPr>
      </xdr:nvSpPr>
      <xdr:spPr>
        <a:xfrm>
          <a:off x="24801635" y="16199827"/>
          <a:ext cx="59726" cy="52387"/>
        </a:xfrm>
        <a:prstGeom prst="ellipse">
          <a:avLst/>
        </a:prstGeom>
        <a:solidFill>
          <a:srgbClr val="7F004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881167</xdr:colOff>
      <xdr:row>91</xdr:row>
      <xdr:rowOff>16279</xdr:rowOff>
    </xdr:from>
    <xdr:to>
      <xdr:col>26</xdr:col>
      <xdr:colOff>940893</xdr:colOff>
      <xdr:row>91</xdr:row>
      <xdr:rowOff>74142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D30FC860-57CF-437B-B57B-2357E1546384}"/>
            </a:ext>
          </a:extLst>
        </xdr:cNvPr>
        <xdr:cNvSpPr>
          <a:spLocks noChangeAspect="1"/>
        </xdr:cNvSpPr>
      </xdr:nvSpPr>
      <xdr:spPr>
        <a:xfrm>
          <a:off x="24803571" y="16406606"/>
          <a:ext cx="59726" cy="57863"/>
        </a:xfrm>
        <a:prstGeom prst="ellipse">
          <a:avLst/>
        </a:prstGeom>
        <a:solidFill>
          <a:srgbClr val="66166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880545</xdr:colOff>
      <xdr:row>92</xdr:row>
      <xdr:rowOff>27085</xdr:rowOff>
    </xdr:from>
    <xdr:to>
      <xdr:col>26</xdr:col>
      <xdr:colOff>940271</xdr:colOff>
      <xdr:row>92</xdr:row>
      <xdr:rowOff>85113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B8C97A82-6120-43E0-BDC4-B33AB75E9B76}"/>
            </a:ext>
          </a:extLst>
        </xdr:cNvPr>
        <xdr:cNvSpPr>
          <a:spLocks noChangeAspect="1"/>
        </xdr:cNvSpPr>
      </xdr:nvSpPr>
      <xdr:spPr>
        <a:xfrm>
          <a:off x="24802949" y="16615239"/>
          <a:ext cx="59726" cy="58028"/>
        </a:xfrm>
        <a:prstGeom prst="ellipse">
          <a:avLst/>
        </a:prstGeom>
        <a:solidFill>
          <a:srgbClr val="3E277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882481</xdr:colOff>
      <xdr:row>93</xdr:row>
      <xdr:rowOff>31783</xdr:rowOff>
    </xdr:from>
    <xdr:to>
      <xdr:col>26</xdr:col>
      <xdr:colOff>942207</xdr:colOff>
      <xdr:row>93</xdr:row>
      <xdr:rowOff>94063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BFCAD497-DB59-42DE-84E5-A8E6CD03006B}"/>
            </a:ext>
          </a:extLst>
        </xdr:cNvPr>
        <xdr:cNvSpPr>
          <a:spLocks noChangeAspect="1"/>
        </xdr:cNvSpPr>
      </xdr:nvSpPr>
      <xdr:spPr>
        <a:xfrm>
          <a:off x="24804885" y="16817764"/>
          <a:ext cx="59726" cy="62280"/>
        </a:xfrm>
        <a:prstGeom prst="ellipse">
          <a:avLst/>
        </a:prstGeom>
        <a:solidFill>
          <a:srgbClr val="09339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881859</xdr:colOff>
      <xdr:row>94</xdr:row>
      <xdr:rowOff>39640</xdr:rowOff>
    </xdr:from>
    <xdr:to>
      <xdr:col>26</xdr:col>
      <xdr:colOff>941585</xdr:colOff>
      <xdr:row>94</xdr:row>
      <xdr:rowOff>98463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92EFBA32-07D4-4CEE-90C9-B16FF1347007}"/>
            </a:ext>
          </a:extLst>
        </xdr:cNvPr>
        <xdr:cNvSpPr>
          <a:spLocks noChangeAspect="1"/>
        </xdr:cNvSpPr>
      </xdr:nvSpPr>
      <xdr:spPr>
        <a:xfrm>
          <a:off x="24804263" y="17023448"/>
          <a:ext cx="59726" cy="58823"/>
        </a:xfrm>
        <a:prstGeom prst="ellipse">
          <a:avLst/>
        </a:prstGeom>
        <a:solidFill>
          <a:srgbClr val="064E9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883795</xdr:colOff>
      <xdr:row>95</xdr:row>
      <xdr:rowOff>42290</xdr:rowOff>
    </xdr:from>
    <xdr:to>
      <xdr:col>26</xdr:col>
      <xdr:colOff>943521</xdr:colOff>
      <xdr:row>95</xdr:row>
      <xdr:rowOff>102279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C69B981C-20C0-4A89-A981-D51A5F9F29CD}"/>
            </a:ext>
          </a:extLst>
        </xdr:cNvPr>
        <xdr:cNvSpPr>
          <a:spLocks noChangeAspect="1"/>
        </xdr:cNvSpPr>
      </xdr:nvSpPr>
      <xdr:spPr>
        <a:xfrm>
          <a:off x="24806199" y="17223925"/>
          <a:ext cx="59726" cy="59989"/>
        </a:xfrm>
        <a:prstGeom prst="ellipse">
          <a:avLst/>
        </a:prstGeom>
        <a:solidFill>
          <a:srgbClr val="0C638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883516</xdr:colOff>
      <xdr:row>96</xdr:row>
      <xdr:rowOff>51702</xdr:rowOff>
    </xdr:from>
    <xdr:to>
      <xdr:col>26</xdr:col>
      <xdr:colOff>943242</xdr:colOff>
      <xdr:row>96</xdr:row>
      <xdr:rowOff>113271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FF8CE250-20E0-407B-9D0B-6E1672B0CDEA}"/>
            </a:ext>
          </a:extLst>
        </xdr:cNvPr>
        <xdr:cNvSpPr>
          <a:spLocks noChangeAspect="1"/>
        </xdr:cNvSpPr>
      </xdr:nvSpPr>
      <xdr:spPr>
        <a:xfrm>
          <a:off x="24805920" y="17431164"/>
          <a:ext cx="59726" cy="61569"/>
        </a:xfrm>
        <a:prstGeom prst="ellipse">
          <a:avLst/>
        </a:prstGeom>
        <a:solidFill>
          <a:srgbClr val="157C7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526878</xdr:colOff>
      <xdr:row>92</xdr:row>
      <xdr:rowOff>66035</xdr:rowOff>
    </xdr:from>
    <xdr:to>
      <xdr:col>27</xdr:col>
      <xdr:colOff>997953</xdr:colOff>
      <xdr:row>94</xdr:row>
      <xdr:rowOff>136207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6A64FAB5-7BA9-42D7-9D6B-C96E9F4B8265}"/>
            </a:ext>
          </a:extLst>
        </xdr:cNvPr>
        <xdr:cNvSpPr>
          <a:spLocks noChangeAspect="1"/>
        </xdr:cNvSpPr>
      </xdr:nvSpPr>
      <xdr:spPr>
        <a:xfrm>
          <a:off x="25768128" y="16620991"/>
          <a:ext cx="471075" cy="466344"/>
        </a:xfrm>
        <a:prstGeom prst="ellipse">
          <a:avLst/>
        </a:prstGeom>
        <a:solidFill>
          <a:srgbClr val="989898">
            <a:alpha val="20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591289</xdr:colOff>
      <xdr:row>95</xdr:row>
      <xdr:rowOff>36598</xdr:rowOff>
    </xdr:from>
    <xdr:to>
      <xdr:col>28</xdr:col>
      <xdr:colOff>979233</xdr:colOff>
      <xdr:row>97</xdr:row>
      <xdr:rowOff>24474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DD328A2A-BBBA-4906-B137-7155A6F1A6CA}"/>
            </a:ext>
          </a:extLst>
        </xdr:cNvPr>
        <xdr:cNvSpPr>
          <a:spLocks noChangeAspect="1"/>
        </xdr:cNvSpPr>
      </xdr:nvSpPr>
      <xdr:spPr>
        <a:xfrm>
          <a:off x="27202285" y="17185813"/>
          <a:ext cx="387944" cy="384048"/>
        </a:xfrm>
        <a:prstGeom prst="ellipse">
          <a:avLst/>
        </a:prstGeom>
        <a:solidFill>
          <a:srgbClr val="989898">
            <a:alpha val="20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M44"/>
  <sheetViews>
    <sheetView topLeftCell="H1" zoomScale="67" zoomScaleNormal="316" workbookViewId="0">
      <pane ySplit="1" topLeftCell="A2" activePane="bottomLeft" state="frozen"/>
      <selection pane="bottomLeft" activeCell="W53" sqref="W53"/>
    </sheetView>
  </sheetViews>
  <sheetFormatPr defaultColWidth="12.5546875" defaultRowHeight="15.75" customHeight="1" x14ac:dyDescent="0.25"/>
  <cols>
    <col min="1" max="1" width="22.44140625" customWidth="1"/>
    <col min="3" max="3" width="17.88671875" customWidth="1"/>
    <col min="4" max="4" width="17.33203125" customWidth="1"/>
    <col min="12" max="12" width="7" customWidth="1"/>
    <col min="13" max="13" width="8.5546875" customWidth="1"/>
    <col min="14" max="15" width="7.44140625" customWidth="1"/>
    <col min="16" max="16" width="8.88671875" customWidth="1"/>
    <col min="21" max="21" width="29.44140625" customWidth="1"/>
    <col min="23" max="23" width="31.88671875" customWidth="1"/>
    <col min="25" max="25" width="19" bestFit="1" customWidth="1"/>
    <col min="26" max="26" width="20.5546875" customWidth="1"/>
    <col min="27" max="27" width="18" customWidth="1"/>
  </cols>
  <sheetData>
    <row r="1" spans="1:39" ht="13.8" x14ac:dyDescent="0.3">
      <c r="A1" s="1" t="s">
        <v>0</v>
      </c>
      <c r="B1" s="1" t="s">
        <v>1</v>
      </c>
      <c r="C1" s="28" t="s">
        <v>99</v>
      </c>
      <c r="D1" s="28" t="s">
        <v>100</v>
      </c>
      <c r="E1" s="28" t="s">
        <v>98</v>
      </c>
      <c r="F1" s="1" t="s">
        <v>2</v>
      </c>
      <c r="G1" s="1" t="s">
        <v>3</v>
      </c>
      <c r="H1" s="28" t="s">
        <v>104</v>
      </c>
      <c r="I1" s="28" t="s">
        <v>105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35" t="s">
        <v>106</v>
      </c>
      <c r="W1" s="1"/>
      <c r="Y1" s="31" t="s">
        <v>107</v>
      </c>
      <c r="Z1" s="31" t="s">
        <v>108</v>
      </c>
      <c r="AA1" s="31" t="s">
        <v>109</v>
      </c>
    </row>
    <row r="2" spans="1:39" s="109" customFormat="1" ht="13.2" x14ac:dyDescent="0.25">
      <c r="A2" s="105" t="s">
        <v>16</v>
      </c>
      <c r="B2" s="105" t="s">
        <v>17</v>
      </c>
      <c r="C2" s="105">
        <v>213.3</v>
      </c>
      <c r="D2" s="105">
        <v>212.2</v>
      </c>
      <c r="E2" s="105">
        <v>58.4</v>
      </c>
      <c r="F2" s="105">
        <v>57.2</v>
      </c>
      <c r="G2" s="105" t="s">
        <v>18</v>
      </c>
      <c r="H2" s="106">
        <f t="shared" ref="H2:H44" si="0">(D2*J2)/25.46</f>
        <v>-0.58342498036135115</v>
      </c>
      <c r="I2" s="106">
        <f t="shared" ref="I2:I44" si="1">(D2*K2)/263.13</f>
        <v>0.41935165127503515</v>
      </c>
      <c r="J2" s="105">
        <v>-7.0000000000000007E-2</v>
      </c>
      <c r="K2" s="105">
        <v>0.52</v>
      </c>
      <c r="L2" s="107">
        <v>0.54600000000000004</v>
      </c>
      <c r="M2" s="107">
        <v>0.54200000000000004</v>
      </c>
      <c r="N2" s="105"/>
      <c r="O2" s="105"/>
      <c r="P2" s="107">
        <f t="shared" ref="P2:P11" si="2">AVERAGE(L2:N2)</f>
        <v>0.54400000000000004</v>
      </c>
      <c r="Q2" s="106">
        <f>1/2.13</f>
        <v>0.46948356807511737</v>
      </c>
      <c r="R2" s="106">
        <f>1/2.04</f>
        <v>0.49019607843137253</v>
      </c>
      <c r="S2" s="105"/>
      <c r="T2" s="105"/>
      <c r="U2" s="106">
        <f t="shared" ref="U2:U11" si="3">AVERAGE(Q2:S2)</f>
        <v>0.47983982325324492</v>
      </c>
      <c r="V2" s="106">
        <f t="shared" ref="V2:V44" si="4">LN(U2)*(0.001987203611*373.15)</f>
        <v>-0.54450400204623883</v>
      </c>
      <c r="W2" s="106">
        <f t="shared" ref="W2:W44" si="5">(H2*2.02272638933993)+(I2*4.76734437496854)</f>
        <v>0.81908463186277225</v>
      </c>
      <c r="X2" s="106">
        <f>(W2-1.3422)/0.9347</f>
        <v>-0.55966124760589264</v>
      </c>
      <c r="Y2" s="106">
        <f>EXP(X2/(0.001987203611*373.15))</f>
        <v>0.47013115427906499</v>
      </c>
      <c r="Z2" s="108">
        <f>Y2/(Y2+1)</f>
        <v>0.31978858002612143</v>
      </c>
      <c r="AA2" s="106">
        <f>U2/(U2+1)</f>
        <v>0.32425118969860972</v>
      </c>
      <c r="AB2" s="105">
        <v>1</v>
      </c>
      <c r="AC2" s="105"/>
      <c r="AD2" s="106">
        <f>X2-V2</f>
        <v>-1.5157245559653809E-2</v>
      </c>
      <c r="AE2" s="106">
        <f>Z2-AA2</f>
        <v>-4.4626096724882935E-3</v>
      </c>
      <c r="AF2" s="105"/>
      <c r="AG2" s="105"/>
      <c r="AH2" s="105"/>
      <c r="AI2" s="105"/>
      <c r="AJ2" s="105"/>
      <c r="AK2" s="105"/>
      <c r="AL2" s="105"/>
      <c r="AM2" s="105"/>
    </row>
    <row r="3" spans="1:39" s="109" customFormat="1" ht="13.2" x14ac:dyDescent="0.25">
      <c r="A3" s="110" t="s">
        <v>19</v>
      </c>
      <c r="B3" s="110" t="s">
        <v>17</v>
      </c>
      <c r="C3" s="110">
        <v>213.3</v>
      </c>
      <c r="D3" s="110">
        <v>212.2</v>
      </c>
      <c r="E3" s="110">
        <v>58.4</v>
      </c>
      <c r="F3" s="110">
        <v>57.2</v>
      </c>
      <c r="G3" s="110" t="s">
        <v>20</v>
      </c>
      <c r="H3" s="108">
        <f t="shared" si="0"/>
        <v>-0.58342498036135115</v>
      </c>
      <c r="I3" s="108">
        <f t="shared" si="1"/>
        <v>0.45160947060388407</v>
      </c>
      <c r="J3" s="110">
        <v>-7.0000000000000007E-2</v>
      </c>
      <c r="K3" s="110">
        <v>0.56000000000000005</v>
      </c>
      <c r="L3" s="111">
        <v>0.64400000000000002</v>
      </c>
      <c r="M3" s="111">
        <v>0.60599999999999998</v>
      </c>
      <c r="N3" s="110"/>
      <c r="O3" s="110"/>
      <c r="P3" s="111">
        <f t="shared" si="2"/>
        <v>0.625</v>
      </c>
      <c r="Q3" s="108">
        <f>1/1.93</f>
        <v>0.5181347150259068</v>
      </c>
      <c r="R3" s="108">
        <f>1/2.04</f>
        <v>0.49019607843137253</v>
      </c>
      <c r="S3" s="110"/>
      <c r="T3" s="110"/>
      <c r="U3" s="108">
        <f t="shared" si="3"/>
        <v>0.50416539672863969</v>
      </c>
      <c r="V3" s="108">
        <f t="shared" si="4"/>
        <v>-0.50783407992184604</v>
      </c>
      <c r="W3" s="108">
        <f t="shared" si="5"/>
        <v>0.97286876538891165</v>
      </c>
      <c r="X3" s="108">
        <f>(W3-1.3422)/0.9347</f>
        <v>-0.39513344881896695</v>
      </c>
      <c r="Y3" s="108">
        <f>EXP(X3/(0.001987203611*373.15))</f>
        <v>0.58692046385469465</v>
      </c>
      <c r="Z3" s="108">
        <f>Y3/(Y3+1)</f>
        <v>0.36984869577460788</v>
      </c>
      <c r="AA3" s="108">
        <f>U3/(U3+1)</f>
        <v>0.33517949410691977</v>
      </c>
      <c r="AB3" s="110">
        <v>2</v>
      </c>
      <c r="AC3" s="110"/>
      <c r="AD3" s="108">
        <f>X3-V3</f>
        <v>0.11270063110287909</v>
      </c>
      <c r="AE3" s="106">
        <f t="shared" ref="AE3:AE6" si="6">Z3-AA3</f>
        <v>3.466920166768811E-2</v>
      </c>
      <c r="AF3" s="110"/>
      <c r="AG3" s="110"/>
      <c r="AH3" s="110"/>
      <c r="AI3" s="110"/>
      <c r="AJ3" s="110"/>
      <c r="AK3" s="110"/>
      <c r="AL3" s="110"/>
      <c r="AM3" s="110"/>
    </row>
    <row r="4" spans="1:39" s="109" customFormat="1" ht="13.2" x14ac:dyDescent="0.25">
      <c r="A4" s="105" t="s">
        <v>21</v>
      </c>
      <c r="B4" s="105" t="s">
        <v>17</v>
      </c>
      <c r="C4" s="105">
        <v>213.3</v>
      </c>
      <c r="D4" s="105">
        <v>212.2</v>
      </c>
      <c r="E4" s="105">
        <v>58.4</v>
      </c>
      <c r="F4" s="105">
        <v>57.2</v>
      </c>
      <c r="G4" s="105" t="s">
        <v>22</v>
      </c>
      <c r="H4" s="106">
        <f t="shared" si="0"/>
        <v>-0.58342498036135115</v>
      </c>
      <c r="I4" s="106">
        <f t="shared" si="1"/>
        <v>0.6128985672481283</v>
      </c>
      <c r="J4" s="105">
        <v>-7.0000000000000007E-2</v>
      </c>
      <c r="K4" s="105">
        <v>0.76</v>
      </c>
      <c r="L4" s="107">
        <v>0.59499999999999997</v>
      </c>
      <c r="M4" s="107">
        <v>0.65400000000000003</v>
      </c>
      <c r="N4" s="105"/>
      <c r="O4" s="105"/>
      <c r="P4" s="107">
        <f t="shared" si="2"/>
        <v>0.62450000000000006</v>
      </c>
      <c r="Q4" s="105">
        <f>1.23/1</f>
        <v>1.23</v>
      </c>
      <c r="R4" s="106">
        <f>1.21/1</f>
        <v>1.21</v>
      </c>
      <c r="S4" s="105"/>
      <c r="T4" s="105"/>
      <c r="U4" s="105">
        <f t="shared" si="3"/>
        <v>1.22</v>
      </c>
      <c r="V4" s="106">
        <f t="shared" si="4"/>
        <v>0.14745288848840082</v>
      </c>
      <c r="W4" s="106">
        <f t="shared" si="5"/>
        <v>1.7417894330196064</v>
      </c>
      <c r="X4" s="106">
        <f>(W4-1.3422)/0.9347</f>
        <v>0.42750554511565891</v>
      </c>
      <c r="Y4" s="106">
        <f>EXP(X4/(0.001987203611*373.15))</f>
        <v>1.7798375067643335</v>
      </c>
      <c r="Z4" s="108">
        <f>Y4/(Y4+1)</f>
        <v>0.64026674308600984</v>
      </c>
      <c r="AA4" s="106">
        <f>U4/(U4+1)</f>
        <v>0.5495495495495496</v>
      </c>
      <c r="AB4" s="105">
        <v>3</v>
      </c>
      <c r="AC4" s="105"/>
      <c r="AD4" s="106">
        <f>X4-V4</f>
        <v>0.28005265662725809</v>
      </c>
      <c r="AE4" s="106">
        <f t="shared" si="6"/>
        <v>9.0717193536460239E-2</v>
      </c>
      <c r="AF4" s="105"/>
      <c r="AG4" s="105"/>
      <c r="AH4" s="105"/>
      <c r="AI4" s="105"/>
      <c r="AJ4" s="105"/>
      <c r="AK4" s="105"/>
      <c r="AL4" s="105"/>
      <c r="AM4" s="105"/>
    </row>
    <row r="5" spans="1:39" s="109" customFormat="1" ht="13.2" x14ac:dyDescent="0.25">
      <c r="A5" s="105" t="s">
        <v>72</v>
      </c>
      <c r="B5" s="105" t="s">
        <v>17</v>
      </c>
      <c r="C5" s="105">
        <v>213.3</v>
      </c>
      <c r="D5" s="105">
        <v>212.2</v>
      </c>
      <c r="E5" s="105">
        <v>58.4</v>
      </c>
      <c r="F5" s="105">
        <v>57.2</v>
      </c>
      <c r="G5" s="105" t="s">
        <v>24</v>
      </c>
      <c r="H5" s="106">
        <f t="shared" si="0"/>
        <v>-0.83346425765907295</v>
      </c>
      <c r="I5" s="106">
        <f t="shared" si="1"/>
        <v>0.9999923991943146</v>
      </c>
      <c r="J5" s="105">
        <v>-0.1</v>
      </c>
      <c r="K5" s="105">
        <v>1.24</v>
      </c>
      <c r="L5" s="107">
        <v>0.49199999999999999</v>
      </c>
      <c r="M5" s="107">
        <v>0.68</v>
      </c>
      <c r="N5" s="107">
        <v>0.48399999999999999</v>
      </c>
      <c r="O5" s="107">
        <v>0.47199999999999998</v>
      </c>
      <c r="P5" s="107">
        <f t="shared" si="2"/>
        <v>0.55200000000000005</v>
      </c>
      <c r="Q5" s="105">
        <f>12.3/1</f>
        <v>12.3</v>
      </c>
      <c r="R5" s="105">
        <f>12.51/1</f>
        <v>12.51</v>
      </c>
      <c r="S5" s="105">
        <f>11.46/1</f>
        <v>11.46</v>
      </c>
      <c r="T5" s="105">
        <f>11.43/1</f>
        <v>11.43</v>
      </c>
      <c r="U5" s="105">
        <f t="shared" si="3"/>
        <v>12.090000000000002</v>
      </c>
      <c r="V5" s="106">
        <f t="shared" si="4"/>
        <v>1.848161157689775</v>
      </c>
      <c r="W5" s="106">
        <f t="shared" si="5"/>
        <v>3.0814379907716889</v>
      </c>
      <c r="X5" s="106">
        <f>(W5-1.3422)/0.9347</f>
        <v>1.860744614070492</v>
      </c>
      <c r="Y5" s="106">
        <f>EXP(X5/(0.001987203611*373.15))</f>
        <v>12.296914330210628</v>
      </c>
      <c r="Z5" s="108">
        <f>Y5/(Y5+1)</f>
        <v>0.92479458202359044</v>
      </c>
      <c r="AA5" s="106">
        <f>U5/(U5+1)</f>
        <v>0.92360580595874719</v>
      </c>
      <c r="AB5" s="105">
        <v>4</v>
      </c>
      <c r="AC5" s="105"/>
      <c r="AD5" s="106">
        <f>X5-V5</f>
        <v>1.2583456380717006E-2</v>
      </c>
      <c r="AE5" s="106">
        <f t="shared" si="6"/>
        <v>1.1887760648432444E-3</v>
      </c>
      <c r="AF5" s="105"/>
      <c r="AG5" s="105"/>
      <c r="AH5" s="105"/>
      <c r="AI5" s="105"/>
      <c r="AJ5" s="105"/>
      <c r="AK5" s="105"/>
      <c r="AL5" s="105"/>
      <c r="AM5" s="105"/>
    </row>
    <row r="6" spans="1:39" s="109" customFormat="1" ht="13.2" x14ac:dyDescent="0.25">
      <c r="A6" s="105" t="s">
        <v>25</v>
      </c>
      <c r="B6" s="105" t="s">
        <v>17</v>
      </c>
      <c r="C6" s="105">
        <v>213.3</v>
      </c>
      <c r="D6" s="105">
        <v>212.2</v>
      </c>
      <c r="E6" s="105">
        <v>58.4</v>
      </c>
      <c r="F6" s="105">
        <v>57.2</v>
      </c>
      <c r="G6" s="105" t="s">
        <v>26</v>
      </c>
      <c r="H6" s="106">
        <f t="shared" si="0"/>
        <v>1.0001571091908876</v>
      </c>
      <c r="I6" s="106">
        <f t="shared" si="1"/>
        <v>0.29032037395963972</v>
      </c>
      <c r="J6" s="105">
        <v>0.12</v>
      </c>
      <c r="K6" s="105">
        <v>0.36</v>
      </c>
      <c r="L6" s="107">
        <v>0.309</v>
      </c>
      <c r="M6" s="107">
        <v>0.32300000000000001</v>
      </c>
      <c r="N6" s="105"/>
      <c r="O6" s="105"/>
      <c r="P6" s="107">
        <f t="shared" si="2"/>
        <v>0.316</v>
      </c>
      <c r="Q6" s="105">
        <f>12.88/1</f>
        <v>12.88</v>
      </c>
      <c r="R6" s="105">
        <f>12.86/1</f>
        <v>12.86</v>
      </c>
      <c r="S6" s="105"/>
      <c r="T6" s="105"/>
      <c r="U6" s="106">
        <f t="shared" si="3"/>
        <v>12.870000000000001</v>
      </c>
      <c r="V6" s="106">
        <f t="shared" si="4"/>
        <v>1.8945215671162077</v>
      </c>
      <c r="W6" s="106">
        <f t="shared" si="5"/>
        <v>3.4071013799815977</v>
      </c>
      <c r="X6" s="106">
        <f>(W6-1.3422)/0.9347</f>
        <v>2.2091594950054536</v>
      </c>
      <c r="Y6" s="106">
        <f>EXP(X6/(0.001987203611*373.15))</f>
        <v>19.672288459540578</v>
      </c>
      <c r="Z6" s="108">
        <f>Y6/(Y6+1)</f>
        <v>0.95162606201257394</v>
      </c>
      <c r="AA6" s="106">
        <f>U6/(U6+1)</f>
        <v>0.92790194664744052</v>
      </c>
      <c r="AB6" s="105">
        <v>5</v>
      </c>
      <c r="AC6" s="105"/>
      <c r="AD6" s="106">
        <f>X6-V6</f>
        <v>0.31463792788924594</v>
      </c>
      <c r="AE6" s="106">
        <f t="shared" si="6"/>
        <v>2.3724115365133414E-2</v>
      </c>
      <c r="AF6" s="105"/>
      <c r="AG6" s="105"/>
      <c r="AH6" s="105"/>
      <c r="AI6" s="105"/>
      <c r="AJ6" s="105"/>
      <c r="AK6" s="105"/>
      <c r="AL6" s="105"/>
      <c r="AM6" s="105"/>
    </row>
    <row r="7" spans="1:39" s="109" customFormat="1" ht="13.2" x14ac:dyDescent="0.25">
      <c r="A7" s="112" t="s">
        <v>69</v>
      </c>
      <c r="B7" s="113" t="s">
        <v>67</v>
      </c>
      <c r="C7" s="113">
        <v>159</v>
      </c>
      <c r="D7" s="113">
        <v>140.30000000000001</v>
      </c>
      <c r="E7" s="113">
        <v>26.6</v>
      </c>
      <c r="F7" s="113">
        <v>24.4</v>
      </c>
      <c r="G7" s="113" t="s">
        <v>22</v>
      </c>
      <c r="H7" s="106">
        <f t="shared" si="0"/>
        <v>-0.38574234092694426</v>
      </c>
      <c r="I7" s="106">
        <f t="shared" si="1"/>
        <v>0.4052293543115571</v>
      </c>
      <c r="J7" s="113">
        <v>-7.0000000000000007E-2</v>
      </c>
      <c r="K7" s="113">
        <v>0.76</v>
      </c>
      <c r="L7" s="114">
        <v>0.505</v>
      </c>
      <c r="M7" s="114">
        <v>0.45400000000000001</v>
      </c>
      <c r="N7" s="113"/>
      <c r="O7" s="113"/>
      <c r="P7" s="114">
        <f t="shared" si="2"/>
        <v>0.47950000000000004</v>
      </c>
      <c r="Q7" s="115">
        <f>1/1.62</f>
        <v>0.61728395061728392</v>
      </c>
      <c r="R7" s="115">
        <f>1/1.66</f>
        <v>0.60240963855421692</v>
      </c>
      <c r="S7" s="113"/>
      <c r="T7" s="113"/>
      <c r="U7" s="115">
        <f t="shared" si="3"/>
        <v>0.60984679458575042</v>
      </c>
      <c r="V7" s="106">
        <f t="shared" si="4"/>
        <v>-0.36671935575980447</v>
      </c>
      <c r="W7" s="115">
        <f t="shared" si="5"/>
        <v>1.151616670370645</v>
      </c>
      <c r="X7" s="113"/>
      <c r="Y7" s="113"/>
      <c r="Z7" s="113"/>
      <c r="AA7" s="113"/>
      <c r="AB7" s="113">
        <v>8</v>
      </c>
      <c r="AC7" s="113"/>
      <c r="AD7" s="115">
        <f>AVERAGE(AD2:AD6)</f>
        <v>0.14096348528808927</v>
      </c>
      <c r="AE7" s="106">
        <f>AVERAGE(AE2:AE6)</f>
        <v>2.9167335392327343E-2</v>
      </c>
      <c r="AF7" s="106">
        <f>EXP(AE7/(0.001987203611*373.15))</f>
        <v>1.0401180914504013</v>
      </c>
      <c r="AG7" s="108">
        <f>AF7/(AF7+1)</f>
        <v>0.50983229637993155</v>
      </c>
      <c r="AH7" s="113"/>
      <c r="AI7" s="113"/>
      <c r="AJ7" s="113"/>
      <c r="AK7" s="113"/>
      <c r="AL7" s="113"/>
      <c r="AM7" s="113"/>
    </row>
    <row r="8" spans="1:39" s="109" customFormat="1" ht="13.2" x14ac:dyDescent="0.25">
      <c r="A8" s="116" t="s">
        <v>43</v>
      </c>
      <c r="B8" s="116" t="s">
        <v>42</v>
      </c>
      <c r="C8" s="116">
        <v>176.3</v>
      </c>
      <c r="D8" s="117">
        <v>168.2</v>
      </c>
      <c r="E8" s="116">
        <v>35.799999999999997</v>
      </c>
      <c r="F8" s="116">
        <v>32.799999999999997</v>
      </c>
      <c r="G8" s="116" t="s">
        <v>20</v>
      </c>
      <c r="H8" s="106">
        <f t="shared" si="0"/>
        <v>-0.46245090337784761</v>
      </c>
      <c r="I8" s="106">
        <f t="shared" si="1"/>
        <v>0.35796754455972335</v>
      </c>
      <c r="J8" s="116">
        <v>-7.0000000000000007E-2</v>
      </c>
      <c r="K8" s="116">
        <v>0.56000000000000005</v>
      </c>
      <c r="L8" s="118">
        <v>0.85099999999999998</v>
      </c>
      <c r="M8" s="118">
        <v>0.81200000000000006</v>
      </c>
      <c r="N8" s="116"/>
      <c r="O8" s="116"/>
      <c r="P8" s="118">
        <f t="shared" si="2"/>
        <v>0.83150000000000002</v>
      </c>
      <c r="Q8" s="119">
        <f>1/2.41</f>
        <v>0.41493775933609955</v>
      </c>
      <c r="R8" s="119">
        <f>1/2.46</f>
        <v>0.4065040650406504</v>
      </c>
      <c r="S8" s="116"/>
      <c r="T8" s="116"/>
      <c r="U8" s="119">
        <f t="shared" si="3"/>
        <v>0.41072091218837498</v>
      </c>
      <c r="V8" s="106">
        <f t="shared" si="4"/>
        <v>-0.65983962474136404</v>
      </c>
      <c r="W8" s="119">
        <f t="shared" si="5"/>
        <v>0.77114291394163481</v>
      </c>
      <c r="X8" s="116"/>
      <c r="Y8" s="116"/>
      <c r="AB8" s="116">
        <v>9</v>
      </c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</row>
    <row r="9" spans="1:39" s="109" customFormat="1" ht="13.2" x14ac:dyDescent="0.25">
      <c r="A9" s="120" t="s">
        <v>36</v>
      </c>
      <c r="B9" s="121" t="s">
        <v>35</v>
      </c>
      <c r="C9" s="121">
        <v>176.8</v>
      </c>
      <c r="D9" s="121">
        <v>162.5</v>
      </c>
      <c r="E9" s="121">
        <v>40</v>
      </c>
      <c r="F9" s="121">
        <v>34.4</v>
      </c>
      <c r="G9" s="121" t="s">
        <v>20</v>
      </c>
      <c r="H9" s="106">
        <f t="shared" si="0"/>
        <v>-0.44677926158680287</v>
      </c>
      <c r="I9" s="106">
        <f t="shared" si="1"/>
        <v>0.34583665868582075</v>
      </c>
      <c r="J9" s="121">
        <v>-7.0000000000000007E-2</v>
      </c>
      <c r="K9" s="121">
        <v>0.56000000000000005</v>
      </c>
      <c r="L9" s="122">
        <v>0.59199999999999997</v>
      </c>
      <c r="M9" s="122">
        <v>0.62</v>
      </c>
      <c r="N9" s="121"/>
      <c r="O9" s="121"/>
      <c r="P9" s="122">
        <f t="shared" si="2"/>
        <v>0.60599999999999998</v>
      </c>
      <c r="Q9" s="123">
        <f>1/2.13</f>
        <v>0.46948356807511737</v>
      </c>
      <c r="R9" s="123">
        <f>1/2.13</f>
        <v>0.46948356807511737</v>
      </c>
      <c r="S9" s="121"/>
      <c r="T9" s="121"/>
      <c r="U9" s="123">
        <f t="shared" si="3"/>
        <v>0.46948356807511737</v>
      </c>
      <c r="V9" s="106">
        <f t="shared" si="4"/>
        <v>-0.56068337176436511</v>
      </c>
      <c r="W9" s="123">
        <f t="shared" si="5"/>
        <v>0.74501024682232853</v>
      </c>
      <c r="X9" s="121"/>
      <c r="Y9" s="121"/>
      <c r="AB9" s="121">
        <v>12</v>
      </c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</row>
    <row r="10" spans="1:39" s="109" customFormat="1" ht="13.2" x14ac:dyDescent="0.25">
      <c r="A10" s="124" t="s">
        <v>28</v>
      </c>
      <c r="B10" s="124" t="s">
        <v>29</v>
      </c>
      <c r="C10" s="124">
        <v>176.1</v>
      </c>
      <c r="D10" s="124">
        <v>176.1</v>
      </c>
      <c r="E10" s="124">
        <v>36.299999999999997</v>
      </c>
      <c r="F10" s="124">
        <v>36.299999999999997</v>
      </c>
      <c r="G10" s="124" t="s">
        <v>18</v>
      </c>
      <c r="H10" s="106">
        <f t="shared" si="0"/>
        <v>-0.48417124901806752</v>
      </c>
      <c r="I10" s="106">
        <f t="shared" si="1"/>
        <v>0.34801048911184584</v>
      </c>
      <c r="J10" s="124">
        <v>-7.0000000000000007E-2</v>
      </c>
      <c r="K10" s="124">
        <v>0.52</v>
      </c>
      <c r="L10" s="125">
        <v>0.81200000000000006</v>
      </c>
      <c r="M10" s="125">
        <v>0.78900000000000003</v>
      </c>
      <c r="N10" s="124"/>
      <c r="O10" s="124"/>
      <c r="P10" s="125">
        <f t="shared" si="2"/>
        <v>0.80049999999999999</v>
      </c>
      <c r="Q10" s="126">
        <f>1/2.78</f>
        <v>0.35971223021582738</v>
      </c>
      <c r="R10" s="126">
        <f>1/2.7</f>
        <v>0.37037037037037035</v>
      </c>
      <c r="S10" s="124"/>
      <c r="T10" s="124"/>
      <c r="U10" s="126">
        <f t="shared" si="3"/>
        <v>0.36504130029309889</v>
      </c>
      <c r="V10" s="106">
        <f t="shared" si="4"/>
        <v>-0.74726797587868898</v>
      </c>
      <c r="W10" s="126">
        <f t="shared" si="5"/>
        <v>0.67973988534888874</v>
      </c>
      <c r="X10" s="124"/>
      <c r="Y10" s="124"/>
      <c r="Z10" s="116">
        <f t="shared" ref="Z10:AA14" si="7">ABS((1-Z2)-Z2)</f>
        <v>0.36042283994775715</v>
      </c>
      <c r="AA10" s="116">
        <f t="shared" si="7"/>
        <v>0.3514976206027805</v>
      </c>
      <c r="AB10" s="124">
        <v>16</v>
      </c>
      <c r="AC10" s="124"/>
      <c r="AD10" s="124">
        <f>Z10-AA10</f>
        <v>8.9252193449766426E-3</v>
      </c>
      <c r="AE10" s="124"/>
      <c r="AF10" s="124"/>
      <c r="AG10" s="124"/>
      <c r="AH10" s="124"/>
      <c r="AI10" s="124"/>
      <c r="AJ10" s="124"/>
      <c r="AK10" s="124"/>
      <c r="AL10" s="124"/>
      <c r="AM10" s="124"/>
    </row>
    <row r="11" spans="1:39" s="109" customFormat="1" ht="13.2" x14ac:dyDescent="0.25">
      <c r="A11" s="112" t="s">
        <v>70</v>
      </c>
      <c r="B11" s="113" t="s">
        <v>67</v>
      </c>
      <c r="C11" s="113">
        <v>159</v>
      </c>
      <c r="D11" s="113">
        <v>140.30000000000001</v>
      </c>
      <c r="E11" s="113">
        <v>26.6</v>
      </c>
      <c r="F11" s="113">
        <v>24.4</v>
      </c>
      <c r="G11" s="113" t="s">
        <v>26</v>
      </c>
      <c r="H11" s="106">
        <f t="shared" si="0"/>
        <v>0.66127258444619019</v>
      </c>
      <c r="I11" s="106">
        <f t="shared" si="1"/>
        <v>0.1919507467791586</v>
      </c>
      <c r="J11" s="113">
        <v>0.12</v>
      </c>
      <c r="K11" s="113">
        <v>0.36</v>
      </c>
      <c r="L11" s="114">
        <v>0.39100000000000001</v>
      </c>
      <c r="M11" s="114">
        <v>0.36699999999999999</v>
      </c>
      <c r="N11" s="113"/>
      <c r="O11" s="113"/>
      <c r="P11" s="114">
        <f t="shared" si="2"/>
        <v>0.379</v>
      </c>
      <c r="Q11" s="113">
        <f>6.84/1</f>
        <v>6.84</v>
      </c>
      <c r="R11" s="113">
        <f>6.83/1</f>
        <v>6.83</v>
      </c>
      <c r="S11" s="113"/>
      <c r="T11" s="113"/>
      <c r="U11" s="115">
        <f t="shared" si="3"/>
        <v>6.835</v>
      </c>
      <c r="V11" s="106">
        <f t="shared" si="4"/>
        <v>1.425252976797361</v>
      </c>
      <c r="W11" s="115">
        <f t="shared" si="5"/>
        <v>2.2526688200349589</v>
      </c>
      <c r="X11" s="113"/>
      <c r="Y11" s="113"/>
      <c r="Z11" s="116">
        <f t="shared" si="7"/>
        <v>0.26030260845078423</v>
      </c>
      <c r="AA11" s="116">
        <f t="shared" si="7"/>
        <v>0.32964101178616051</v>
      </c>
      <c r="AB11" s="113">
        <v>19</v>
      </c>
      <c r="AC11" s="113"/>
      <c r="AD11" s="124">
        <f t="shared" ref="AD11:AD14" si="8">Z11-AA11</f>
        <v>-6.9338403335376275E-2</v>
      </c>
      <c r="AE11" s="113"/>
      <c r="AF11" s="113"/>
      <c r="AG11" s="113"/>
      <c r="AH11" s="113"/>
      <c r="AI11" s="113"/>
      <c r="AJ11" s="113"/>
      <c r="AK11" s="113"/>
      <c r="AL11" s="113"/>
      <c r="AM11" s="113"/>
    </row>
    <row r="12" spans="1:39" s="109" customFormat="1" ht="13.2" x14ac:dyDescent="0.25">
      <c r="A12" s="135" t="s">
        <v>57</v>
      </c>
      <c r="B12" s="135" t="s">
        <v>54</v>
      </c>
      <c r="C12" s="135">
        <v>159</v>
      </c>
      <c r="D12" s="135">
        <v>149</v>
      </c>
      <c r="E12" s="135">
        <v>28.2</v>
      </c>
      <c r="F12" s="135">
        <v>28.2</v>
      </c>
      <c r="G12" s="135" t="s">
        <v>24</v>
      </c>
      <c r="H12" s="106">
        <f t="shared" si="0"/>
        <v>-0.58523173605655932</v>
      </c>
      <c r="I12" s="106">
        <f t="shared" si="1"/>
        <v>0.70216242921749705</v>
      </c>
      <c r="J12" s="135">
        <v>-0.1</v>
      </c>
      <c r="K12" s="135">
        <v>1.24</v>
      </c>
      <c r="L12" s="136">
        <v>0.19</v>
      </c>
      <c r="M12" s="136">
        <v>0.16900000000000001</v>
      </c>
      <c r="N12" s="136"/>
      <c r="O12" s="136"/>
      <c r="P12" s="136">
        <f>AVERAGE(L12:O12)</f>
        <v>0.17949999999999999</v>
      </c>
      <c r="Q12" s="135">
        <v>2.4</v>
      </c>
      <c r="R12" s="135">
        <v>2.42</v>
      </c>
      <c r="S12" s="135"/>
      <c r="T12" s="135"/>
      <c r="U12" s="137">
        <f>AVERAGE(Q12:T12)</f>
        <v>2.41</v>
      </c>
      <c r="V12" s="106">
        <f t="shared" si="4"/>
        <v>0.65226524808288666</v>
      </c>
      <c r="W12" s="137">
        <f t="shared" si="5"/>
        <v>2.1636864308434571</v>
      </c>
      <c r="X12" s="135" t="s">
        <v>0</v>
      </c>
      <c r="Y12" s="135"/>
      <c r="Z12" s="116">
        <f t="shared" si="7"/>
        <v>0.28053348617201967</v>
      </c>
      <c r="AA12" s="116">
        <f t="shared" si="7"/>
        <v>9.9099099099099197E-2</v>
      </c>
      <c r="AB12" s="135">
        <v>20</v>
      </c>
      <c r="AC12" s="135"/>
      <c r="AD12" s="124">
        <f t="shared" si="8"/>
        <v>0.18143438707292048</v>
      </c>
      <c r="AE12" s="135"/>
      <c r="AF12" s="135"/>
      <c r="AG12" s="135"/>
      <c r="AH12" s="135"/>
      <c r="AI12" s="135"/>
      <c r="AJ12" s="135"/>
      <c r="AK12" s="135"/>
      <c r="AL12" s="135"/>
      <c r="AM12" s="135"/>
    </row>
    <row r="13" spans="1:39" s="109" customFormat="1" ht="13.2" x14ac:dyDescent="0.25">
      <c r="A13" s="112" t="s">
        <v>68</v>
      </c>
      <c r="B13" s="113" t="s">
        <v>67</v>
      </c>
      <c r="C13" s="113">
        <v>159</v>
      </c>
      <c r="D13" s="113">
        <v>140.30000000000001</v>
      </c>
      <c r="E13" s="113">
        <v>26.6</v>
      </c>
      <c r="F13" s="113">
        <v>24.4</v>
      </c>
      <c r="G13" s="113" t="s">
        <v>20</v>
      </c>
      <c r="H13" s="106">
        <f t="shared" si="0"/>
        <v>-0.38574234092694426</v>
      </c>
      <c r="I13" s="106">
        <f t="shared" si="1"/>
        <v>0.29859005054535787</v>
      </c>
      <c r="J13" s="113">
        <v>-7.0000000000000007E-2</v>
      </c>
      <c r="K13" s="113">
        <v>0.56000000000000005</v>
      </c>
      <c r="L13" s="114">
        <v>0.48099999999999998</v>
      </c>
      <c r="M13" s="114">
        <v>0.498</v>
      </c>
      <c r="N13" s="113"/>
      <c r="O13" s="113"/>
      <c r="P13" s="114">
        <f t="shared" ref="P13:P39" si="9">AVERAGE(L13:N13)</f>
        <v>0.48949999999999999</v>
      </c>
      <c r="Q13" s="115">
        <f>1/1.9</f>
        <v>0.52631578947368418</v>
      </c>
      <c r="R13" s="115">
        <f>1/1.87</f>
        <v>0.53475935828876997</v>
      </c>
      <c r="S13" s="113"/>
      <c r="T13" s="113"/>
      <c r="U13" s="115">
        <f t="shared" ref="U13:U39" si="10">AVERAGE(Q13:S13)</f>
        <v>0.53053757388122702</v>
      </c>
      <c r="V13" s="106">
        <f t="shared" si="4"/>
        <v>-0.47002638789559903</v>
      </c>
      <c r="W13" s="115">
        <f t="shared" si="5"/>
        <v>0.64323038541029354</v>
      </c>
      <c r="X13" s="113"/>
      <c r="Y13" s="113"/>
      <c r="Z13" s="116">
        <f t="shared" si="7"/>
        <v>0.84958916404718088</v>
      </c>
      <c r="AA13" s="116">
        <f t="shared" si="7"/>
        <v>0.84721161191749439</v>
      </c>
      <c r="AB13" s="113">
        <v>26</v>
      </c>
      <c r="AC13" s="113"/>
      <c r="AD13" s="124">
        <f t="shared" si="8"/>
        <v>2.3775521296864888E-3</v>
      </c>
      <c r="AE13" s="113"/>
      <c r="AF13" s="113"/>
      <c r="AG13" s="113"/>
      <c r="AH13" s="113"/>
      <c r="AI13" s="113"/>
      <c r="AJ13" s="113"/>
      <c r="AK13" s="113"/>
      <c r="AL13" s="113"/>
      <c r="AM13" s="113"/>
    </row>
    <row r="14" spans="1:39" s="109" customFormat="1" ht="13.2" x14ac:dyDescent="0.25">
      <c r="A14" s="135" t="s">
        <v>58</v>
      </c>
      <c r="B14" s="135" t="s">
        <v>54</v>
      </c>
      <c r="C14" s="135">
        <v>159</v>
      </c>
      <c r="D14" s="135">
        <v>149</v>
      </c>
      <c r="E14" s="135">
        <v>28.2</v>
      </c>
      <c r="F14" s="135">
        <v>28.2</v>
      </c>
      <c r="G14" s="135" t="s">
        <v>26</v>
      </c>
      <c r="H14" s="106">
        <f t="shared" si="0"/>
        <v>0.70227808326787111</v>
      </c>
      <c r="I14" s="106">
        <f t="shared" si="1"/>
        <v>0.20385360848249914</v>
      </c>
      <c r="J14" s="135">
        <v>0.12</v>
      </c>
      <c r="K14" s="135">
        <v>0.36</v>
      </c>
      <c r="L14" s="138">
        <v>0.42099999999999999</v>
      </c>
      <c r="M14" s="138">
        <v>0.42499999999999999</v>
      </c>
      <c r="N14" s="135"/>
      <c r="O14" s="135"/>
      <c r="P14" s="138">
        <f t="shared" si="9"/>
        <v>0.42299999999999999</v>
      </c>
      <c r="Q14" s="135">
        <f>5.66/1</f>
        <v>5.66</v>
      </c>
      <c r="R14" s="135">
        <f>5.66/1</f>
        <v>5.66</v>
      </c>
      <c r="S14" s="135"/>
      <c r="T14" s="135"/>
      <c r="U14" s="137">
        <f t="shared" si="10"/>
        <v>5.66</v>
      </c>
      <c r="V14" s="106">
        <f t="shared" si="4"/>
        <v>1.2853771992480076</v>
      </c>
      <c r="W14" s="137">
        <f t="shared" si="5"/>
        <v>2.3923567653970688</v>
      </c>
      <c r="X14" s="135"/>
      <c r="Y14" s="135"/>
      <c r="Z14" s="116">
        <f t="shared" si="7"/>
        <v>0.90325212402514787</v>
      </c>
      <c r="AA14" s="116">
        <f t="shared" si="7"/>
        <v>0.85580389329488105</v>
      </c>
      <c r="AB14" s="135">
        <v>27</v>
      </c>
      <c r="AC14" s="135"/>
      <c r="AD14" s="124">
        <f t="shared" si="8"/>
        <v>4.7448230730266827E-2</v>
      </c>
      <c r="AE14" s="135"/>
      <c r="AF14" s="135"/>
      <c r="AG14" s="135"/>
      <c r="AH14" s="135"/>
      <c r="AI14" s="135"/>
      <c r="AJ14" s="135"/>
      <c r="AK14" s="135"/>
      <c r="AL14" s="135"/>
      <c r="AM14" s="135"/>
    </row>
    <row r="15" spans="1:39" s="109" customFormat="1" ht="13.2" x14ac:dyDescent="0.25">
      <c r="A15" s="113" t="s">
        <v>66</v>
      </c>
      <c r="B15" s="113" t="s">
        <v>67</v>
      </c>
      <c r="C15" s="113">
        <v>159</v>
      </c>
      <c r="D15" s="113">
        <v>140.30000000000001</v>
      </c>
      <c r="E15" s="113">
        <v>26.6</v>
      </c>
      <c r="F15" s="113">
        <v>24.4</v>
      </c>
      <c r="G15" s="113" t="s">
        <v>18</v>
      </c>
      <c r="H15" s="106">
        <f t="shared" si="0"/>
        <v>-0.38574234092694426</v>
      </c>
      <c r="I15" s="106">
        <f t="shared" si="1"/>
        <v>0.27726218979211797</v>
      </c>
      <c r="J15" s="113">
        <v>-7.0000000000000007E-2</v>
      </c>
      <c r="K15" s="113">
        <v>0.52</v>
      </c>
      <c r="L15" s="114">
        <v>0.47099999999999997</v>
      </c>
      <c r="M15" s="114">
        <v>0.48899999999999999</v>
      </c>
      <c r="N15" s="113"/>
      <c r="O15" s="113"/>
      <c r="P15" s="114">
        <f t="shared" si="9"/>
        <v>0.48</v>
      </c>
      <c r="Q15" s="113">
        <f>0.5/1</f>
        <v>0.5</v>
      </c>
      <c r="R15" s="113">
        <f>0.51/1</f>
        <v>0.51</v>
      </c>
      <c r="S15" s="113"/>
      <c r="T15" s="113"/>
      <c r="U15" s="115">
        <f t="shared" si="10"/>
        <v>0.505</v>
      </c>
      <c r="V15" s="106">
        <f t="shared" si="4"/>
        <v>-0.50660756272891638</v>
      </c>
      <c r="W15" s="115">
        <f t="shared" si="5"/>
        <v>0.54155312841822301</v>
      </c>
      <c r="X15" s="113"/>
      <c r="Y15" s="113"/>
      <c r="Z15" s="113"/>
      <c r="AA15" s="113"/>
      <c r="AB15" s="113">
        <v>28</v>
      </c>
      <c r="AC15" s="113"/>
      <c r="AD15" s="113">
        <f>AVERAGE(AD10:AD14)</f>
        <v>3.4169397188494835E-2</v>
      </c>
      <c r="AE15" s="113"/>
      <c r="AF15" s="113"/>
      <c r="AG15" s="113"/>
      <c r="AH15" s="113"/>
      <c r="AI15" s="113"/>
      <c r="AJ15" s="113"/>
      <c r="AK15" s="113"/>
      <c r="AL15" s="113"/>
      <c r="AM15" s="113"/>
    </row>
    <row r="16" spans="1:39" s="109" customFormat="1" ht="13.2" x14ac:dyDescent="0.25">
      <c r="A16" s="135" t="s">
        <v>53</v>
      </c>
      <c r="B16" s="135" t="s">
        <v>54</v>
      </c>
      <c r="C16" s="135">
        <v>159</v>
      </c>
      <c r="D16" s="135">
        <v>149</v>
      </c>
      <c r="E16" s="135">
        <v>28.2</v>
      </c>
      <c r="F16" s="135">
        <v>28.2</v>
      </c>
      <c r="G16" s="135" t="s">
        <v>18</v>
      </c>
      <c r="H16" s="106">
        <f t="shared" si="0"/>
        <v>-0.40966221523959157</v>
      </c>
      <c r="I16" s="106">
        <f t="shared" si="1"/>
        <v>0.29445521225249877</v>
      </c>
      <c r="J16" s="135">
        <v>-7.0000000000000007E-2</v>
      </c>
      <c r="K16" s="135">
        <v>0.52</v>
      </c>
      <c r="L16" s="138">
        <v>0.65700000000000003</v>
      </c>
      <c r="M16" s="138">
        <v>0.68899999999999995</v>
      </c>
      <c r="N16" s="135"/>
      <c r="O16" s="135"/>
      <c r="P16" s="138">
        <f t="shared" si="9"/>
        <v>0.67300000000000004</v>
      </c>
      <c r="Q16" s="137">
        <f>1/2.44</f>
        <v>0.4098360655737705</v>
      </c>
      <c r="R16" s="137">
        <f>1/2.38</f>
        <v>0.42016806722689076</v>
      </c>
      <c r="S16" s="135"/>
      <c r="T16" s="135"/>
      <c r="U16" s="137">
        <f t="shared" si="10"/>
        <v>0.41500206640033066</v>
      </c>
      <c r="V16" s="106">
        <f t="shared" si="4"/>
        <v>-0.65215033542009948</v>
      </c>
      <c r="W16" s="137">
        <f t="shared" si="5"/>
        <v>0.57513482633154134</v>
      </c>
      <c r="X16" s="135"/>
      <c r="Y16" s="135"/>
      <c r="Z16" s="135"/>
      <c r="AA16" s="135"/>
      <c r="AB16" s="135">
        <v>29</v>
      </c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</row>
    <row r="17" spans="1:39" s="109" customFormat="1" ht="13.2" x14ac:dyDescent="0.25">
      <c r="A17" s="112" t="s">
        <v>71</v>
      </c>
      <c r="B17" s="113" t="s">
        <v>67</v>
      </c>
      <c r="C17" s="113">
        <v>159</v>
      </c>
      <c r="D17" s="113">
        <v>140.30000000000001</v>
      </c>
      <c r="E17" s="113">
        <v>26.6</v>
      </c>
      <c r="F17" s="113">
        <v>24.4</v>
      </c>
      <c r="G17" s="113" t="s">
        <v>27</v>
      </c>
      <c r="H17" s="106">
        <f t="shared" si="0"/>
        <v>0.3306362922230951</v>
      </c>
      <c r="I17" s="106">
        <f t="shared" si="1"/>
        <v>0.30392201573366778</v>
      </c>
      <c r="J17" s="113">
        <v>0.06</v>
      </c>
      <c r="K17" s="113">
        <v>0.56999999999999995</v>
      </c>
      <c r="L17" s="114">
        <v>0.52400000000000002</v>
      </c>
      <c r="M17" s="114">
        <v>0.42499999999999999</v>
      </c>
      <c r="N17" s="114">
        <v>0.40300000000000002</v>
      </c>
      <c r="O17" s="114"/>
      <c r="P17" s="114">
        <f t="shared" si="9"/>
        <v>0.45066666666666672</v>
      </c>
      <c r="Q17" s="113">
        <f>1.88/1</f>
        <v>1.88</v>
      </c>
      <c r="R17" s="113">
        <f>1.83/1</f>
        <v>1.83</v>
      </c>
      <c r="S17" s="113">
        <f>1.8/1</f>
        <v>1.8</v>
      </c>
      <c r="T17" s="113"/>
      <c r="U17" s="115">
        <f t="shared" si="10"/>
        <v>1.8366666666666667</v>
      </c>
      <c r="V17" s="106">
        <f t="shared" si="4"/>
        <v>0.4508118715227144</v>
      </c>
      <c r="W17" s="115">
        <f t="shared" si="5"/>
        <v>2.1176876656901644</v>
      </c>
      <c r="X17" s="113"/>
      <c r="Y17" s="113"/>
      <c r="Z17" s="113"/>
      <c r="AA17" s="113"/>
      <c r="AB17" s="113">
        <v>30</v>
      </c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</row>
    <row r="18" spans="1:39" s="109" customFormat="1" ht="13.2" x14ac:dyDescent="0.25">
      <c r="A18" s="116" t="s">
        <v>46</v>
      </c>
      <c r="B18" s="116" t="s">
        <v>42</v>
      </c>
      <c r="C18" s="116">
        <v>176.3</v>
      </c>
      <c r="D18" s="117">
        <v>168.2</v>
      </c>
      <c r="E18" s="116">
        <v>35.799999999999997</v>
      </c>
      <c r="F18" s="116">
        <v>32.799999999999997</v>
      </c>
      <c r="G18" s="116" t="s">
        <v>26</v>
      </c>
      <c r="H18" s="106">
        <f t="shared" si="0"/>
        <v>0.79277297721916717</v>
      </c>
      <c r="I18" s="106">
        <f t="shared" si="1"/>
        <v>0.23012199293125069</v>
      </c>
      <c r="J18" s="116">
        <v>0.12</v>
      </c>
      <c r="K18" s="116">
        <v>0.36</v>
      </c>
      <c r="L18" s="118">
        <v>0.25700000000000001</v>
      </c>
      <c r="M18" s="118">
        <v>0.28599999999999998</v>
      </c>
      <c r="N18" s="116"/>
      <c r="O18" s="116"/>
      <c r="P18" s="118">
        <f t="shared" si="9"/>
        <v>0.27149999999999996</v>
      </c>
      <c r="Q18" s="119">
        <f>5.32/1</f>
        <v>5.32</v>
      </c>
      <c r="R18" s="119">
        <f>5.39/1</f>
        <v>5.39</v>
      </c>
      <c r="S18" s="116"/>
      <c r="T18" s="116"/>
      <c r="U18" s="119">
        <f t="shared" si="10"/>
        <v>5.3550000000000004</v>
      </c>
      <c r="V18" s="106">
        <f t="shared" si="4"/>
        <v>1.2443017637621994</v>
      </c>
      <c r="W18" s="119">
        <f t="shared" si="5"/>
        <v>2.7006336103341408</v>
      </c>
      <c r="X18" s="116"/>
      <c r="Y18" s="116"/>
      <c r="Z18" s="116"/>
      <c r="AA18" s="116"/>
      <c r="AB18" s="116">
        <v>33</v>
      </c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</row>
    <row r="19" spans="1:39" s="109" customFormat="1" ht="13.2" x14ac:dyDescent="0.25">
      <c r="A19" s="139" t="s">
        <v>33</v>
      </c>
      <c r="B19" s="124" t="s">
        <v>29</v>
      </c>
      <c r="C19" s="124">
        <v>176.1</v>
      </c>
      <c r="D19" s="124">
        <v>176.1</v>
      </c>
      <c r="E19" s="124">
        <v>36.299999999999997</v>
      </c>
      <c r="F19" s="124">
        <v>36.299999999999997</v>
      </c>
      <c r="G19" s="124" t="s">
        <v>26</v>
      </c>
      <c r="H19" s="106">
        <f t="shared" si="0"/>
        <v>0.83000785545954425</v>
      </c>
      <c r="I19" s="106">
        <f t="shared" si="1"/>
        <v>0.24093033861589327</v>
      </c>
      <c r="J19" s="124">
        <v>0.12</v>
      </c>
      <c r="K19" s="124">
        <v>0.36</v>
      </c>
      <c r="L19" s="125">
        <v>0.3</v>
      </c>
      <c r="M19" s="125">
        <v>0.29699999999999999</v>
      </c>
      <c r="N19" s="124"/>
      <c r="O19" s="124"/>
      <c r="P19" s="125">
        <f t="shared" si="9"/>
        <v>0.29849999999999999</v>
      </c>
      <c r="Q19" s="124">
        <f>5.28/1</f>
        <v>5.28</v>
      </c>
      <c r="R19" s="124">
        <f>5.2/1</f>
        <v>5.2</v>
      </c>
      <c r="S19" s="124"/>
      <c r="T19" s="124"/>
      <c r="U19" s="124">
        <f t="shared" si="10"/>
        <v>5.24</v>
      </c>
      <c r="V19" s="106">
        <f t="shared" si="4"/>
        <v>1.2282038445085051</v>
      </c>
      <c r="W19" s="126">
        <f t="shared" si="5"/>
        <v>2.827476687157207</v>
      </c>
      <c r="X19" s="124"/>
      <c r="Y19" s="124"/>
      <c r="Z19" s="124"/>
      <c r="AA19" s="124">
        <f>U19/(U19+1)</f>
        <v>0.83974358974358976</v>
      </c>
      <c r="AB19" s="124">
        <v>34</v>
      </c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</row>
    <row r="20" spans="1:39" s="109" customFormat="1" ht="13.2" x14ac:dyDescent="0.25">
      <c r="A20" s="135" t="s">
        <v>59</v>
      </c>
      <c r="B20" s="135" t="s">
        <v>54</v>
      </c>
      <c r="C20" s="135">
        <v>159</v>
      </c>
      <c r="D20" s="135">
        <v>149</v>
      </c>
      <c r="E20" s="135">
        <v>28.2</v>
      </c>
      <c r="F20" s="135">
        <v>28.2</v>
      </c>
      <c r="G20" s="135" t="s">
        <v>27</v>
      </c>
      <c r="H20" s="106">
        <f t="shared" si="0"/>
        <v>0.35113904163393556</v>
      </c>
      <c r="I20" s="106">
        <f t="shared" si="1"/>
        <v>0.32276821343062362</v>
      </c>
      <c r="J20" s="135">
        <v>0.06</v>
      </c>
      <c r="K20" s="135">
        <v>0.56999999999999995</v>
      </c>
      <c r="L20" s="138">
        <v>0.501</v>
      </c>
      <c r="M20" s="138">
        <v>0.48399999999999999</v>
      </c>
      <c r="N20" s="135"/>
      <c r="O20" s="135"/>
      <c r="P20" s="138">
        <f t="shared" si="9"/>
        <v>0.49249999999999999</v>
      </c>
      <c r="Q20" s="140">
        <f>2.28/1</f>
        <v>2.2799999999999998</v>
      </c>
      <c r="R20" s="135">
        <f>2.2/1</f>
        <v>2.2000000000000002</v>
      </c>
      <c r="S20" s="138"/>
      <c r="T20" s="138"/>
      <c r="U20" s="140">
        <f t="shared" si="10"/>
        <v>2.2400000000000002</v>
      </c>
      <c r="V20" s="106">
        <f t="shared" si="4"/>
        <v>0.5980220385704369</v>
      </c>
      <c r="W20" s="137">
        <f t="shared" si="5"/>
        <v>2.2490054325576225</v>
      </c>
      <c r="X20" s="137"/>
      <c r="Y20" s="137"/>
      <c r="Z20" s="135"/>
      <c r="AA20" s="135"/>
      <c r="AB20" s="135">
        <v>38</v>
      </c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</row>
    <row r="21" spans="1:39" s="109" customFormat="1" ht="13.2" x14ac:dyDescent="0.25">
      <c r="A21" s="141" t="s">
        <v>65</v>
      </c>
      <c r="B21" s="141" t="s">
        <v>61</v>
      </c>
      <c r="C21" s="141">
        <v>142.30000000000001</v>
      </c>
      <c r="D21" s="141">
        <v>139.1</v>
      </c>
      <c r="E21" s="141">
        <v>25.7</v>
      </c>
      <c r="F21" s="141">
        <v>25.7</v>
      </c>
      <c r="G21" s="141" t="s">
        <v>27</v>
      </c>
      <c r="H21" s="106">
        <f t="shared" si="0"/>
        <v>0.32780832678711702</v>
      </c>
      <c r="I21" s="106">
        <f t="shared" si="1"/>
        <v>0.30132254018926002</v>
      </c>
      <c r="J21" s="141">
        <v>0.06</v>
      </c>
      <c r="K21" s="141">
        <v>0.56999999999999995</v>
      </c>
      <c r="L21" s="142">
        <v>0.54400000000000004</v>
      </c>
      <c r="M21" s="142">
        <v>0.59199999999999997</v>
      </c>
      <c r="N21" s="141"/>
      <c r="O21" s="141"/>
      <c r="P21" s="142">
        <f t="shared" si="9"/>
        <v>0.56800000000000006</v>
      </c>
      <c r="Q21" s="141">
        <f>2.15/1</f>
        <v>2.15</v>
      </c>
      <c r="R21" s="141">
        <f>2.13/1</f>
        <v>2.13</v>
      </c>
      <c r="S21" s="141"/>
      <c r="T21" s="141"/>
      <c r="U21" s="143">
        <f t="shared" si="10"/>
        <v>2.1399999999999997</v>
      </c>
      <c r="V21" s="106">
        <f t="shared" si="4"/>
        <v>0.56415656325430852</v>
      </c>
      <c r="W21" s="143">
        <f t="shared" si="5"/>
        <v>2.0995748702601698</v>
      </c>
      <c r="X21" s="141"/>
      <c r="Y21" s="141"/>
      <c r="Z21" s="141"/>
      <c r="AA21" s="141"/>
      <c r="AB21" s="141">
        <v>42</v>
      </c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</row>
    <row r="22" spans="1:39" s="109" customFormat="1" ht="13.2" x14ac:dyDescent="0.25">
      <c r="A22" s="139" t="s">
        <v>31</v>
      </c>
      <c r="B22" s="124" t="s">
        <v>29</v>
      </c>
      <c r="C22" s="124">
        <v>176.1</v>
      </c>
      <c r="D22" s="124">
        <v>176.1</v>
      </c>
      <c r="E22" s="124">
        <v>36.299999999999997</v>
      </c>
      <c r="F22" s="124">
        <v>36.299999999999997</v>
      </c>
      <c r="G22" s="124" t="s">
        <v>22</v>
      </c>
      <c r="H22" s="106">
        <f t="shared" si="0"/>
        <v>-0.48417124901806752</v>
      </c>
      <c r="I22" s="106">
        <f t="shared" si="1"/>
        <v>0.50863071485577471</v>
      </c>
      <c r="J22" s="124">
        <v>-7.0000000000000007E-2</v>
      </c>
      <c r="K22" s="124">
        <v>0.76</v>
      </c>
      <c r="L22" s="125">
        <v>0.79100000000000004</v>
      </c>
      <c r="M22" s="125">
        <v>0.80300000000000005</v>
      </c>
      <c r="N22" s="124"/>
      <c r="O22" s="124"/>
      <c r="P22" s="125">
        <f t="shared" si="9"/>
        <v>0.79700000000000004</v>
      </c>
      <c r="Q22" s="126">
        <f>1/1.35</f>
        <v>0.7407407407407407</v>
      </c>
      <c r="R22" s="126">
        <f>1/1.31</f>
        <v>0.76335877862595414</v>
      </c>
      <c r="S22" s="124"/>
      <c r="T22" s="124"/>
      <c r="U22" s="126">
        <f t="shared" si="10"/>
        <v>0.75204975968334742</v>
      </c>
      <c r="V22" s="106">
        <f t="shared" si="4"/>
        <v>-0.21129962351926446</v>
      </c>
      <c r="W22" s="126">
        <f t="shared" si="5"/>
        <v>1.4454718150553854</v>
      </c>
      <c r="X22" s="124"/>
      <c r="Y22" s="124"/>
      <c r="Z22" s="124"/>
      <c r="AA22" s="124"/>
      <c r="AB22" s="124">
        <v>43</v>
      </c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</row>
    <row r="23" spans="1:39" s="132" customFormat="1" ht="13.2" x14ac:dyDescent="0.25">
      <c r="A23" s="127" t="s">
        <v>51</v>
      </c>
      <c r="B23" s="128" t="s">
        <v>48</v>
      </c>
      <c r="C23" s="128">
        <v>169.2</v>
      </c>
      <c r="D23" s="128">
        <v>163.30000000000001</v>
      </c>
      <c r="E23" s="128">
        <v>32</v>
      </c>
      <c r="F23" s="128">
        <v>30.2</v>
      </c>
      <c r="G23" s="128" t="s">
        <v>26</v>
      </c>
      <c r="H23" s="129">
        <f t="shared" si="0"/>
        <v>0.76967792615868025</v>
      </c>
      <c r="I23" s="129">
        <f t="shared" si="1"/>
        <v>0.22341808231672558</v>
      </c>
      <c r="J23" s="128">
        <v>0.12</v>
      </c>
      <c r="K23" s="128">
        <v>0.36</v>
      </c>
      <c r="L23" s="130">
        <v>0.36099999999999999</v>
      </c>
      <c r="M23" s="130">
        <v>0.39500000000000002</v>
      </c>
      <c r="N23" s="128"/>
      <c r="O23" s="128"/>
      <c r="P23" s="130">
        <f t="shared" si="9"/>
        <v>0.378</v>
      </c>
      <c r="Q23" s="131">
        <f>8.6/1</f>
        <v>8.6</v>
      </c>
      <c r="R23" s="131">
        <f>8.6/1</f>
        <v>8.6</v>
      </c>
      <c r="S23" s="128"/>
      <c r="T23" s="128"/>
      <c r="U23" s="131">
        <f t="shared" si="10"/>
        <v>8.6</v>
      </c>
      <c r="V23" s="129">
        <f t="shared" si="4"/>
        <v>1.595585526826333</v>
      </c>
      <c r="W23" s="131">
        <f t="shared" si="5"/>
        <v>2.6219587905324926</v>
      </c>
      <c r="X23" s="128"/>
      <c r="Y23" s="128"/>
      <c r="Z23" s="128"/>
      <c r="AA23" s="128"/>
      <c r="AB23" s="128">
        <v>7</v>
      </c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</row>
    <row r="24" spans="1:39" s="132" customFormat="1" ht="13.2" x14ac:dyDescent="0.25">
      <c r="A24" s="127" t="s">
        <v>38</v>
      </c>
      <c r="B24" s="128" t="s">
        <v>35</v>
      </c>
      <c r="C24" s="128">
        <v>176.8</v>
      </c>
      <c r="D24" s="128">
        <v>162.5</v>
      </c>
      <c r="E24" s="128">
        <v>40</v>
      </c>
      <c r="F24" s="128">
        <v>34.4</v>
      </c>
      <c r="G24" s="128" t="s">
        <v>24</v>
      </c>
      <c r="H24" s="129">
        <f t="shared" si="0"/>
        <v>-0.63825608798114686</v>
      </c>
      <c r="I24" s="129">
        <f t="shared" si="1"/>
        <v>0.76578117280431723</v>
      </c>
      <c r="J24" s="128">
        <v>-0.1</v>
      </c>
      <c r="K24" s="128">
        <v>1.24</v>
      </c>
      <c r="L24" s="130">
        <v>0.27300000000000002</v>
      </c>
      <c r="M24" s="130">
        <v>0.155</v>
      </c>
      <c r="N24" s="130">
        <v>9.2999999999999999E-2</v>
      </c>
      <c r="O24" s="130"/>
      <c r="P24" s="130">
        <f t="shared" si="9"/>
        <v>0.17366666666666666</v>
      </c>
      <c r="Q24" s="128">
        <f>4.15/1</f>
        <v>4.1500000000000004</v>
      </c>
      <c r="R24" s="128">
        <v>3.63</v>
      </c>
      <c r="S24" s="128">
        <v>3.64</v>
      </c>
      <c r="T24" s="128"/>
      <c r="U24" s="131">
        <f t="shared" si="10"/>
        <v>3.8066666666666666</v>
      </c>
      <c r="V24" s="129">
        <f t="shared" si="4"/>
        <v>0.99123648392219033</v>
      </c>
      <c r="W24" s="131">
        <f t="shared" si="5"/>
        <v>2.3597251343091394</v>
      </c>
      <c r="X24" s="128"/>
      <c r="Y24" s="128"/>
      <c r="Z24" s="128"/>
      <c r="AA24" s="128"/>
      <c r="AB24" s="128">
        <v>10</v>
      </c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</row>
    <row r="25" spans="1:39" s="132" customFormat="1" ht="13.2" x14ac:dyDescent="0.25">
      <c r="A25" s="128" t="s">
        <v>56</v>
      </c>
      <c r="B25" s="128" t="s">
        <v>54</v>
      </c>
      <c r="C25" s="128">
        <v>159</v>
      </c>
      <c r="D25" s="128">
        <v>149</v>
      </c>
      <c r="E25" s="128">
        <v>28.2</v>
      </c>
      <c r="F25" s="128">
        <v>28.2</v>
      </c>
      <c r="G25" s="128" t="s">
        <v>22</v>
      </c>
      <c r="H25" s="129">
        <f t="shared" si="0"/>
        <v>-0.40966221523959157</v>
      </c>
      <c r="I25" s="129">
        <f t="shared" si="1"/>
        <v>0.43035761790749816</v>
      </c>
      <c r="J25" s="128">
        <v>-7.0000000000000007E-2</v>
      </c>
      <c r="K25" s="128">
        <v>0.76</v>
      </c>
      <c r="L25" s="130">
        <v>0.55800000000000005</v>
      </c>
      <c r="M25" s="130">
        <v>0.58099999999999996</v>
      </c>
      <c r="N25" s="128"/>
      <c r="O25" s="128"/>
      <c r="P25" s="130">
        <f t="shared" si="9"/>
        <v>0.56950000000000001</v>
      </c>
      <c r="Q25" s="131">
        <f>1/1.42</f>
        <v>0.70422535211267612</v>
      </c>
      <c r="R25" s="131">
        <f>1/1.4</f>
        <v>0.7142857142857143</v>
      </c>
      <c r="S25" s="128"/>
      <c r="T25" s="128"/>
      <c r="U25" s="131">
        <f t="shared" si="10"/>
        <v>0.70925553319919521</v>
      </c>
      <c r="V25" s="129">
        <f t="shared" si="4"/>
        <v>-0.25474306586396717</v>
      </c>
      <c r="W25" s="131">
        <f t="shared" si="5"/>
        <v>1.2230283954755952</v>
      </c>
      <c r="X25" s="128"/>
      <c r="Y25" s="128"/>
      <c r="Z25" s="128"/>
      <c r="AA25" s="128"/>
      <c r="AB25" s="128">
        <v>11</v>
      </c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</row>
    <row r="26" spans="1:39" s="132" customFormat="1" ht="13.2" x14ac:dyDescent="0.25">
      <c r="A26" s="128" t="s">
        <v>32</v>
      </c>
      <c r="B26" s="128" t="s">
        <v>29</v>
      </c>
      <c r="C26" s="128">
        <v>176.1</v>
      </c>
      <c r="D26" s="128">
        <v>176.1</v>
      </c>
      <c r="E26" s="128">
        <v>36.299999999999997</v>
      </c>
      <c r="F26" s="128">
        <v>36.299999999999997</v>
      </c>
      <c r="G26" s="128" t="s">
        <v>24</v>
      </c>
      <c r="H26" s="129">
        <f t="shared" si="0"/>
        <v>-0.69167321288295358</v>
      </c>
      <c r="I26" s="129">
        <f t="shared" si="1"/>
        <v>0.82987116634363245</v>
      </c>
      <c r="J26" s="128">
        <v>-0.1</v>
      </c>
      <c r="K26" s="128">
        <v>1.24</v>
      </c>
      <c r="L26" s="130">
        <v>0.91</v>
      </c>
      <c r="M26" s="130">
        <v>0.83</v>
      </c>
      <c r="N26" s="128"/>
      <c r="O26" s="128"/>
      <c r="P26" s="130">
        <f t="shared" si="9"/>
        <v>0.87</v>
      </c>
      <c r="Q26" s="128">
        <f>10.48/1</f>
        <v>10.48</v>
      </c>
      <c r="R26" s="128">
        <f>10.56/1</f>
        <v>10.56</v>
      </c>
      <c r="S26" s="128"/>
      <c r="T26" s="128"/>
      <c r="U26" s="128">
        <f t="shared" si="10"/>
        <v>10.52</v>
      </c>
      <c r="V26" s="129">
        <f t="shared" si="4"/>
        <v>1.7450146872601209</v>
      </c>
      <c r="W26" s="131">
        <f t="shared" si="5"/>
        <v>2.5572159763190125</v>
      </c>
      <c r="X26" s="128"/>
      <c r="Y26" s="128"/>
      <c r="Z26" s="128"/>
      <c r="AA26" s="128">
        <f>U26/(U26+1)</f>
        <v>0.91319444444444442</v>
      </c>
      <c r="AB26" s="128">
        <v>13</v>
      </c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</row>
    <row r="27" spans="1:39" s="132" customFormat="1" ht="13.2" x14ac:dyDescent="0.25">
      <c r="A27" s="127" t="s">
        <v>30</v>
      </c>
      <c r="B27" s="128" t="s">
        <v>29</v>
      </c>
      <c r="C27" s="128">
        <v>176.1</v>
      </c>
      <c r="D27" s="128">
        <v>176.1</v>
      </c>
      <c r="E27" s="128">
        <v>36.299999999999997</v>
      </c>
      <c r="F27" s="128">
        <v>36.299999999999997</v>
      </c>
      <c r="G27" s="128" t="s">
        <v>20</v>
      </c>
      <c r="H27" s="129">
        <f t="shared" si="0"/>
        <v>-0.48417124901806752</v>
      </c>
      <c r="I27" s="129">
        <f t="shared" si="1"/>
        <v>0.37478052673583401</v>
      </c>
      <c r="J27" s="128">
        <v>-7.0000000000000007E-2</v>
      </c>
      <c r="K27" s="128">
        <v>0.56000000000000005</v>
      </c>
      <c r="L27" s="130">
        <v>0.86499999999999999</v>
      </c>
      <c r="M27" s="130">
        <v>0.89100000000000001</v>
      </c>
      <c r="N27" s="128"/>
      <c r="O27" s="128"/>
      <c r="P27" s="130">
        <f t="shared" si="9"/>
        <v>0.878</v>
      </c>
      <c r="Q27" s="131">
        <f>1/2.57</f>
        <v>0.38910505836575876</v>
      </c>
      <c r="R27" s="131">
        <f>1/2.54</f>
        <v>0.39370078740157477</v>
      </c>
      <c r="S27" s="128"/>
      <c r="T27" s="128"/>
      <c r="U27" s="131">
        <f t="shared" si="10"/>
        <v>0.39140292288366674</v>
      </c>
      <c r="V27" s="129">
        <f t="shared" si="4"/>
        <v>-0.69556364247050928</v>
      </c>
      <c r="W27" s="131">
        <f t="shared" si="5"/>
        <v>0.80736187363330503</v>
      </c>
      <c r="X27" s="128"/>
      <c r="Y27" s="128"/>
      <c r="Z27" s="128"/>
      <c r="AA27" s="128"/>
      <c r="AB27" s="128">
        <v>14</v>
      </c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</row>
    <row r="28" spans="1:39" s="132" customFormat="1" ht="13.2" x14ac:dyDescent="0.25">
      <c r="A28" s="127" t="s">
        <v>40</v>
      </c>
      <c r="B28" s="128" t="s">
        <v>35</v>
      </c>
      <c r="C28" s="128">
        <v>176.8</v>
      </c>
      <c r="D28" s="128">
        <v>162.5</v>
      </c>
      <c r="E28" s="128">
        <v>40</v>
      </c>
      <c r="F28" s="128">
        <v>34.4</v>
      </c>
      <c r="G28" s="128" t="s">
        <v>27</v>
      </c>
      <c r="H28" s="129">
        <f t="shared" si="0"/>
        <v>0.38295365278868815</v>
      </c>
      <c r="I28" s="129">
        <f t="shared" si="1"/>
        <v>0.35201231330521032</v>
      </c>
      <c r="J28" s="128">
        <v>0.06</v>
      </c>
      <c r="K28" s="128">
        <v>0.56999999999999995</v>
      </c>
      <c r="L28" s="130">
        <v>0.51900000000000002</v>
      </c>
      <c r="M28" s="130">
        <v>0.52700000000000002</v>
      </c>
      <c r="N28" s="128"/>
      <c r="O28" s="128"/>
      <c r="P28" s="130">
        <f t="shared" si="9"/>
        <v>0.52300000000000002</v>
      </c>
      <c r="Q28" s="131">
        <f>2.29/1</f>
        <v>2.29</v>
      </c>
      <c r="R28" s="131">
        <f>2.29/1</f>
        <v>2.29</v>
      </c>
      <c r="S28" s="128"/>
      <c r="T28" s="128"/>
      <c r="U28" s="131">
        <f t="shared" si="10"/>
        <v>2.29</v>
      </c>
      <c r="V28" s="129">
        <f t="shared" si="4"/>
        <v>0.61439190926005272</v>
      </c>
      <c r="W28" s="131">
        <f t="shared" si="5"/>
        <v>2.4527743811450584</v>
      </c>
      <c r="X28" s="128"/>
      <c r="Y28" s="128"/>
      <c r="Z28" s="128"/>
      <c r="AA28" s="128"/>
      <c r="AB28" s="128">
        <v>15</v>
      </c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</row>
    <row r="29" spans="1:39" s="132" customFormat="1" ht="13.2" x14ac:dyDescent="0.25">
      <c r="A29" s="128" t="s">
        <v>47</v>
      </c>
      <c r="B29" s="128" t="s">
        <v>48</v>
      </c>
      <c r="C29" s="128">
        <v>169.2</v>
      </c>
      <c r="D29" s="128">
        <v>163.30000000000001</v>
      </c>
      <c r="E29" s="128">
        <v>32</v>
      </c>
      <c r="F29" s="128">
        <v>30.2</v>
      </c>
      <c r="G29" s="128" t="s">
        <v>18</v>
      </c>
      <c r="H29" s="129">
        <f t="shared" si="0"/>
        <v>-0.44897879025923026</v>
      </c>
      <c r="I29" s="129">
        <f t="shared" si="1"/>
        <v>0.32271500779082585</v>
      </c>
      <c r="J29" s="128">
        <v>-7.0000000000000007E-2</v>
      </c>
      <c r="K29" s="128">
        <v>0.52</v>
      </c>
      <c r="L29" s="130">
        <v>0.67700000000000005</v>
      </c>
      <c r="M29" s="130">
        <v>0.71399999999999997</v>
      </c>
      <c r="N29" s="128"/>
      <c r="O29" s="128"/>
      <c r="P29" s="130">
        <f t="shared" si="9"/>
        <v>0.69550000000000001</v>
      </c>
      <c r="Q29" s="131">
        <f>1/1.47</f>
        <v>0.68027210884353739</v>
      </c>
      <c r="R29" s="131">
        <f>1/1.52</f>
        <v>0.65789473684210531</v>
      </c>
      <c r="S29" s="128"/>
      <c r="T29" s="128"/>
      <c r="U29" s="131">
        <f t="shared" si="10"/>
        <v>0.6690834228428213</v>
      </c>
      <c r="V29" s="129">
        <f t="shared" si="4"/>
        <v>-0.29797925830154015</v>
      </c>
      <c r="W29" s="131">
        <f t="shared" si="5"/>
        <v>0.63033232979825971</v>
      </c>
      <c r="X29" s="128"/>
      <c r="Y29" s="128"/>
      <c r="Z29" s="128"/>
      <c r="AA29" s="128"/>
      <c r="AB29" s="128">
        <v>17</v>
      </c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</row>
    <row r="30" spans="1:39" s="132" customFormat="1" ht="13.2" x14ac:dyDescent="0.25">
      <c r="A30" s="128" t="s">
        <v>55</v>
      </c>
      <c r="B30" s="128" t="s">
        <v>54</v>
      </c>
      <c r="C30" s="128">
        <v>159</v>
      </c>
      <c r="D30" s="128">
        <v>149</v>
      </c>
      <c r="E30" s="128">
        <v>28.2</v>
      </c>
      <c r="F30" s="128">
        <v>28.2</v>
      </c>
      <c r="G30" s="128" t="s">
        <v>20</v>
      </c>
      <c r="H30" s="129">
        <f t="shared" si="0"/>
        <v>-0.40966221523959157</v>
      </c>
      <c r="I30" s="129">
        <f t="shared" si="1"/>
        <v>0.31710561319499875</v>
      </c>
      <c r="J30" s="128">
        <v>-7.0000000000000007E-2</v>
      </c>
      <c r="K30" s="128">
        <v>0.56000000000000005</v>
      </c>
      <c r="L30" s="130">
        <v>0.56699999999999995</v>
      </c>
      <c r="M30" s="130">
        <v>0.625</v>
      </c>
      <c r="N30" s="128"/>
      <c r="O30" s="128"/>
      <c r="P30" s="130">
        <f t="shared" si="9"/>
        <v>0.59599999999999997</v>
      </c>
      <c r="Q30" s="131">
        <f>1/2.29</f>
        <v>0.4366812227074236</v>
      </c>
      <c r="R30" s="131">
        <f>1/2.33</f>
        <v>0.42918454935622319</v>
      </c>
      <c r="S30" s="128"/>
      <c r="T30" s="128"/>
      <c r="U30" s="131">
        <f t="shared" si="10"/>
        <v>0.43293288603182339</v>
      </c>
      <c r="V30" s="129">
        <f t="shared" si="4"/>
        <v>-0.62078440598227913</v>
      </c>
      <c r="W30" s="131">
        <f t="shared" si="5"/>
        <v>0.6831170878555507</v>
      </c>
      <c r="X30" s="128"/>
      <c r="Y30" s="128"/>
      <c r="Z30" s="128"/>
      <c r="AA30" s="128"/>
      <c r="AB30" s="128">
        <v>18</v>
      </c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</row>
    <row r="31" spans="1:39" s="132" customFormat="1" ht="13.2" x14ac:dyDescent="0.25">
      <c r="A31" s="127" t="s">
        <v>50</v>
      </c>
      <c r="B31" s="128" t="s">
        <v>48</v>
      </c>
      <c r="C31" s="128">
        <v>169.2</v>
      </c>
      <c r="D31" s="128">
        <v>163.30000000000001</v>
      </c>
      <c r="E31" s="128">
        <v>32</v>
      </c>
      <c r="F31" s="128">
        <v>30.2</v>
      </c>
      <c r="G31" s="128" t="s">
        <v>22</v>
      </c>
      <c r="H31" s="129">
        <f t="shared" si="0"/>
        <v>-0.44897879025923026</v>
      </c>
      <c r="I31" s="129">
        <f t="shared" si="1"/>
        <v>0.47166039600197623</v>
      </c>
      <c r="J31" s="128">
        <v>-7.0000000000000007E-2</v>
      </c>
      <c r="K31" s="128">
        <v>0.76</v>
      </c>
      <c r="L31" s="130">
        <v>0.72399999999999998</v>
      </c>
      <c r="M31" s="130">
        <v>0.68799999999999994</v>
      </c>
      <c r="N31" s="128"/>
      <c r="O31" s="128"/>
      <c r="P31" s="130">
        <f t="shared" si="9"/>
        <v>0.70599999999999996</v>
      </c>
      <c r="Q31" s="131">
        <v>1.45</v>
      </c>
      <c r="R31" s="131">
        <v>1.51</v>
      </c>
      <c r="S31" s="128"/>
      <c r="T31" s="128"/>
      <c r="U31" s="131">
        <f t="shared" si="10"/>
        <v>1.48</v>
      </c>
      <c r="V31" s="129">
        <f t="shared" si="4"/>
        <v>0.29070901989757381</v>
      </c>
      <c r="W31" s="131">
        <f t="shared" si="5"/>
        <v>1.340406288464193</v>
      </c>
      <c r="X31" s="128"/>
      <c r="Y31" s="128"/>
      <c r="Z31" s="128"/>
      <c r="AA31" s="128"/>
      <c r="AB31" s="128">
        <v>21</v>
      </c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</row>
    <row r="32" spans="1:39" s="132" customFormat="1" ht="13.2" x14ac:dyDescent="0.25">
      <c r="A32" s="127" t="s">
        <v>37</v>
      </c>
      <c r="B32" s="128" t="s">
        <v>35</v>
      </c>
      <c r="C32" s="128">
        <v>176.8</v>
      </c>
      <c r="D32" s="128">
        <v>162.5</v>
      </c>
      <c r="E32" s="128">
        <v>40</v>
      </c>
      <c r="F32" s="128">
        <v>34.4</v>
      </c>
      <c r="G32" s="128" t="s">
        <v>22</v>
      </c>
      <c r="H32" s="129">
        <f t="shared" si="0"/>
        <v>-0.44677926158680287</v>
      </c>
      <c r="I32" s="129">
        <f t="shared" si="1"/>
        <v>0.46934975107361382</v>
      </c>
      <c r="J32" s="128">
        <v>-7.0000000000000007E-2</v>
      </c>
      <c r="K32" s="128">
        <v>0.76</v>
      </c>
      <c r="L32" s="130">
        <v>0.51800000000000002</v>
      </c>
      <c r="M32" s="130">
        <v>0.44500000000000001</v>
      </c>
      <c r="N32" s="128"/>
      <c r="O32" s="128"/>
      <c r="P32" s="130">
        <f t="shared" si="9"/>
        <v>0.48150000000000004</v>
      </c>
      <c r="Q32" s="131">
        <f>1/1.04</f>
        <v>0.96153846153846145</v>
      </c>
      <c r="R32" s="131">
        <f>1/1.1</f>
        <v>0.90909090909090906</v>
      </c>
      <c r="S32" s="128"/>
      <c r="T32" s="128"/>
      <c r="U32" s="131">
        <f t="shared" si="10"/>
        <v>0.9353146853146852</v>
      </c>
      <c r="V32" s="129">
        <f t="shared" si="4"/>
        <v>-4.9587442926128815E-2</v>
      </c>
      <c r="W32" s="131">
        <f t="shared" si="5"/>
        <v>1.3338396930522434</v>
      </c>
      <c r="X32" s="128"/>
      <c r="Y32" s="128"/>
      <c r="Z32" s="128"/>
      <c r="AA32" s="128"/>
      <c r="AB32" s="128">
        <v>22</v>
      </c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</row>
    <row r="33" spans="1:39" s="132" customFormat="1" ht="13.2" x14ac:dyDescent="0.25">
      <c r="A33" s="128" t="s">
        <v>60</v>
      </c>
      <c r="B33" s="128" t="s">
        <v>61</v>
      </c>
      <c r="C33" s="128">
        <v>142.30000000000001</v>
      </c>
      <c r="D33" s="128">
        <v>139.1</v>
      </c>
      <c r="E33" s="128">
        <v>25.7</v>
      </c>
      <c r="F33" s="128">
        <v>25.7</v>
      </c>
      <c r="G33" s="128" t="s">
        <v>18</v>
      </c>
      <c r="H33" s="129">
        <f t="shared" si="0"/>
        <v>-0.38244304791830319</v>
      </c>
      <c r="I33" s="129">
        <f t="shared" si="1"/>
        <v>0.27489073841827233</v>
      </c>
      <c r="J33" s="128">
        <v>-7.0000000000000007E-2</v>
      </c>
      <c r="K33" s="128">
        <v>0.52</v>
      </c>
      <c r="L33" s="130">
        <v>0.52900000000000003</v>
      </c>
      <c r="M33" s="130">
        <v>0.53700000000000003</v>
      </c>
      <c r="N33" s="128"/>
      <c r="O33" s="128"/>
      <c r="P33" s="130">
        <f t="shared" si="9"/>
        <v>0.53300000000000003</v>
      </c>
      <c r="Q33" s="131">
        <f>1/2.17</f>
        <v>0.46082949308755761</v>
      </c>
      <c r="R33" s="131">
        <f>1/2.13</f>
        <v>0.46948356807511737</v>
      </c>
      <c r="S33" s="128"/>
      <c r="T33" s="128"/>
      <c r="U33" s="131">
        <f t="shared" si="10"/>
        <v>0.46515653058133749</v>
      </c>
      <c r="V33" s="129">
        <f t="shared" si="4"/>
        <v>-0.56754939329520815</v>
      </c>
      <c r="W33" s="131">
        <f t="shared" si="5"/>
        <v>0.53692117008535167</v>
      </c>
      <c r="X33" s="128"/>
      <c r="Y33" s="128"/>
      <c r="Z33" s="128"/>
      <c r="AA33" s="128"/>
      <c r="AB33" s="128">
        <v>23</v>
      </c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</row>
    <row r="34" spans="1:39" s="132" customFormat="1" ht="13.2" x14ac:dyDescent="0.25">
      <c r="A34" s="128" t="s">
        <v>34</v>
      </c>
      <c r="B34" s="128" t="s">
        <v>35</v>
      </c>
      <c r="C34" s="128">
        <v>176.8</v>
      </c>
      <c r="D34" s="128">
        <v>162.5</v>
      </c>
      <c r="E34" s="128">
        <v>40</v>
      </c>
      <c r="F34" s="128">
        <v>34.4</v>
      </c>
      <c r="G34" s="128" t="s">
        <v>18</v>
      </c>
      <c r="H34" s="129">
        <f t="shared" si="0"/>
        <v>-0.44677926158680287</v>
      </c>
      <c r="I34" s="129">
        <f t="shared" si="1"/>
        <v>0.32113404020826208</v>
      </c>
      <c r="J34" s="128">
        <v>-7.0000000000000007E-2</v>
      </c>
      <c r="K34" s="128">
        <v>0.52</v>
      </c>
      <c r="L34" s="130">
        <v>0.56599999999999995</v>
      </c>
      <c r="M34" s="130">
        <v>0.67800000000000005</v>
      </c>
      <c r="N34" s="130">
        <v>0.61399999999999999</v>
      </c>
      <c r="O34" s="128"/>
      <c r="P34" s="130">
        <f t="shared" si="9"/>
        <v>0.6193333333333334</v>
      </c>
      <c r="Q34" s="131">
        <f>1/2.86</f>
        <v>0.34965034965034969</v>
      </c>
      <c r="R34" s="131">
        <f>1/2.78</f>
        <v>0.35971223021582738</v>
      </c>
      <c r="S34" s="128">
        <f>0.38/1</f>
        <v>0.38</v>
      </c>
      <c r="T34" s="128"/>
      <c r="U34" s="131">
        <f t="shared" si="10"/>
        <v>0.36312085995539239</v>
      </c>
      <c r="V34" s="129">
        <f t="shared" si="4"/>
        <v>-0.75117935154108739</v>
      </c>
      <c r="W34" s="131">
        <f t="shared" si="5"/>
        <v>0.62724435757634533</v>
      </c>
      <c r="X34" s="128"/>
      <c r="Y34" s="128"/>
      <c r="Z34" s="128"/>
      <c r="AA34" s="133" t="s">
        <v>103</v>
      </c>
      <c r="AB34" s="128">
        <v>25</v>
      </c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</row>
    <row r="35" spans="1:39" s="132" customFormat="1" ht="13.2" x14ac:dyDescent="0.25">
      <c r="A35" s="128" t="s">
        <v>41</v>
      </c>
      <c r="B35" s="128" t="s">
        <v>42</v>
      </c>
      <c r="C35" s="128">
        <v>176.3</v>
      </c>
      <c r="D35" s="133">
        <v>168.2</v>
      </c>
      <c r="E35" s="128">
        <v>35.799999999999997</v>
      </c>
      <c r="F35" s="128">
        <v>32.799999999999997</v>
      </c>
      <c r="G35" s="128" t="s">
        <v>18</v>
      </c>
      <c r="H35" s="129">
        <f t="shared" si="0"/>
        <v>-0.46245090337784761</v>
      </c>
      <c r="I35" s="129">
        <f t="shared" si="1"/>
        <v>0.33239843423402882</v>
      </c>
      <c r="J35" s="128">
        <v>-7.0000000000000007E-2</v>
      </c>
      <c r="K35" s="128">
        <v>0.52</v>
      </c>
      <c r="L35" s="130">
        <v>0.79500000000000004</v>
      </c>
      <c r="M35" s="130">
        <v>0.78400000000000003</v>
      </c>
      <c r="N35" s="128"/>
      <c r="O35" s="128"/>
      <c r="P35" s="130">
        <f t="shared" si="9"/>
        <v>0.78950000000000009</v>
      </c>
      <c r="Q35" s="128">
        <f>0.37/1</f>
        <v>0.37</v>
      </c>
      <c r="R35" s="128">
        <f>0.36/1</f>
        <v>0.36</v>
      </c>
      <c r="S35" s="128"/>
      <c r="T35" s="128"/>
      <c r="U35" s="131">
        <f t="shared" si="10"/>
        <v>0.36499999999999999</v>
      </c>
      <c r="V35" s="129">
        <f t="shared" si="4"/>
        <v>-0.74735187579228024</v>
      </c>
      <c r="W35" s="131">
        <f t="shared" si="5"/>
        <v>0.649246159657485</v>
      </c>
      <c r="X35" s="128"/>
      <c r="Y35" s="128"/>
      <c r="Z35" s="128"/>
      <c r="AA35" s="128"/>
      <c r="AB35" s="128">
        <v>31</v>
      </c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</row>
    <row r="36" spans="1:39" s="132" customFormat="1" ht="13.2" x14ac:dyDescent="0.25">
      <c r="A36" s="128" t="s">
        <v>44</v>
      </c>
      <c r="B36" s="128" t="s">
        <v>42</v>
      </c>
      <c r="C36" s="128">
        <v>176.3</v>
      </c>
      <c r="D36" s="133">
        <v>168.2</v>
      </c>
      <c r="E36" s="128">
        <v>35.799999999999997</v>
      </c>
      <c r="F36" s="128">
        <v>32.799999999999997</v>
      </c>
      <c r="G36" s="128" t="s">
        <v>22</v>
      </c>
      <c r="H36" s="129">
        <f t="shared" si="0"/>
        <v>-0.46245090337784761</v>
      </c>
      <c r="I36" s="129">
        <f t="shared" si="1"/>
        <v>0.48581309618819596</v>
      </c>
      <c r="J36" s="128">
        <v>-7.0000000000000007E-2</v>
      </c>
      <c r="K36" s="128">
        <v>0.76</v>
      </c>
      <c r="L36" s="130">
        <v>0.74299999999999999</v>
      </c>
      <c r="M36" s="130">
        <v>0.82699999999999996</v>
      </c>
      <c r="N36" s="128"/>
      <c r="O36" s="128"/>
      <c r="P36" s="130">
        <f t="shared" si="9"/>
        <v>0.78499999999999992</v>
      </c>
      <c r="Q36" s="131">
        <f>1/1.17</f>
        <v>0.85470085470085477</v>
      </c>
      <c r="R36" s="131">
        <f>1/1.2</f>
        <v>0.83333333333333337</v>
      </c>
      <c r="S36" s="128"/>
      <c r="T36" s="128"/>
      <c r="U36" s="131">
        <f t="shared" si="10"/>
        <v>0.84401709401709413</v>
      </c>
      <c r="V36" s="129">
        <f t="shared" si="4"/>
        <v>-0.1257496909661617</v>
      </c>
      <c r="W36" s="131">
        <f t="shared" si="5"/>
        <v>1.3806266853623839</v>
      </c>
      <c r="X36" s="128"/>
      <c r="Y36" s="128"/>
      <c r="Z36" s="128"/>
      <c r="AA36" s="128"/>
      <c r="AB36" s="128">
        <v>32</v>
      </c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</row>
    <row r="37" spans="1:39" s="132" customFormat="1" ht="13.2" x14ac:dyDescent="0.25">
      <c r="A37" s="127" t="s">
        <v>52</v>
      </c>
      <c r="B37" s="128" t="s">
        <v>48</v>
      </c>
      <c r="C37" s="128">
        <v>169.2</v>
      </c>
      <c r="D37" s="128">
        <v>163.30000000000001</v>
      </c>
      <c r="E37" s="128">
        <v>32</v>
      </c>
      <c r="F37" s="128">
        <v>30.2</v>
      </c>
      <c r="G37" s="128" t="s">
        <v>27</v>
      </c>
      <c r="H37" s="129">
        <f t="shared" si="0"/>
        <v>0.38483896307934012</v>
      </c>
      <c r="I37" s="129">
        <f t="shared" si="1"/>
        <v>0.35374529700148216</v>
      </c>
      <c r="J37" s="128">
        <v>0.06</v>
      </c>
      <c r="K37" s="128">
        <v>0.56999999999999995</v>
      </c>
      <c r="L37" s="130">
        <v>0.41199999999999998</v>
      </c>
      <c r="M37" s="130">
        <v>0.49199999999999999</v>
      </c>
      <c r="N37" s="128"/>
      <c r="O37" s="128"/>
      <c r="P37" s="130">
        <f t="shared" si="9"/>
        <v>0.45199999999999996</v>
      </c>
      <c r="Q37" s="131">
        <f>2.54/1</f>
        <v>2.54</v>
      </c>
      <c r="R37" s="131">
        <f>2.54/1</f>
        <v>2.54</v>
      </c>
      <c r="S37" s="128"/>
      <c r="T37" s="128"/>
      <c r="U37" s="131">
        <f t="shared" si="10"/>
        <v>2.54</v>
      </c>
      <c r="V37" s="129">
        <f t="shared" si="4"/>
        <v>0.6912229957690178</v>
      </c>
      <c r="W37" s="131">
        <f t="shared" si="5"/>
        <v>2.4648495780983879</v>
      </c>
      <c r="X37" s="128"/>
      <c r="Y37" s="128"/>
      <c r="Z37" s="128"/>
      <c r="AA37" s="128"/>
      <c r="AB37" s="128">
        <v>35</v>
      </c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</row>
    <row r="38" spans="1:39" s="132" customFormat="1" ht="13.2" x14ac:dyDescent="0.25">
      <c r="A38" s="128" t="s">
        <v>63</v>
      </c>
      <c r="B38" s="128" t="s">
        <v>61</v>
      </c>
      <c r="C38" s="128">
        <v>142.30000000000001</v>
      </c>
      <c r="D38" s="128">
        <v>139.1</v>
      </c>
      <c r="E38" s="128">
        <v>25.7</v>
      </c>
      <c r="F38" s="128">
        <v>25.7</v>
      </c>
      <c r="G38" s="128" t="s">
        <v>22</v>
      </c>
      <c r="H38" s="129">
        <f t="shared" si="0"/>
        <v>-0.38244304791830319</v>
      </c>
      <c r="I38" s="129">
        <f t="shared" si="1"/>
        <v>0.40176338691901342</v>
      </c>
      <c r="J38" s="128">
        <v>-7.0000000000000007E-2</v>
      </c>
      <c r="K38" s="128">
        <v>0.76</v>
      </c>
      <c r="L38" s="130">
        <v>0.53500000000000003</v>
      </c>
      <c r="M38" s="130">
        <v>0.49099999999999999</v>
      </c>
      <c r="N38" s="128"/>
      <c r="O38" s="128"/>
      <c r="P38" s="130">
        <f t="shared" si="9"/>
        <v>0.51300000000000001</v>
      </c>
      <c r="Q38" s="131">
        <f>1/1.74</f>
        <v>0.57471264367816088</v>
      </c>
      <c r="R38" s="131">
        <f>1/1.75</f>
        <v>0.5714285714285714</v>
      </c>
      <c r="S38" s="128"/>
      <c r="T38" s="128"/>
      <c r="U38" s="131">
        <f t="shared" si="10"/>
        <v>0.57307060755336614</v>
      </c>
      <c r="V38" s="129">
        <f t="shared" si="4"/>
        <v>-0.41284134913213522</v>
      </c>
      <c r="W38" s="131">
        <f t="shared" si="5"/>
        <v>1.1417667772527205</v>
      </c>
      <c r="X38" s="128"/>
      <c r="Y38" s="128"/>
      <c r="Z38" s="128"/>
      <c r="AA38" s="128"/>
      <c r="AB38" s="128">
        <v>36</v>
      </c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</row>
    <row r="39" spans="1:39" s="132" customFormat="1" ht="13.2" x14ac:dyDescent="0.25">
      <c r="A39" s="128" t="s">
        <v>64</v>
      </c>
      <c r="B39" s="128" t="s">
        <v>61</v>
      </c>
      <c r="C39" s="128">
        <v>142.30000000000001</v>
      </c>
      <c r="D39" s="128">
        <v>139.1</v>
      </c>
      <c r="E39" s="128">
        <v>25.7</v>
      </c>
      <c r="F39" s="128">
        <v>25.7</v>
      </c>
      <c r="G39" s="128" t="s">
        <v>26</v>
      </c>
      <c r="H39" s="129">
        <f t="shared" si="0"/>
        <v>0.65561665357423404</v>
      </c>
      <c r="I39" s="129">
        <f t="shared" si="1"/>
        <v>0.19030897275111158</v>
      </c>
      <c r="J39" s="128">
        <v>0.12</v>
      </c>
      <c r="K39" s="128">
        <v>0.36</v>
      </c>
      <c r="L39" s="130">
        <v>0.373</v>
      </c>
      <c r="M39" s="130">
        <v>0.28799999999999998</v>
      </c>
      <c r="N39" s="128"/>
      <c r="O39" s="128"/>
      <c r="P39" s="130">
        <f t="shared" si="9"/>
        <v>0.33050000000000002</v>
      </c>
      <c r="Q39" s="128">
        <f>6.12/1</f>
        <v>6.12</v>
      </c>
      <c r="R39" s="128">
        <f>6.14/1</f>
        <v>6.14</v>
      </c>
      <c r="S39" s="128"/>
      <c r="T39" s="128"/>
      <c r="U39" s="131">
        <f t="shared" si="10"/>
        <v>6.13</v>
      </c>
      <c r="V39" s="129">
        <f t="shared" si="4"/>
        <v>1.3445292867177749</v>
      </c>
      <c r="W39" s="131">
        <f t="shared" si="5"/>
        <v>2.2334015172263912</v>
      </c>
      <c r="X39" s="128"/>
      <c r="Y39" s="128"/>
      <c r="Z39" s="128"/>
      <c r="AA39" s="128"/>
      <c r="AB39" s="128">
        <v>37</v>
      </c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</row>
    <row r="40" spans="1:39" s="132" customFormat="1" ht="13.2" x14ac:dyDescent="0.25">
      <c r="A40" s="127" t="s">
        <v>73</v>
      </c>
      <c r="B40" s="128" t="s">
        <v>48</v>
      </c>
      <c r="C40" s="128">
        <v>169.2</v>
      </c>
      <c r="D40" s="128">
        <v>163.30000000000001</v>
      </c>
      <c r="E40" s="128">
        <v>32</v>
      </c>
      <c r="F40" s="128">
        <v>30.2</v>
      </c>
      <c r="G40" s="128" t="s">
        <v>24</v>
      </c>
      <c r="H40" s="129">
        <f t="shared" si="0"/>
        <v>-0.6413982717989003</v>
      </c>
      <c r="I40" s="129">
        <f t="shared" si="1"/>
        <v>0.76955117242427706</v>
      </c>
      <c r="J40" s="128">
        <v>-0.1</v>
      </c>
      <c r="K40" s="128">
        <v>1.24</v>
      </c>
      <c r="L40" s="134">
        <v>0.19800000000000001</v>
      </c>
      <c r="M40" s="134">
        <v>0.22900000000000001</v>
      </c>
      <c r="N40" s="134"/>
      <c r="O40" s="134"/>
      <c r="P40" s="134">
        <f>AVERAGE(L40:O40)</f>
        <v>0.21350000000000002</v>
      </c>
      <c r="Q40" s="128">
        <v>3.26</v>
      </c>
      <c r="R40" s="128">
        <v>3.22</v>
      </c>
      <c r="S40" s="128"/>
      <c r="T40" s="128"/>
      <c r="U40" s="131">
        <f>AVERAGE(Q40:T40)</f>
        <v>3.24</v>
      </c>
      <c r="V40" s="129">
        <f t="shared" si="4"/>
        <v>0.87171704564628627</v>
      </c>
      <c r="W40" s="131">
        <f t="shared" si="5"/>
        <v>2.3713422426626618</v>
      </c>
      <c r="X40" s="128"/>
      <c r="Y40" s="128"/>
      <c r="Z40" s="128"/>
      <c r="AA40" s="128"/>
      <c r="AB40" s="128">
        <v>39</v>
      </c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</row>
    <row r="41" spans="1:39" s="132" customFormat="1" ht="13.2" x14ac:dyDescent="0.25">
      <c r="A41" s="127" t="s">
        <v>49</v>
      </c>
      <c r="B41" s="128" t="s">
        <v>48</v>
      </c>
      <c r="C41" s="128">
        <v>169.2</v>
      </c>
      <c r="D41" s="128">
        <v>163.30000000000001</v>
      </c>
      <c r="E41" s="128">
        <v>32</v>
      </c>
      <c r="F41" s="128">
        <v>30.2</v>
      </c>
      <c r="G41" s="128" t="s">
        <v>20</v>
      </c>
      <c r="H41" s="129">
        <f t="shared" si="0"/>
        <v>-0.44897879025923026</v>
      </c>
      <c r="I41" s="129">
        <f t="shared" si="1"/>
        <v>0.34753923915935098</v>
      </c>
      <c r="J41" s="128">
        <v>-7.0000000000000007E-2</v>
      </c>
      <c r="K41" s="128">
        <v>0.56000000000000005</v>
      </c>
      <c r="L41" s="130">
        <v>0.73</v>
      </c>
      <c r="M41" s="130">
        <v>0.69499999999999995</v>
      </c>
      <c r="N41" s="128"/>
      <c r="O41" s="128"/>
      <c r="P41" s="130">
        <f>AVERAGE(L41:N41)</f>
        <v>0.71249999999999991</v>
      </c>
      <c r="Q41" s="131">
        <f>1/1.01</f>
        <v>0.99009900990099009</v>
      </c>
      <c r="R41" s="131">
        <f>1/1.1</f>
        <v>0.90909090909090906</v>
      </c>
      <c r="S41" s="128"/>
      <c r="T41" s="128"/>
      <c r="U41" s="131">
        <f>AVERAGE(Q41:S41)</f>
        <v>0.94959495949594963</v>
      </c>
      <c r="V41" s="129">
        <f t="shared" si="4"/>
        <v>-3.8351484388420377E-2</v>
      </c>
      <c r="W41" s="131">
        <f t="shared" si="5"/>
        <v>0.74867798957591547</v>
      </c>
      <c r="X41" s="128"/>
      <c r="Y41" s="128"/>
      <c r="Z41" s="128"/>
      <c r="AA41" s="128"/>
      <c r="AB41" s="128">
        <v>40</v>
      </c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</row>
    <row r="42" spans="1:39" s="132" customFormat="1" ht="13.2" x14ac:dyDescent="0.25">
      <c r="A42" s="128" t="s">
        <v>45</v>
      </c>
      <c r="B42" s="128" t="s">
        <v>42</v>
      </c>
      <c r="C42" s="128">
        <v>176.3</v>
      </c>
      <c r="D42" s="133">
        <v>168.2</v>
      </c>
      <c r="E42" s="128">
        <v>35.799999999999997</v>
      </c>
      <c r="F42" s="128">
        <v>32.799999999999997</v>
      </c>
      <c r="G42" s="128" t="s">
        <v>24</v>
      </c>
      <c r="H42" s="129">
        <f t="shared" si="0"/>
        <v>-0.66064414768263946</v>
      </c>
      <c r="I42" s="129">
        <f t="shared" si="1"/>
        <v>0.79264242009653019</v>
      </c>
      <c r="J42" s="128">
        <v>-0.1</v>
      </c>
      <c r="K42" s="128">
        <v>1.24</v>
      </c>
      <c r="L42" s="130">
        <v>0.90600000000000003</v>
      </c>
      <c r="M42" s="130">
        <v>0.86599999999999999</v>
      </c>
      <c r="N42" s="128"/>
      <c r="O42" s="128"/>
      <c r="P42" s="130">
        <f>AVERAGE(L42:N42)</f>
        <v>0.88600000000000001</v>
      </c>
      <c r="Q42" s="131">
        <f>7.69/1</f>
        <v>7.69</v>
      </c>
      <c r="R42" s="131">
        <f>7.69/1</f>
        <v>7.69</v>
      </c>
      <c r="S42" s="128"/>
      <c r="T42" s="128"/>
      <c r="U42" s="131">
        <f>AVERAGE(Q42:S42)</f>
        <v>7.69</v>
      </c>
      <c r="V42" s="129">
        <f t="shared" si="4"/>
        <v>1.5126523149827651</v>
      </c>
      <c r="W42" s="131">
        <f t="shared" si="5"/>
        <v>2.4424970313279828</v>
      </c>
      <c r="X42" s="128"/>
      <c r="Y42" s="128"/>
      <c r="Z42" s="128"/>
      <c r="AA42" s="128"/>
      <c r="AB42" s="128">
        <v>41</v>
      </c>
      <c r="AC42" s="128"/>
      <c r="AD42" s="128"/>
      <c r="AE42" s="128"/>
      <c r="AF42" s="128"/>
      <c r="AG42" s="128"/>
      <c r="AH42" s="128"/>
      <c r="AI42" s="128"/>
      <c r="AJ42" s="128"/>
      <c r="AK42" s="128"/>
      <c r="AL42" s="128"/>
      <c r="AM42" s="128"/>
    </row>
    <row r="43" spans="1:39" s="132" customFormat="1" ht="13.2" x14ac:dyDescent="0.25">
      <c r="A43" s="128" t="s">
        <v>62</v>
      </c>
      <c r="B43" s="128" t="s">
        <v>61</v>
      </c>
      <c r="C43" s="128">
        <v>142.30000000000001</v>
      </c>
      <c r="D43" s="128">
        <v>139.1</v>
      </c>
      <c r="E43" s="128">
        <v>25.7</v>
      </c>
      <c r="F43" s="128">
        <v>25.7</v>
      </c>
      <c r="G43" s="128" t="s">
        <v>20</v>
      </c>
      <c r="H43" s="129">
        <f t="shared" si="0"/>
        <v>-0.38244304791830319</v>
      </c>
      <c r="I43" s="129">
        <f t="shared" si="1"/>
        <v>0.29603617983506253</v>
      </c>
      <c r="J43" s="128">
        <v>-7.0000000000000007E-2</v>
      </c>
      <c r="K43" s="128">
        <v>0.56000000000000005</v>
      </c>
      <c r="L43" s="130">
        <v>0.42199999999999999</v>
      </c>
      <c r="M43" s="130">
        <v>0.40300000000000002</v>
      </c>
      <c r="N43" s="128"/>
      <c r="O43" s="128"/>
      <c r="P43" s="130">
        <f>AVERAGE(L43:N43)</f>
        <v>0.41249999999999998</v>
      </c>
      <c r="Q43" s="131">
        <f>1/2.01</f>
        <v>0.49751243781094534</v>
      </c>
      <c r="R43" s="131">
        <f>1/2</f>
        <v>0.5</v>
      </c>
      <c r="S43" s="128"/>
      <c r="T43" s="128"/>
      <c r="U43" s="131">
        <f>AVERAGE(Q43:S43)</f>
        <v>0.49875621890547267</v>
      </c>
      <c r="V43" s="129">
        <f t="shared" si="4"/>
        <v>-0.51583286978596632</v>
      </c>
      <c r="W43" s="131">
        <f t="shared" si="5"/>
        <v>0.63772877127991323</v>
      </c>
      <c r="X43" s="128"/>
      <c r="Y43" s="128"/>
      <c r="Z43" s="128"/>
      <c r="AA43" s="128"/>
      <c r="AB43" s="128">
        <v>44</v>
      </c>
      <c r="AC43" s="128"/>
      <c r="AD43" s="128"/>
      <c r="AE43" s="128"/>
      <c r="AF43" s="128"/>
      <c r="AG43" s="128"/>
      <c r="AH43" s="128"/>
      <c r="AI43" s="128"/>
      <c r="AJ43" s="128"/>
      <c r="AK43" s="128"/>
      <c r="AL43" s="128"/>
      <c r="AM43" s="128"/>
    </row>
    <row r="44" spans="1:39" s="132" customFormat="1" ht="13.2" x14ac:dyDescent="0.25">
      <c r="A44" s="127" t="s">
        <v>39</v>
      </c>
      <c r="B44" s="128" t="s">
        <v>35</v>
      </c>
      <c r="C44" s="128">
        <v>176.8</v>
      </c>
      <c r="D44" s="128">
        <v>162.5</v>
      </c>
      <c r="E44" s="128">
        <v>40</v>
      </c>
      <c r="F44" s="128">
        <v>34.4</v>
      </c>
      <c r="G44" s="128" t="s">
        <v>26</v>
      </c>
      <c r="H44" s="129">
        <f t="shared" si="0"/>
        <v>0.7659073055773763</v>
      </c>
      <c r="I44" s="129">
        <f t="shared" si="1"/>
        <v>0.2223235662980276</v>
      </c>
      <c r="J44" s="128">
        <v>0.12</v>
      </c>
      <c r="K44" s="128">
        <v>0.36</v>
      </c>
      <c r="L44" s="130">
        <v>0.54600000000000004</v>
      </c>
      <c r="M44" s="130">
        <v>0.47899999999999998</v>
      </c>
      <c r="N44" s="130">
        <v>0.433</v>
      </c>
      <c r="O44" s="128"/>
      <c r="P44" s="130">
        <f>AVERAGE(L44:N44)</f>
        <v>0.48599999999999999</v>
      </c>
      <c r="Q44" s="128">
        <f>8.84/1</f>
        <v>8.84</v>
      </c>
      <c r="R44" s="128">
        <f>9.2/1</f>
        <v>9.1999999999999993</v>
      </c>
      <c r="S44" s="128">
        <f>9.01/1</f>
        <v>9.01</v>
      </c>
      <c r="T44" s="128"/>
      <c r="U44" s="131">
        <f>AVERAGE(Q44:S44)</f>
        <v>9.0166666666666657</v>
      </c>
      <c r="V44" s="129">
        <f t="shared" si="4"/>
        <v>1.6306689395977298</v>
      </c>
      <c r="W44" s="131">
        <f t="shared" si="5"/>
        <v>2.609113921993448</v>
      </c>
      <c r="X44" s="128"/>
      <c r="Y44" s="128"/>
      <c r="Z44" s="128"/>
      <c r="AA44" s="128"/>
      <c r="AB44" s="128">
        <v>45</v>
      </c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</row>
  </sheetData>
  <autoFilter ref="AB1:AB27" xr:uid="{00000000-0001-0000-0100-000000000000}"/>
  <sortState xmlns:xlrd2="http://schemas.microsoft.com/office/spreadsheetml/2017/richdata2" ref="A2:AM22">
    <sortCondition ref="AB2:AB2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BA847-6246-47A9-BD83-3FCB84FD49BC}">
  <dimension ref="A1:I19"/>
  <sheetViews>
    <sheetView workbookViewId="0">
      <selection activeCell="B19" sqref="B19"/>
    </sheetView>
  </sheetViews>
  <sheetFormatPr defaultRowHeight="13.2" x14ac:dyDescent="0.25"/>
  <sheetData>
    <row r="1" spans="1:9" x14ac:dyDescent="0.25">
      <c r="A1" t="s">
        <v>74</v>
      </c>
    </row>
    <row r="2" spans="1:9" ht="13.8" thickBot="1" x14ac:dyDescent="0.3"/>
    <row r="3" spans="1:9" x14ac:dyDescent="0.25">
      <c r="A3" s="34" t="s">
        <v>75</v>
      </c>
      <c r="B3" s="34"/>
    </row>
    <row r="4" spans="1:9" x14ac:dyDescent="0.25">
      <c r="A4" t="s">
        <v>76</v>
      </c>
      <c r="B4">
        <v>0.95402939018259281</v>
      </c>
    </row>
    <row r="5" spans="1:9" x14ac:dyDescent="0.25">
      <c r="A5" t="s">
        <v>77</v>
      </c>
      <c r="B5">
        <v>0.91017207733216987</v>
      </c>
    </row>
    <row r="6" spans="1:9" x14ac:dyDescent="0.25">
      <c r="A6" t="s">
        <v>78</v>
      </c>
      <c r="B6">
        <v>0.90503905317972233</v>
      </c>
    </row>
    <row r="7" spans="1:9" x14ac:dyDescent="0.25">
      <c r="A7" t="s">
        <v>79</v>
      </c>
      <c r="B7">
        <v>0.27499139541510803</v>
      </c>
    </row>
    <row r="8" spans="1:9" ht="13.8" thickBot="1" x14ac:dyDescent="0.3">
      <c r="A8" s="32" t="s">
        <v>80</v>
      </c>
      <c r="B8" s="32">
        <v>38</v>
      </c>
    </row>
    <row r="10" spans="1:9" ht="13.8" thickBot="1" x14ac:dyDescent="0.3">
      <c r="A10" t="s">
        <v>81</v>
      </c>
    </row>
    <row r="11" spans="1:9" x14ac:dyDescent="0.25">
      <c r="A11" s="33"/>
      <c r="B11" s="33" t="s">
        <v>86</v>
      </c>
      <c r="C11" s="33" t="s">
        <v>87</v>
      </c>
      <c r="D11" s="33" t="s">
        <v>88</v>
      </c>
      <c r="E11" s="33" t="s">
        <v>89</v>
      </c>
      <c r="F11" s="33" t="s">
        <v>90</v>
      </c>
    </row>
    <row r="12" spans="1:9" x14ac:dyDescent="0.25">
      <c r="A12" t="s">
        <v>82</v>
      </c>
      <c r="B12">
        <v>2</v>
      </c>
      <c r="C12">
        <v>26.817507170200379</v>
      </c>
      <c r="D12">
        <v>13.40875358510019</v>
      </c>
      <c r="E12">
        <v>177.31692863712695</v>
      </c>
      <c r="F12">
        <v>4.8383662235487072E-19</v>
      </c>
    </row>
    <row r="13" spans="1:9" x14ac:dyDescent="0.25">
      <c r="A13" t="s">
        <v>83</v>
      </c>
      <c r="B13">
        <v>35</v>
      </c>
      <c r="C13">
        <v>2.6467093643321906</v>
      </c>
      <c r="D13">
        <v>7.5620267552348297E-2</v>
      </c>
    </row>
    <row r="14" spans="1:9" ht="13.8" thickBot="1" x14ac:dyDescent="0.3">
      <c r="A14" s="32" t="s">
        <v>84</v>
      </c>
      <c r="B14" s="32">
        <v>37</v>
      </c>
      <c r="C14" s="32">
        <v>29.464216534532568</v>
      </c>
      <c r="D14" s="32"/>
      <c r="E14" s="32"/>
      <c r="F14" s="32"/>
    </row>
    <row r="15" spans="1:9" ht="13.8" thickBot="1" x14ac:dyDescent="0.3"/>
    <row r="16" spans="1:9" x14ac:dyDescent="0.25">
      <c r="A16" s="33"/>
      <c r="B16" s="33" t="s">
        <v>91</v>
      </c>
      <c r="C16" s="33" t="s">
        <v>79</v>
      </c>
      <c r="D16" s="33" t="s">
        <v>92</v>
      </c>
      <c r="E16" s="33" t="s">
        <v>93</v>
      </c>
      <c r="F16" s="33" t="s">
        <v>94</v>
      </c>
      <c r="G16" s="33" t="s">
        <v>95</v>
      </c>
      <c r="H16" s="33" t="s">
        <v>96</v>
      </c>
      <c r="I16" s="33" t="s">
        <v>97</v>
      </c>
    </row>
    <row r="17" spans="1:9" x14ac:dyDescent="0.25">
      <c r="A17" t="s">
        <v>85</v>
      </c>
      <c r="B17">
        <v>-1.3072975811860759</v>
      </c>
      <c r="C17">
        <v>0.12329689613831886</v>
      </c>
      <c r="D17">
        <v>-10.602842586722563</v>
      </c>
      <c r="E17">
        <v>1.792733020576984E-12</v>
      </c>
      <c r="F17">
        <v>-1.5576035875651362</v>
      </c>
      <c r="G17">
        <v>-1.0569915748070156</v>
      </c>
      <c r="H17">
        <v>-1.5576035875651362</v>
      </c>
      <c r="I17">
        <v>-1.0569915748070156</v>
      </c>
    </row>
    <row r="18" spans="1:9" x14ac:dyDescent="0.25">
      <c r="A18" t="s">
        <v>101</v>
      </c>
      <c r="B18">
        <v>1.95886755305245</v>
      </c>
      <c r="C18">
        <v>0.10805596770671513</v>
      </c>
      <c r="D18">
        <v>18.128268106109545</v>
      </c>
      <c r="E18">
        <v>2.2756147339156024E-19</v>
      </c>
      <c r="F18">
        <v>1.7395022763162813</v>
      </c>
      <c r="G18">
        <v>2.1782328297886124</v>
      </c>
      <c r="H18">
        <v>1.7395022763162813</v>
      </c>
      <c r="I18">
        <v>2.1782328297886124</v>
      </c>
    </row>
    <row r="19" spans="1:9" ht="13.8" thickBot="1" x14ac:dyDescent="0.3">
      <c r="A19" s="32" t="s">
        <v>102</v>
      </c>
      <c r="B19" s="32">
        <v>4.6741528993880497</v>
      </c>
      <c r="C19" s="32">
        <v>0.30047112169653178</v>
      </c>
      <c r="D19" s="32">
        <v>15.556080308139654</v>
      </c>
      <c r="E19" s="32">
        <v>2.706945448757211E-17</v>
      </c>
      <c r="F19" s="32">
        <v>4.064164093021648</v>
      </c>
      <c r="G19" s="32">
        <v>5.2841417057544549</v>
      </c>
      <c r="H19" s="32">
        <v>4.064164093021648</v>
      </c>
      <c r="I19" s="32">
        <v>5.2841417057544549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9D62D-CC82-4D32-9ABF-847B1F233FAD}">
  <dimension ref="A1:I19"/>
  <sheetViews>
    <sheetView workbookViewId="0">
      <selection activeCell="B20" sqref="B20"/>
    </sheetView>
  </sheetViews>
  <sheetFormatPr defaultRowHeight="13.2" x14ac:dyDescent="0.25"/>
  <sheetData>
    <row r="1" spans="1:9" x14ac:dyDescent="0.25">
      <c r="A1" t="s">
        <v>74</v>
      </c>
    </row>
    <row r="2" spans="1:9" ht="13.8" thickBot="1" x14ac:dyDescent="0.3"/>
    <row r="3" spans="1:9" x14ac:dyDescent="0.25">
      <c r="A3" s="34" t="s">
        <v>75</v>
      </c>
      <c r="B3" s="34"/>
    </row>
    <row r="4" spans="1:9" x14ac:dyDescent="0.25">
      <c r="A4" t="s">
        <v>76</v>
      </c>
      <c r="B4">
        <v>0.95114567636609682</v>
      </c>
    </row>
    <row r="5" spans="1:9" x14ac:dyDescent="0.25">
      <c r="A5" t="s">
        <v>77</v>
      </c>
      <c r="B5">
        <v>0.90467809766991969</v>
      </c>
    </row>
    <row r="6" spans="1:9" x14ac:dyDescent="0.25">
      <c r="A6" t="s">
        <v>78</v>
      </c>
      <c r="B6">
        <v>0.8992311318224866</v>
      </c>
    </row>
    <row r="7" spans="1:9" x14ac:dyDescent="0.25">
      <c r="A7" t="s">
        <v>79</v>
      </c>
      <c r="B7">
        <v>0.28273216670449924</v>
      </c>
    </row>
    <row r="8" spans="1:9" ht="13.8" thickBot="1" x14ac:dyDescent="0.3">
      <c r="A8" s="32" t="s">
        <v>80</v>
      </c>
      <c r="B8" s="32">
        <v>38</v>
      </c>
    </row>
    <row r="10" spans="1:9" ht="13.8" thickBot="1" x14ac:dyDescent="0.3">
      <c r="A10" t="s">
        <v>81</v>
      </c>
    </row>
    <row r="11" spans="1:9" x14ac:dyDescent="0.25">
      <c r="A11" s="33"/>
      <c r="B11" s="33" t="s">
        <v>86</v>
      </c>
      <c r="C11" s="33" t="s">
        <v>87</v>
      </c>
      <c r="D11" s="33" t="s">
        <v>88</v>
      </c>
      <c r="E11" s="33" t="s">
        <v>89</v>
      </c>
      <c r="F11" s="33" t="s">
        <v>90</v>
      </c>
    </row>
    <row r="12" spans="1:9" x14ac:dyDescent="0.25">
      <c r="A12" t="s">
        <v>82</v>
      </c>
      <c r="B12">
        <v>2</v>
      </c>
      <c r="C12">
        <v>26.553383162682113</v>
      </c>
      <c r="D12">
        <v>13.276691581341057</v>
      </c>
      <c r="E12">
        <v>166.08844685454432</v>
      </c>
      <c r="F12">
        <v>1.3673266116316632E-18</v>
      </c>
    </row>
    <row r="13" spans="1:9" x14ac:dyDescent="0.25">
      <c r="A13" t="s">
        <v>83</v>
      </c>
      <c r="B13">
        <v>35</v>
      </c>
      <c r="C13">
        <v>2.7978117331297261</v>
      </c>
      <c r="D13">
        <v>7.9937478089420741E-2</v>
      </c>
    </row>
    <row r="14" spans="1:9" ht="13.8" thickBot="1" x14ac:dyDescent="0.3">
      <c r="A14" s="32" t="s">
        <v>84</v>
      </c>
      <c r="B14" s="32">
        <v>37</v>
      </c>
      <c r="C14" s="32">
        <v>29.35119489581184</v>
      </c>
      <c r="D14" s="32"/>
      <c r="E14" s="32"/>
      <c r="F14" s="32"/>
    </row>
    <row r="15" spans="1:9" ht="13.8" thickBot="1" x14ac:dyDescent="0.3"/>
    <row r="16" spans="1:9" x14ac:dyDescent="0.25">
      <c r="A16" s="33"/>
      <c r="B16" s="33" t="s">
        <v>91</v>
      </c>
      <c r="C16" s="33" t="s">
        <v>79</v>
      </c>
      <c r="D16" s="33" t="s">
        <v>92</v>
      </c>
      <c r="E16" s="33" t="s">
        <v>93</v>
      </c>
      <c r="F16" s="33" t="s">
        <v>94</v>
      </c>
      <c r="G16" s="33" t="s">
        <v>95</v>
      </c>
      <c r="H16" s="33" t="s">
        <v>96</v>
      </c>
      <c r="I16" s="33" t="s">
        <v>97</v>
      </c>
    </row>
    <row r="17" spans="1:9" x14ac:dyDescent="0.25">
      <c r="A17" t="s">
        <v>85</v>
      </c>
      <c r="B17">
        <v>-1.2965392284264967</v>
      </c>
      <c r="C17">
        <v>0.12699474138810574</v>
      </c>
      <c r="D17">
        <v>-10.209393036709864</v>
      </c>
      <c r="E17">
        <v>4.915708065427559E-12</v>
      </c>
      <c r="F17">
        <v>-1.5543522597645922</v>
      </c>
      <c r="G17">
        <v>-1.0387261970884012</v>
      </c>
      <c r="H17">
        <v>-1.5543522597645922</v>
      </c>
      <c r="I17">
        <v>-1.0387261970884012</v>
      </c>
    </row>
    <row r="18" spans="1:9" x14ac:dyDescent="0.25">
      <c r="A18" t="s">
        <v>101</v>
      </c>
      <c r="B18">
        <v>1.9492905256691599</v>
      </c>
      <c r="C18">
        <v>0.1110256895110603</v>
      </c>
      <c r="D18">
        <v>17.557112540832058</v>
      </c>
      <c r="E18">
        <v>6.2631405081153874E-19</v>
      </c>
      <c r="F18">
        <v>1.7238963931532985</v>
      </c>
      <c r="G18">
        <v>2.1746846581850274</v>
      </c>
      <c r="H18">
        <v>1.7238963931532985</v>
      </c>
      <c r="I18">
        <v>2.1746846581850274</v>
      </c>
    </row>
    <row r="19" spans="1:9" ht="13.8" thickBot="1" x14ac:dyDescent="0.3">
      <c r="A19" s="32" t="s">
        <v>102</v>
      </c>
      <c r="B19" s="32">
        <v>4.6485450875174603</v>
      </c>
      <c r="C19" s="32">
        <v>0.30926218291730406</v>
      </c>
      <c r="D19" s="32">
        <v>15.031081536278473</v>
      </c>
      <c r="E19" s="32">
        <v>7.7303531621927578E-17</v>
      </c>
      <c r="F19" s="32">
        <v>4.0207094780690378</v>
      </c>
      <c r="G19" s="32">
        <v>5.2763806969658917</v>
      </c>
      <c r="H19" s="32">
        <v>4.0207094780690378</v>
      </c>
      <c r="I19" s="32">
        <v>5.2763806969658917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DB5D-54D9-43BF-A473-53DF435BF3D8}">
  <dimension ref="A1:I19"/>
  <sheetViews>
    <sheetView workbookViewId="0">
      <selection activeCell="B19" sqref="B19"/>
    </sheetView>
  </sheetViews>
  <sheetFormatPr defaultRowHeight="13.2" x14ac:dyDescent="0.25"/>
  <sheetData>
    <row r="1" spans="1:9" x14ac:dyDescent="0.25">
      <c r="A1" t="s">
        <v>74</v>
      </c>
    </row>
    <row r="2" spans="1:9" ht="13.8" thickBot="1" x14ac:dyDescent="0.3"/>
    <row r="3" spans="1:9" x14ac:dyDescent="0.25">
      <c r="A3" s="34" t="s">
        <v>75</v>
      </c>
      <c r="B3" s="34"/>
    </row>
    <row r="4" spans="1:9" x14ac:dyDescent="0.25">
      <c r="A4" t="s">
        <v>76</v>
      </c>
      <c r="B4">
        <v>0.94820473949462991</v>
      </c>
    </row>
    <row r="5" spans="1:9" x14ac:dyDescent="0.25">
      <c r="A5" t="s">
        <v>77</v>
      </c>
      <c r="B5">
        <v>0.89909222800007904</v>
      </c>
    </row>
    <row r="6" spans="1:9" x14ac:dyDescent="0.25">
      <c r="A6" t="s">
        <v>78</v>
      </c>
      <c r="B6">
        <v>0.89315647670596598</v>
      </c>
    </row>
    <row r="7" spans="1:9" x14ac:dyDescent="0.25">
      <c r="A7" t="s">
        <v>79</v>
      </c>
      <c r="B7">
        <v>0.29437358683017395</v>
      </c>
    </row>
    <row r="8" spans="1:9" ht="13.8" thickBot="1" x14ac:dyDescent="0.3">
      <c r="A8" s="32" t="s">
        <v>80</v>
      </c>
      <c r="B8" s="32">
        <v>37</v>
      </c>
    </row>
    <row r="10" spans="1:9" ht="13.8" thickBot="1" x14ac:dyDescent="0.3">
      <c r="A10" t="s">
        <v>81</v>
      </c>
    </row>
    <row r="11" spans="1:9" x14ac:dyDescent="0.25">
      <c r="A11" s="33"/>
      <c r="B11" s="33" t="s">
        <v>86</v>
      </c>
      <c r="C11" s="33" t="s">
        <v>87</v>
      </c>
      <c r="D11" s="33" t="s">
        <v>88</v>
      </c>
      <c r="E11" s="33" t="s">
        <v>89</v>
      </c>
      <c r="F11" s="33" t="s">
        <v>90</v>
      </c>
    </row>
    <row r="12" spans="1:9" x14ac:dyDescent="0.25">
      <c r="A12" t="s">
        <v>82</v>
      </c>
      <c r="B12">
        <v>2</v>
      </c>
      <c r="C12">
        <v>26.251626856909859</v>
      </c>
      <c r="D12">
        <v>13.125813428454929</v>
      </c>
      <c r="E12">
        <v>151.47067042579559</v>
      </c>
      <c r="F12">
        <v>1.1660535437748004E-17</v>
      </c>
    </row>
    <row r="13" spans="1:9" x14ac:dyDescent="0.25">
      <c r="A13" t="s">
        <v>83</v>
      </c>
      <c r="B13">
        <v>34</v>
      </c>
      <c r="C13">
        <v>2.9462974931909072</v>
      </c>
      <c r="D13">
        <v>8.6655808623261971E-2</v>
      </c>
    </row>
    <row r="14" spans="1:9" ht="13.8" thickBot="1" x14ac:dyDescent="0.3">
      <c r="A14" s="32" t="s">
        <v>84</v>
      </c>
      <c r="B14" s="32">
        <v>36</v>
      </c>
      <c r="C14" s="32">
        <v>29.197924350100767</v>
      </c>
      <c r="D14" s="32"/>
      <c r="E14" s="32"/>
      <c r="F14" s="32"/>
    </row>
    <row r="15" spans="1:9" ht="13.8" thickBot="1" x14ac:dyDescent="0.3"/>
    <row r="16" spans="1:9" x14ac:dyDescent="0.25">
      <c r="A16" s="33"/>
      <c r="B16" s="33" t="s">
        <v>91</v>
      </c>
      <c r="C16" s="33" t="s">
        <v>79</v>
      </c>
      <c r="D16" s="33" t="s">
        <v>92</v>
      </c>
      <c r="E16" s="33" t="s">
        <v>93</v>
      </c>
      <c r="F16" s="33" t="s">
        <v>94</v>
      </c>
      <c r="G16" s="33" t="s">
        <v>95</v>
      </c>
      <c r="H16" s="33" t="s">
        <v>96</v>
      </c>
      <c r="I16" s="33" t="s">
        <v>97</v>
      </c>
    </row>
    <row r="17" spans="1:9" x14ac:dyDescent="0.25">
      <c r="A17" t="s">
        <v>85</v>
      </c>
      <c r="B17">
        <v>-1.2710336512468927</v>
      </c>
      <c r="C17">
        <v>0.13191973638508595</v>
      </c>
      <c r="D17">
        <v>-9.6349013883459236</v>
      </c>
      <c r="E17">
        <v>2.9974141418774551E-11</v>
      </c>
      <c r="F17">
        <v>-1.5391268111861245</v>
      </c>
      <c r="G17">
        <v>-1.0029404913076609</v>
      </c>
      <c r="H17">
        <v>-1.5391268111861245</v>
      </c>
      <c r="I17">
        <v>-1.0029404913076609</v>
      </c>
    </row>
    <row r="18" spans="1:9" x14ac:dyDescent="0.25">
      <c r="A18" t="s">
        <v>101</v>
      </c>
      <c r="B18">
        <v>1.95614386021232</v>
      </c>
      <c r="C18">
        <v>0.11639601436118308</v>
      </c>
      <c r="D18">
        <v>16.805935073878921</v>
      </c>
      <c r="E18">
        <v>4.8579191091706326E-18</v>
      </c>
      <c r="F18">
        <v>1.7195986991203405</v>
      </c>
      <c r="G18">
        <v>2.192689021304302</v>
      </c>
      <c r="H18">
        <v>1.7195986991203405</v>
      </c>
      <c r="I18">
        <v>2.192689021304302</v>
      </c>
    </row>
    <row r="19" spans="1:9" ht="13.8" thickBot="1" x14ac:dyDescent="0.3">
      <c r="A19" s="32" t="s">
        <v>102</v>
      </c>
      <c r="B19" s="32">
        <v>4.6347996358748302</v>
      </c>
      <c r="C19" s="32">
        <v>0.32683425653054288</v>
      </c>
      <c r="D19" s="32">
        <v>14.180886927443932</v>
      </c>
      <c r="E19" s="32">
        <v>7.7416660382428223E-16</v>
      </c>
      <c r="F19" s="32">
        <v>3.9705925125836972</v>
      </c>
      <c r="G19" s="32">
        <v>5.2990067591659669</v>
      </c>
      <c r="H19" s="32">
        <v>3.9705925125836972</v>
      </c>
      <c r="I19" s="32">
        <v>5.2990067591659669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7D6F-8BF7-4D9E-BD8A-A3108D331869}">
  <dimension ref="A1:I19"/>
  <sheetViews>
    <sheetView workbookViewId="0">
      <selection activeCell="B19" sqref="B19"/>
    </sheetView>
  </sheetViews>
  <sheetFormatPr defaultRowHeight="13.2" x14ac:dyDescent="0.25"/>
  <sheetData>
    <row r="1" spans="1:9" x14ac:dyDescent="0.25">
      <c r="A1" t="s">
        <v>74</v>
      </c>
    </row>
    <row r="2" spans="1:9" ht="13.8" thickBot="1" x14ac:dyDescent="0.3"/>
    <row r="3" spans="1:9" x14ac:dyDescent="0.25">
      <c r="A3" s="34" t="s">
        <v>75</v>
      </c>
      <c r="B3" s="34"/>
    </row>
    <row r="4" spans="1:9" x14ac:dyDescent="0.25">
      <c r="A4" t="s">
        <v>76</v>
      </c>
      <c r="B4">
        <v>0.95157757129591969</v>
      </c>
    </row>
    <row r="5" spans="1:9" x14ac:dyDescent="0.25">
      <c r="A5" t="s">
        <v>77</v>
      </c>
      <c r="B5">
        <v>0.90549987419344102</v>
      </c>
    </row>
    <row r="6" spans="1:9" x14ac:dyDescent="0.25">
      <c r="A6" t="s">
        <v>78</v>
      </c>
      <c r="B6">
        <v>0.90009986700449485</v>
      </c>
    </row>
    <row r="7" spans="1:9" x14ac:dyDescent="0.25">
      <c r="A7" t="s">
        <v>79</v>
      </c>
      <c r="B7">
        <v>0.27070966063882157</v>
      </c>
    </row>
    <row r="8" spans="1:9" ht="13.8" thickBot="1" x14ac:dyDescent="0.3">
      <c r="A8" s="32" t="s">
        <v>80</v>
      </c>
      <c r="B8" s="32">
        <v>38</v>
      </c>
    </row>
    <row r="10" spans="1:9" ht="13.8" thickBot="1" x14ac:dyDescent="0.3">
      <c r="A10" t="s">
        <v>81</v>
      </c>
    </row>
    <row r="11" spans="1:9" x14ac:dyDescent="0.25">
      <c r="A11" s="33"/>
      <c r="B11" s="33" t="s">
        <v>86</v>
      </c>
      <c r="C11" s="33" t="s">
        <v>87</v>
      </c>
      <c r="D11" s="33" t="s">
        <v>88</v>
      </c>
      <c r="E11" s="33" t="s">
        <v>89</v>
      </c>
      <c r="F11" s="33" t="s">
        <v>90</v>
      </c>
    </row>
    <row r="12" spans="1:9" x14ac:dyDescent="0.25">
      <c r="A12" t="s">
        <v>82</v>
      </c>
      <c r="B12">
        <v>2</v>
      </c>
      <c r="C12">
        <v>24.577152306436666</v>
      </c>
      <c r="D12">
        <v>12.288576153218333</v>
      </c>
      <c r="E12">
        <v>167.68493865100626</v>
      </c>
      <c r="F12">
        <v>1.1750781933872389E-18</v>
      </c>
    </row>
    <row r="13" spans="1:9" x14ac:dyDescent="0.25">
      <c r="A13" t="s">
        <v>83</v>
      </c>
      <c r="B13">
        <v>35</v>
      </c>
      <c r="C13">
        <v>2.5649302127115079</v>
      </c>
      <c r="D13">
        <v>7.3283720363185936E-2</v>
      </c>
    </row>
    <row r="14" spans="1:9" ht="13.8" thickBot="1" x14ac:dyDescent="0.3">
      <c r="A14" s="32" t="s">
        <v>84</v>
      </c>
      <c r="B14" s="32">
        <v>37</v>
      </c>
      <c r="C14" s="32">
        <v>27.142082519148175</v>
      </c>
      <c r="D14" s="32"/>
      <c r="E14" s="32"/>
      <c r="F14" s="32"/>
    </row>
    <row r="15" spans="1:9" ht="13.8" thickBot="1" x14ac:dyDescent="0.3"/>
    <row r="16" spans="1:9" x14ac:dyDescent="0.25">
      <c r="A16" s="33"/>
      <c r="B16" s="33" t="s">
        <v>91</v>
      </c>
      <c r="C16" s="33" t="s">
        <v>79</v>
      </c>
      <c r="D16" s="33" t="s">
        <v>92</v>
      </c>
      <c r="E16" s="33" t="s">
        <v>93</v>
      </c>
      <c r="F16" s="33" t="s">
        <v>94</v>
      </c>
      <c r="G16" s="33" t="s">
        <v>95</v>
      </c>
      <c r="H16" s="33" t="s">
        <v>96</v>
      </c>
      <c r="I16" s="33" t="s">
        <v>97</v>
      </c>
    </row>
    <row r="17" spans="1:9" x14ac:dyDescent="0.25">
      <c r="A17" t="s">
        <v>85</v>
      </c>
      <c r="B17">
        <v>-1.1571473991282633</v>
      </c>
      <c r="C17">
        <v>0.12128641214535706</v>
      </c>
      <c r="D17">
        <v>-9.5406185957703737</v>
      </c>
      <c r="E17">
        <v>2.8598293143366295E-11</v>
      </c>
      <c r="F17">
        <v>-1.4033719060135914</v>
      </c>
      <c r="G17">
        <v>-0.9109228922429351</v>
      </c>
      <c r="H17">
        <v>-1.4033719060135914</v>
      </c>
      <c r="I17">
        <v>-0.9109228922429351</v>
      </c>
    </row>
    <row r="18" spans="1:9" x14ac:dyDescent="0.25">
      <c r="A18" t="s">
        <v>101</v>
      </c>
      <c r="B18">
        <v>1.9336453037166299</v>
      </c>
      <c r="C18">
        <v>0.10769186382642219</v>
      </c>
      <c r="D18">
        <v>17.955351825215658</v>
      </c>
      <c r="E18">
        <v>3.0833200817180338E-19</v>
      </c>
      <c r="F18">
        <v>1.7150191971545499</v>
      </c>
      <c r="G18">
        <v>2.1522714102787019</v>
      </c>
      <c r="H18">
        <v>1.7150191971545499</v>
      </c>
      <c r="I18">
        <v>2.1522714102787019</v>
      </c>
    </row>
    <row r="19" spans="1:9" ht="13.8" thickBot="1" x14ac:dyDescent="0.3">
      <c r="A19" s="32" t="s">
        <v>102</v>
      </c>
      <c r="B19" s="32">
        <v>4.3423961322100402</v>
      </c>
      <c r="C19" s="32">
        <v>0.30702874931345181</v>
      </c>
      <c r="D19" s="32">
        <v>14.143288346515085</v>
      </c>
      <c r="E19" s="32">
        <v>4.8555156018731264E-16</v>
      </c>
      <c r="F19" s="32">
        <v>3.7190946340280187</v>
      </c>
      <c r="G19" s="32">
        <v>4.9656976303920706</v>
      </c>
      <c r="H19" s="32">
        <v>3.7190946340280187</v>
      </c>
      <c r="I19" s="32">
        <v>4.9656976303920706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0A00-D937-4B5B-A666-98D483A03C37}">
  <dimension ref="A1:I19"/>
  <sheetViews>
    <sheetView workbookViewId="0">
      <selection activeCell="B19" sqref="B19"/>
    </sheetView>
  </sheetViews>
  <sheetFormatPr defaultRowHeight="13.2" x14ac:dyDescent="0.25"/>
  <sheetData>
    <row r="1" spans="1:9" x14ac:dyDescent="0.25">
      <c r="A1" t="s">
        <v>74</v>
      </c>
    </row>
    <row r="2" spans="1:9" ht="13.8" thickBot="1" x14ac:dyDescent="0.3"/>
    <row r="3" spans="1:9" x14ac:dyDescent="0.25">
      <c r="A3" s="34" t="s">
        <v>75</v>
      </c>
      <c r="B3" s="34"/>
    </row>
    <row r="4" spans="1:9" x14ac:dyDescent="0.25">
      <c r="A4" t="s">
        <v>76</v>
      </c>
      <c r="B4">
        <v>0.94040616422101164</v>
      </c>
    </row>
    <row r="5" spans="1:9" x14ac:dyDescent="0.25">
      <c r="A5" t="s">
        <v>77</v>
      </c>
      <c r="B5">
        <v>0.88436375370487641</v>
      </c>
    </row>
    <row r="6" spans="1:9" x14ac:dyDescent="0.25">
      <c r="A6" t="s">
        <v>78</v>
      </c>
      <c r="B6">
        <v>0.87775596820229806</v>
      </c>
    </row>
    <row r="7" spans="1:9" x14ac:dyDescent="0.25">
      <c r="A7" t="s">
        <v>79</v>
      </c>
      <c r="B7">
        <v>0.29320319330643069</v>
      </c>
    </row>
    <row r="8" spans="1:9" ht="13.8" thickBot="1" x14ac:dyDescent="0.3">
      <c r="A8" s="32" t="s">
        <v>80</v>
      </c>
      <c r="B8" s="32">
        <v>38</v>
      </c>
    </row>
    <row r="10" spans="1:9" ht="13.8" thickBot="1" x14ac:dyDescent="0.3">
      <c r="A10" t="s">
        <v>81</v>
      </c>
    </row>
    <row r="11" spans="1:9" x14ac:dyDescent="0.25">
      <c r="A11" s="33"/>
      <c r="B11" s="33" t="s">
        <v>86</v>
      </c>
      <c r="C11" s="33" t="s">
        <v>87</v>
      </c>
      <c r="D11" s="33" t="s">
        <v>88</v>
      </c>
      <c r="E11" s="33" t="s">
        <v>89</v>
      </c>
      <c r="F11" s="33" t="s">
        <v>90</v>
      </c>
    </row>
    <row r="12" spans="1:9" x14ac:dyDescent="0.25">
      <c r="A12" t="s">
        <v>82</v>
      </c>
      <c r="B12">
        <v>2</v>
      </c>
      <c r="C12">
        <v>23.011365213751994</v>
      </c>
      <c r="D12">
        <v>11.505682606875997</v>
      </c>
      <c r="E12">
        <v>133.83663155527367</v>
      </c>
      <c r="F12">
        <v>4.0192474554584097E-17</v>
      </c>
    </row>
    <row r="13" spans="1:9" x14ac:dyDescent="0.25">
      <c r="A13" t="s">
        <v>83</v>
      </c>
      <c r="B13">
        <v>35</v>
      </c>
      <c r="C13">
        <v>3.0088839397780855</v>
      </c>
      <c r="D13">
        <v>8.5968112565088156E-2</v>
      </c>
    </row>
    <row r="14" spans="1:9" ht="13.8" thickBot="1" x14ac:dyDescent="0.3">
      <c r="A14" s="32" t="s">
        <v>84</v>
      </c>
      <c r="B14" s="32">
        <v>37</v>
      </c>
      <c r="C14" s="32">
        <v>26.020249153530081</v>
      </c>
      <c r="D14" s="32"/>
      <c r="E14" s="32"/>
      <c r="F14" s="32"/>
    </row>
    <row r="15" spans="1:9" ht="13.8" thickBot="1" x14ac:dyDescent="0.3"/>
    <row r="16" spans="1:9" x14ac:dyDescent="0.25">
      <c r="A16" s="33"/>
      <c r="B16" s="33" t="s">
        <v>91</v>
      </c>
      <c r="C16" s="33" t="s">
        <v>79</v>
      </c>
      <c r="D16" s="33" t="s">
        <v>92</v>
      </c>
      <c r="E16" s="33" t="s">
        <v>93</v>
      </c>
      <c r="F16" s="33" t="s">
        <v>94</v>
      </c>
      <c r="G16" s="33" t="s">
        <v>95</v>
      </c>
      <c r="H16" s="33" t="s">
        <v>96</v>
      </c>
      <c r="I16" s="33" t="s">
        <v>97</v>
      </c>
    </row>
    <row r="17" spans="1:9" x14ac:dyDescent="0.25">
      <c r="A17" t="s">
        <v>85</v>
      </c>
      <c r="B17">
        <v>-1.228928866626688</v>
      </c>
      <c r="C17">
        <v>0.13837197215295821</v>
      </c>
      <c r="D17">
        <v>-8.8813424243763315</v>
      </c>
      <c r="E17">
        <v>1.717729096741686E-10</v>
      </c>
      <c r="F17">
        <v>-1.5098389043420442</v>
      </c>
      <c r="G17">
        <v>-0.94801882891133171</v>
      </c>
      <c r="H17">
        <v>-1.5098389043420442</v>
      </c>
      <c r="I17">
        <v>-0.94801882891133171</v>
      </c>
    </row>
    <row r="18" spans="1:9" x14ac:dyDescent="0.25">
      <c r="A18" t="s">
        <v>101</v>
      </c>
      <c r="B18">
        <v>1.9514685325672201</v>
      </c>
      <c r="C18">
        <v>0.12132775007695742</v>
      </c>
      <c r="D18">
        <v>16.0842719932531</v>
      </c>
      <c r="E18">
        <v>9.6728931218918003E-18</v>
      </c>
      <c r="F18">
        <v>1.7051601052192102</v>
      </c>
      <c r="G18">
        <v>2.1977769599152253</v>
      </c>
      <c r="H18">
        <v>1.7051601052192102</v>
      </c>
      <c r="I18">
        <v>2.1977769599152253</v>
      </c>
    </row>
    <row r="19" spans="1:9" ht="13.8" thickBot="1" x14ac:dyDescent="0.3">
      <c r="A19" s="32" t="s">
        <v>102</v>
      </c>
      <c r="B19" s="32">
        <v>4.5353568816508396</v>
      </c>
      <c r="C19" s="32">
        <v>0.36255463107135455</v>
      </c>
      <c r="D19" s="32">
        <v>12.509444075362628</v>
      </c>
      <c r="E19" s="32">
        <v>1.7857937455802766E-14</v>
      </c>
      <c r="F19" s="32">
        <v>3.7993318506890041</v>
      </c>
      <c r="G19" s="32">
        <v>5.2713819126126751</v>
      </c>
      <c r="H19" s="32">
        <v>3.7993318506890041</v>
      </c>
      <c r="I19" s="32">
        <v>5.2713819126126751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11970-1AF8-4DD0-AC41-949D309C6A91}">
  <dimension ref="A1:I19"/>
  <sheetViews>
    <sheetView workbookViewId="0">
      <selection activeCell="B19" sqref="B19"/>
    </sheetView>
  </sheetViews>
  <sheetFormatPr defaultRowHeight="13.2" x14ac:dyDescent="0.25"/>
  <sheetData>
    <row r="1" spans="1:9" x14ac:dyDescent="0.25">
      <c r="A1" t="s">
        <v>74</v>
      </c>
    </row>
    <row r="2" spans="1:9" ht="13.8" thickBot="1" x14ac:dyDescent="0.3"/>
    <row r="3" spans="1:9" x14ac:dyDescent="0.25">
      <c r="A3" s="34" t="s">
        <v>75</v>
      </c>
      <c r="B3" s="34"/>
    </row>
    <row r="4" spans="1:9" x14ac:dyDescent="0.25">
      <c r="A4" t="s">
        <v>76</v>
      </c>
      <c r="B4">
        <v>0.94673207206911913</v>
      </c>
    </row>
    <row r="5" spans="1:9" x14ac:dyDescent="0.25">
      <c r="A5" t="s">
        <v>77</v>
      </c>
      <c r="B5">
        <v>0.89630161628428784</v>
      </c>
    </row>
    <row r="6" spans="1:9" x14ac:dyDescent="0.25">
      <c r="A6" t="s">
        <v>78</v>
      </c>
      <c r="B6">
        <v>0.88982046730205577</v>
      </c>
    </row>
    <row r="7" spans="1:9" x14ac:dyDescent="0.25">
      <c r="A7" t="s">
        <v>79</v>
      </c>
      <c r="B7">
        <v>0.29178167422058249</v>
      </c>
    </row>
    <row r="8" spans="1:9" ht="13.8" thickBot="1" x14ac:dyDescent="0.3">
      <c r="A8" s="32" t="s">
        <v>80</v>
      </c>
      <c r="B8" s="32">
        <v>35</v>
      </c>
    </row>
    <row r="10" spans="1:9" ht="13.8" thickBot="1" x14ac:dyDescent="0.3">
      <c r="A10" t="s">
        <v>81</v>
      </c>
    </row>
    <row r="11" spans="1:9" x14ac:dyDescent="0.25">
      <c r="A11" s="33"/>
      <c r="B11" s="33" t="s">
        <v>86</v>
      </c>
      <c r="C11" s="33" t="s">
        <v>87</v>
      </c>
      <c r="D11" s="33" t="s">
        <v>88</v>
      </c>
      <c r="E11" s="33" t="s">
        <v>89</v>
      </c>
      <c r="F11" s="33" t="s">
        <v>90</v>
      </c>
    </row>
    <row r="12" spans="1:9" x14ac:dyDescent="0.25">
      <c r="A12" t="s">
        <v>82</v>
      </c>
      <c r="B12">
        <v>2</v>
      </c>
      <c r="C12">
        <v>23.547683741233879</v>
      </c>
      <c r="D12">
        <v>11.773841870616939</v>
      </c>
      <c r="E12">
        <v>138.29362953104265</v>
      </c>
      <c r="F12">
        <v>1.7879352948477288E-16</v>
      </c>
    </row>
    <row r="13" spans="1:9" x14ac:dyDescent="0.25">
      <c r="A13" t="s">
        <v>83</v>
      </c>
      <c r="B13">
        <v>32</v>
      </c>
      <c r="C13">
        <v>2.7243694531509162</v>
      </c>
      <c r="D13">
        <v>8.513654541096613E-2</v>
      </c>
    </row>
    <row r="14" spans="1:9" ht="13.8" thickBot="1" x14ac:dyDescent="0.3">
      <c r="A14" s="32" t="s">
        <v>84</v>
      </c>
      <c r="B14" s="32">
        <v>34</v>
      </c>
      <c r="C14" s="32">
        <v>26.272053194384796</v>
      </c>
      <c r="D14" s="32"/>
      <c r="E14" s="32"/>
      <c r="F14" s="32"/>
    </row>
    <row r="16" spans="1:9" x14ac:dyDescent="0.25">
      <c r="B16" t="s">
        <v>91</v>
      </c>
      <c r="C16" t="s">
        <v>79</v>
      </c>
      <c r="D16" t="s">
        <v>92</v>
      </c>
      <c r="E16" t="s">
        <v>93</v>
      </c>
      <c r="F16" t="s">
        <v>94</v>
      </c>
      <c r="G16" t="s">
        <v>95</v>
      </c>
      <c r="H16" t="s">
        <v>96</v>
      </c>
      <c r="I16" t="s">
        <v>97</v>
      </c>
    </row>
    <row r="17" spans="1:9" x14ac:dyDescent="0.25">
      <c r="A17" t="s">
        <v>85</v>
      </c>
      <c r="B17">
        <v>-1.2718096452593399</v>
      </c>
      <c r="C17">
        <v>0.13655421350118799</v>
      </c>
      <c r="D17">
        <v>-9.3135877147304242</v>
      </c>
      <c r="E17">
        <v>1.2538271068937536E-10</v>
      </c>
      <c r="F17">
        <v>-1.5499614759298792</v>
      </c>
      <c r="G17">
        <v>-0.99365781458880065</v>
      </c>
      <c r="H17">
        <v>-1.5499614759298792</v>
      </c>
      <c r="I17">
        <v>-0.99365781458880065</v>
      </c>
    </row>
    <row r="18" spans="1:9" x14ac:dyDescent="0.25">
      <c r="A18" t="s">
        <v>101</v>
      </c>
      <c r="B18">
        <v>1.9041094367917599</v>
      </c>
      <c r="C18">
        <v>0.11873900253113982</v>
      </c>
      <c r="D18">
        <v>16.036090890121784</v>
      </c>
      <c r="E18">
        <v>7.4841687243540004E-17</v>
      </c>
      <c r="F18">
        <v>1.6622460033668869</v>
      </c>
      <c r="G18">
        <v>2.1459728702166307</v>
      </c>
      <c r="H18">
        <v>1.6622460033668869</v>
      </c>
      <c r="I18">
        <v>2.1459728702166307</v>
      </c>
    </row>
    <row r="19" spans="1:9" x14ac:dyDescent="0.25">
      <c r="A19" t="s">
        <v>102</v>
      </c>
      <c r="B19">
        <v>4.6004243983643098</v>
      </c>
      <c r="C19">
        <v>0.33172922132966259</v>
      </c>
      <c r="D19">
        <v>13.868010722493901</v>
      </c>
      <c r="E19">
        <v>4.4233470573164278E-15</v>
      </c>
      <c r="F19">
        <v>3.9247140864378678</v>
      </c>
      <c r="G19">
        <v>5.2761347102907585</v>
      </c>
      <c r="H19">
        <v>3.9247140864378678</v>
      </c>
      <c r="I19">
        <v>5.2761347102907585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EDF36-4E4B-46D0-88ED-2A343DAF39FF}">
  <dimension ref="A1:I19"/>
  <sheetViews>
    <sheetView workbookViewId="0">
      <selection activeCell="B19" sqref="B19"/>
    </sheetView>
  </sheetViews>
  <sheetFormatPr defaultRowHeight="13.2" x14ac:dyDescent="0.25"/>
  <sheetData>
    <row r="1" spans="1:9" x14ac:dyDescent="0.25">
      <c r="A1" t="s">
        <v>74</v>
      </c>
    </row>
    <row r="2" spans="1:9" ht="13.8" thickBot="1" x14ac:dyDescent="0.3"/>
    <row r="3" spans="1:9" x14ac:dyDescent="0.25">
      <c r="A3" s="34" t="s">
        <v>75</v>
      </c>
      <c r="B3" s="34"/>
    </row>
    <row r="4" spans="1:9" x14ac:dyDescent="0.25">
      <c r="A4" t="s">
        <v>76</v>
      </c>
      <c r="B4">
        <v>0.9480862820892898</v>
      </c>
    </row>
    <row r="5" spans="1:9" x14ac:dyDescent="0.25">
      <c r="A5" t="s">
        <v>77</v>
      </c>
      <c r="B5">
        <v>0.89886759828589247</v>
      </c>
    </row>
    <row r="6" spans="1:9" x14ac:dyDescent="0.25">
      <c r="A6" t="s">
        <v>78</v>
      </c>
      <c r="B6">
        <v>0.89254682317876077</v>
      </c>
    </row>
    <row r="7" spans="1:9" x14ac:dyDescent="0.25">
      <c r="A7" t="s">
        <v>79</v>
      </c>
      <c r="B7">
        <v>0.28848871741139881</v>
      </c>
    </row>
    <row r="8" spans="1:9" ht="13.8" thickBot="1" x14ac:dyDescent="0.3">
      <c r="A8" s="32" t="s">
        <v>80</v>
      </c>
      <c r="B8" s="32">
        <v>35</v>
      </c>
    </row>
    <row r="10" spans="1:9" ht="13.8" thickBot="1" x14ac:dyDescent="0.3">
      <c r="A10" t="s">
        <v>81</v>
      </c>
    </row>
    <row r="11" spans="1:9" x14ac:dyDescent="0.25">
      <c r="A11" s="33"/>
      <c r="B11" s="33" t="s">
        <v>86</v>
      </c>
      <c r="C11" s="33" t="s">
        <v>87</v>
      </c>
      <c r="D11" s="33" t="s">
        <v>88</v>
      </c>
      <c r="E11" s="33" t="s">
        <v>89</v>
      </c>
      <c r="F11" s="33" t="s">
        <v>90</v>
      </c>
    </row>
    <row r="12" spans="1:9" x14ac:dyDescent="0.25">
      <c r="A12" t="s">
        <v>82</v>
      </c>
      <c r="B12">
        <v>2</v>
      </c>
      <c r="C12">
        <v>23.670806136159598</v>
      </c>
      <c r="D12">
        <v>11.835403068079799</v>
      </c>
      <c r="E12">
        <v>142.20844485855875</v>
      </c>
      <c r="F12">
        <v>1.1974162216140133E-16</v>
      </c>
    </row>
    <row r="13" spans="1:9" x14ac:dyDescent="0.25">
      <c r="A13" t="s">
        <v>83</v>
      </c>
      <c r="B13">
        <v>32</v>
      </c>
      <c r="C13">
        <v>2.663223682357565</v>
      </c>
      <c r="D13">
        <v>8.3225740073673907E-2</v>
      </c>
    </row>
    <row r="14" spans="1:9" ht="13.8" thickBot="1" x14ac:dyDescent="0.3">
      <c r="A14" s="32" t="s">
        <v>84</v>
      </c>
      <c r="B14" s="32">
        <v>34</v>
      </c>
      <c r="C14" s="32">
        <v>26.334029818517163</v>
      </c>
      <c r="D14" s="32"/>
      <c r="E14" s="32"/>
      <c r="F14" s="32"/>
    </row>
    <row r="15" spans="1:9" ht="13.8" thickBot="1" x14ac:dyDescent="0.3"/>
    <row r="16" spans="1:9" x14ac:dyDescent="0.25">
      <c r="A16" s="33"/>
      <c r="B16" s="33" t="s">
        <v>91</v>
      </c>
      <c r="C16" s="33" t="s">
        <v>79</v>
      </c>
      <c r="D16" s="33" t="s">
        <v>92</v>
      </c>
      <c r="E16" s="33" t="s">
        <v>93</v>
      </c>
      <c r="F16" s="33" t="s">
        <v>94</v>
      </c>
      <c r="G16" s="33" t="s">
        <v>95</v>
      </c>
      <c r="H16" s="33" t="s">
        <v>96</v>
      </c>
      <c r="I16" s="33" t="s">
        <v>97</v>
      </c>
    </row>
    <row r="17" spans="1:9" x14ac:dyDescent="0.25">
      <c r="A17" t="s">
        <v>85</v>
      </c>
      <c r="B17">
        <v>-1.2560381631964517</v>
      </c>
      <c r="C17">
        <v>0.14319766294014286</v>
      </c>
      <c r="D17">
        <v>-8.7713593742202356</v>
      </c>
      <c r="E17">
        <v>5.057473810190511E-10</v>
      </c>
      <c r="F17">
        <v>-1.5477222575447895</v>
      </c>
      <c r="G17">
        <v>-0.96435406884811381</v>
      </c>
      <c r="H17">
        <v>-1.5477222575447895</v>
      </c>
      <c r="I17">
        <v>-0.96435406884811381</v>
      </c>
    </row>
    <row r="18" spans="1:9" x14ac:dyDescent="0.25">
      <c r="A18" t="s">
        <v>101</v>
      </c>
      <c r="B18">
        <v>2.0164613627151402</v>
      </c>
      <c r="C18">
        <v>0.12167088464244938</v>
      </c>
      <c r="D18">
        <v>16.573080475586689</v>
      </c>
      <c r="E18">
        <v>2.9117465141758434E-17</v>
      </c>
      <c r="F18">
        <v>1.7686258808586452</v>
      </c>
      <c r="G18">
        <v>2.2642968445716307</v>
      </c>
      <c r="H18">
        <v>1.7686258808586452</v>
      </c>
      <c r="I18">
        <v>2.2642968445716307</v>
      </c>
    </row>
    <row r="19" spans="1:9" ht="13.8" thickBot="1" x14ac:dyDescent="0.3">
      <c r="A19" s="32" t="s">
        <v>102</v>
      </c>
      <c r="B19" s="32">
        <v>4.6360134400901503</v>
      </c>
      <c r="C19" s="32">
        <v>0.3652365850122643</v>
      </c>
      <c r="D19" s="32">
        <v>12.693179244172576</v>
      </c>
      <c r="E19" s="32">
        <v>4.9213907710168934E-14</v>
      </c>
      <c r="F19" s="32">
        <v>3.892050861827165</v>
      </c>
      <c r="G19" s="32">
        <v>5.3799760183531271</v>
      </c>
      <c r="H19" s="32">
        <v>3.892050861827165</v>
      </c>
      <c r="I19" s="32">
        <v>5.3799760183531271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31F86-880E-4042-A26D-B75DE73925EF}">
  <dimension ref="A1:I19"/>
  <sheetViews>
    <sheetView workbookViewId="0">
      <selection activeCell="B19" sqref="B19"/>
    </sheetView>
  </sheetViews>
  <sheetFormatPr defaultRowHeight="13.2" x14ac:dyDescent="0.25"/>
  <sheetData>
    <row r="1" spans="1:9" x14ac:dyDescent="0.25">
      <c r="A1" t="s">
        <v>74</v>
      </c>
    </row>
    <row r="2" spans="1:9" ht="13.8" thickBot="1" x14ac:dyDescent="0.3"/>
    <row r="3" spans="1:9" x14ac:dyDescent="0.25">
      <c r="A3" s="34" t="s">
        <v>75</v>
      </c>
      <c r="B3" s="34"/>
    </row>
    <row r="4" spans="1:9" x14ac:dyDescent="0.25">
      <c r="A4" t="s">
        <v>76</v>
      </c>
      <c r="B4">
        <v>0.95810219204165914</v>
      </c>
    </row>
    <row r="5" spans="1:9" x14ac:dyDescent="0.25">
      <c r="A5" t="s">
        <v>77</v>
      </c>
      <c r="B5">
        <v>0.91795981039503238</v>
      </c>
    </row>
    <row r="6" spans="1:9" x14ac:dyDescent="0.25">
      <c r="A6" t="s">
        <v>78</v>
      </c>
      <c r="B6">
        <v>0.91266689493664743</v>
      </c>
    </row>
    <row r="7" spans="1:9" x14ac:dyDescent="0.25">
      <c r="A7" t="s">
        <v>79</v>
      </c>
      <c r="B7">
        <v>0.26233700298183216</v>
      </c>
    </row>
    <row r="8" spans="1:9" ht="13.8" thickBot="1" x14ac:dyDescent="0.3">
      <c r="A8" s="32" t="s">
        <v>80</v>
      </c>
      <c r="B8" s="32">
        <v>34</v>
      </c>
    </row>
    <row r="10" spans="1:9" ht="13.8" thickBot="1" x14ac:dyDescent="0.3">
      <c r="A10" t="s">
        <v>81</v>
      </c>
    </row>
    <row r="11" spans="1:9" x14ac:dyDescent="0.25">
      <c r="A11" s="33"/>
      <c r="B11" s="33" t="s">
        <v>86</v>
      </c>
      <c r="C11" s="33" t="s">
        <v>87</v>
      </c>
      <c r="D11" s="33" t="s">
        <v>88</v>
      </c>
      <c r="E11" s="33" t="s">
        <v>89</v>
      </c>
      <c r="F11" s="33" t="s">
        <v>90</v>
      </c>
    </row>
    <row r="12" spans="1:9" x14ac:dyDescent="0.25">
      <c r="A12" t="s">
        <v>82</v>
      </c>
      <c r="B12">
        <v>2</v>
      </c>
      <c r="C12">
        <v>23.87139567838372</v>
      </c>
      <c r="D12">
        <v>11.93569783919186</v>
      </c>
      <c r="E12">
        <v>173.4317915357604</v>
      </c>
      <c r="F12">
        <v>1.4703243809910746E-17</v>
      </c>
    </row>
    <row r="13" spans="1:9" x14ac:dyDescent="0.25">
      <c r="A13" t="s">
        <v>83</v>
      </c>
      <c r="B13">
        <v>31</v>
      </c>
      <c r="C13">
        <v>2.1334417971381847</v>
      </c>
      <c r="D13">
        <v>6.8820703133489827E-2</v>
      </c>
    </row>
    <row r="14" spans="1:9" ht="13.8" thickBot="1" x14ac:dyDescent="0.3">
      <c r="A14" s="32" t="s">
        <v>84</v>
      </c>
      <c r="B14" s="32">
        <v>33</v>
      </c>
      <c r="C14" s="32">
        <v>26.004837475521906</v>
      </c>
      <c r="D14" s="32"/>
      <c r="E14" s="32"/>
      <c r="F14" s="32"/>
    </row>
    <row r="15" spans="1:9" ht="13.8" thickBot="1" x14ac:dyDescent="0.3"/>
    <row r="16" spans="1:9" x14ac:dyDescent="0.25">
      <c r="A16" s="33"/>
      <c r="B16" s="33" t="s">
        <v>91</v>
      </c>
      <c r="C16" s="33" t="s">
        <v>79</v>
      </c>
      <c r="D16" s="33" t="s">
        <v>92</v>
      </c>
      <c r="E16" s="33" t="s">
        <v>93</v>
      </c>
      <c r="F16" s="33" t="s">
        <v>94</v>
      </c>
      <c r="G16" s="33" t="s">
        <v>95</v>
      </c>
      <c r="H16" s="33" t="s">
        <v>96</v>
      </c>
      <c r="I16" s="33" t="s">
        <v>97</v>
      </c>
    </row>
    <row r="17" spans="1:9" x14ac:dyDescent="0.25">
      <c r="A17" t="s">
        <v>85</v>
      </c>
      <c r="B17">
        <v>-1.1945661672272436</v>
      </c>
      <c r="C17">
        <v>0.12221896003551128</v>
      </c>
      <c r="D17">
        <v>-9.7739840600849242</v>
      </c>
      <c r="E17">
        <v>5.516623407883342E-11</v>
      </c>
      <c r="F17">
        <v>-1.4438333796242542</v>
      </c>
      <c r="G17">
        <v>-0.94529895483023318</v>
      </c>
      <c r="H17">
        <v>-1.4438333796242542</v>
      </c>
      <c r="I17">
        <v>-0.94529895483023318</v>
      </c>
    </row>
    <row r="18" spans="1:9" x14ac:dyDescent="0.25">
      <c r="A18" t="s">
        <v>101</v>
      </c>
      <c r="B18">
        <v>1.9489813043997299</v>
      </c>
      <c r="C18">
        <v>0.10658979171965245</v>
      </c>
      <c r="D18">
        <v>18.284877688154712</v>
      </c>
      <c r="E18">
        <v>3.6741664680930811E-18</v>
      </c>
      <c r="F18">
        <v>1.7315899909389072</v>
      </c>
      <c r="G18">
        <v>2.1663726178605547</v>
      </c>
      <c r="H18">
        <v>1.7315899909389072</v>
      </c>
      <c r="I18">
        <v>2.1663726178605547</v>
      </c>
    </row>
    <row r="19" spans="1:9" ht="13.8" thickBot="1" x14ac:dyDescent="0.3">
      <c r="A19" s="32" t="s">
        <v>102</v>
      </c>
      <c r="B19" s="32">
        <v>4.4275954099393697</v>
      </c>
      <c r="C19" s="32">
        <v>0.31360832295677887</v>
      </c>
      <c r="D19" s="32">
        <v>14.118233113824511</v>
      </c>
      <c r="E19" s="32">
        <v>4.8079102632373791E-15</v>
      </c>
      <c r="F19" s="32">
        <v>3.7879870183671893</v>
      </c>
      <c r="G19" s="32">
        <v>5.0672038015115453</v>
      </c>
      <c r="H19" s="32">
        <v>3.7879870183671893</v>
      </c>
      <c r="I19" s="32">
        <v>5.0672038015115453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9535-17A0-42C6-A42B-CBA3D812D855}">
  <dimension ref="A1:I19"/>
  <sheetViews>
    <sheetView workbookViewId="0">
      <selection activeCell="B19" sqref="B19"/>
    </sheetView>
  </sheetViews>
  <sheetFormatPr defaultRowHeight="13.2" x14ac:dyDescent="0.25"/>
  <sheetData>
    <row r="1" spans="1:9" x14ac:dyDescent="0.25">
      <c r="A1" t="s">
        <v>74</v>
      </c>
    </row>
    <row r="2" spans="1:9" ht="13.8" thickBot="1" x14ac:dyDescent="0.3"/>
    <row r="3" spans="1:9" x14ac:dyDescent="0.25">
      <c r="A3" s="34" t="s">
        <v>75</v>
      </c>
      <c r="B3" s="34"/>
    </row>
    <row r="4" spans="1:9" x14ac:dyDescent="0.25">
      <c r="A4" t="s">
        <v>76</v>
      </c>
      <c r="B4">
        <v>0.94087253733718379</v>
      </c>
    </row>
    <row r="5" spans="1:9" x14ac:dyDescent="0.25">
      <c r="A5" t="s">
        <v>77</v>
      </c>
      <c r="B5">
        <v>0.88524113151531036</v>
      </c>
    </row>
    <row r="6" spans="1:9" x14ac:dyDescent="0.25">
      <c r="A6" t="s">
        <v>78</v>
      </c>
      <c r="B6">
        <v>0.8778373335485562</v>
      </c>
    </row>
    <row r="7" spans="1:9" x14ac:dyDescent="0.25">
      <c r="A7" t="s">
        <v>79</v>
      </c>
      <c r="B7">
        <v>0.30829571626215008</v>
      </c>
    </row>
    <row r="8" spans="1:9" ht="13.8" thickBot="1" x14ac:dyDescent="0.3">
      <c r="A8" s="32" t="s">
        <v>80</v>
      </c>
      <c r="B8" s="32">
        <v>34</v>
      </c>
    </row>
    <row r="10" spans="1:9" ht="13.8" thickBot="1" x14ac:dyDescent="0.3">
      <c r="A10" t="s">
        <v>81</v>
      </c>
    </row>
    <row r="11" spans="1:9" x14ac:dyDescent="0.25">
      <c r="A11" s="33"/>
      <c r="B11" s="33" t="s">
        <v>86</v>
      </c>
      <c r="C11" s="33" t="s">
        <v>87</v>
      </c>
      <c r="D11" s="33" t="s">
        <v>88</v>
      </c>
      <c r="E11" s="33" t="s">
        <v>89</v>
      </c>
      <c r="F11" s="33" t="s">
        <v>90</v>
      </c>
    </row>
    <row r="12" spans="1:9" x14ac:dyDescent="0.25">
      <c r="A12" t="s">
        <v>82</v>
      </c>
      <c r="B12">
        <v>2</v>
      </c>
      <c r="C12">
        <v>22.728564202542906</v>
      </c>
      <c r="D12">
        <v>11.364282101271453</v>
      </c>
      <c r="E12">
        <v>119.56581412544959</v>
      </c>
      <c r="F12">
        <v>2.6710805867029502E-15</v>
      </c>
    </row>
    <row r="13" spans="1:9" x14ac:dyDescent="0.25">
      <c r="A13" t="s">
        <v>83</v>
      </c>
      <c r="B13">
        <v>31</v>
      </c>
      <c r="C13">
        <v>2.9464337086333567</v>
      </c>
      <c r="D13">
        <v>9.5046248665592151E-2</v>
      </c>
    </row>
    <row r="14" spans="1:9" ht="13.8" thickBot="1" x14ac:dyDescent="0.3">
      <c r="A14" s="32" t="s">
        <v>84</v>
      </c>
      <c r="B14" s="32">
        <v>33</v>
      </c>
      <c r="C14" s="32">
        <v>25.674997911176263</v>
      </c>
      <c r="D14" s="32"/>
      <c r="E14" s="32"/>
      <c r="F14" s="32"/>
    </row>
    <row r="15" spans="1:9" ht="13.8" thickBot="1" x14ac:dyDescent="0.3"/>
    <row r="16" spans="1:9" x14ac:dyDescent="0.25">
      <c r="A16" s="33"/>
      <c r="B16" s="33" t="s">
        <v>91</v>
      </c>
      <c r="C16" s="33" t="s">
        <v>79</v>
      </c>
      <c r="D16" s="33" t="s">
        <v>92</v>
      </c>
      <c r="E16" s="33" t="s">
        <v>93</v>
      </c>
      <c r="F16" s="33" t="s">
        <v>94</v>
      </c>
      <c r="G16" s="33" t="s">
        <v>95</v>
      </c>
      <c r="H16" s="33" t="s">
        <v>96</v>
      </c>
      <c r="I16" s="33" t="s">
        <v>97</v>
      </c>
    </row>
    <row r="17" spans="1:9" x14ac:dyDescent="0.25">
      <c r="A17" t="s">
        <v>85</v>
      </c>
      <c r="B17">
        <v>-1.2869355739269956</v>
      </c>
      <c r="C17">
        <v>0.14310029066509117</v>
      </c>
      <c r="D17">
        <v>-8.9932422075851122</v>
      </c>
      <c r="E17">
        <v>3.7917447596375348E-10</v>
      </c>
      <c r="F17">
        <v>-1.5787905409216836</v>
      </c>
      <c r="G17">
        <v>-0.99508060693230782</v>
      </c>
      <c r="H17">
        <v>-1.5787905409216836</v>
      </c>
      <c r="I17">
        <v>-0.99508060693230782</v>
      </c>
    </row>
    <row r="18" spans="1:9" x14ac:dyDescent="0.25">
      <c r="A18" t="s">
        <v>101</v>
      </c>
      <c r="B18">
        <v>2.0061156749796001</v>
      </c>
      <c r="C18">
        <v>0.13518423853032216</v>
      </c>
      <c r="D18">
        <v>14.839863705927705</v>
      </c>
      <c r="E18">
        <v>1.2437864191488002E-15</v>
      </c>
      <c r="F18">
        <v>1.7304056027561501</v>
      </c>
      <c r="G18">
        <v>2.2818257472030528</v>
      </c>
      <c r="H18">
        <v>1.7304056027561501</v>
      </c>
      <c r="I18">
        <v>2.2818257472030528</v>
      </c>
    </row>
    <row r="19" spans="1:9" ht="13.8" thickBot="1" x14ac:dyDescent="0.3">
      <c r="A19" s="32" t="s">
        <v>102</v>
      </c>
      <c r="B19" s="32">
        <v>4.6914020907132397</v>
      </c>
      <c r="C19" s="32">
        <v>0.35975490630598467</v>
      </c>
      <c r="D19" s="32">
        <v>13.040550687369993</v>
      </c>
      <c r="E19" s="32">
        <v>3.9943352190971355E-14</v>
      </c>
      <c r="F19" s="32">
        <v>3.9576771218951006</v>
      </c>
      <c r="G19" s="32">
        <v>5.4251270595313716</v>
      </c>
      <c r="H19" s="32">
        <v>3.9576771218951006</v>
      </c>
      <c r="I19" s="32">
        <v>5.4251270595313716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95F5-95F0-46A3-A910-728B4C87D174}">
  <dimension ref="A1:I19"/>
  <sheetViews>
    <sheetView workbookViewId="0">
      <selection activeCell="B19" sqref="B19"/>
    </sheetView>
  </sheetViews>
  <sheetFormatPr defaultRowHeight="13.2" x14ac:dyDescent="0.25"/>
  <sheetData>
    <row r="1" spans="1:9" x14ac:dyDescent="0.25">
      <c r="A1" t="s">
        <v>74</v>
      </c>
    </row>
    <row r="2" spans="1:9" ht="13.8" thickBot="1" x14ac:dyDescent="0.3"/>
    <row r="3" spans="1:9" x14ac:dyDescent="0.25">
      <c r="A3" s="34" t="s">
        <v>75</v>
      </c>
      <c r="B3" s="34"/>
    </row>
    <row r="4" spans="1:9" x14ac:dyDescent="0.25">
      <c r="A4" t="s">
        <v>76</v>
      </c>
      <c r="B4">
        <v>0.95809159728386861</v>
      </c>
    </row>
    <row r="5" spans="1:9" x14ac:dyDescent="0.25">
      <c r="A5" t="s">
        <v>77</v>
      </c>
      <c r="B5">
        <v>0.91793950878595476</v>
      </c>
    </row>
    <row r="6" spans="1:9" x14ac:dyDescent="0.25">
      <c r="A6" t="s">
        <v>78</v>
      </c>
      <c r="B6">
        <v>0.912645283546339</v>
      </c>
    </row>
    <row r="7" spans="1:9" x14ac:dyDescent="0.25">
      <c r="A7" t="s">
        <v>79</v>
      </c>
      <c r="B7">
        <v>0.25674397658606507</v>
      </c>
    </row>
    <row r="8" spans="1:9" ht="13.8" thickBot="1" x14ac:dyDescent="0.3">
      <c r="A8" s="32" t="s">
        <v>80</v>
      </c>
      <c r="B8" s="32">
        <v>34</v>
      </c>
    </row>
    <row r="10" spans="1:9" ht="13.8" thickBot="1" x14ac:dyDescent="0.3">
      <c r="A10" t="s">
        <v>81</v>
      </c>
    </row>
    <row r="11" spans="1:9" x14ac:dyDescent="0.25">
      <c r="A11" s="33"/>
      <c r="B11" s="33" t="s">
        <v>86</v>
      </c>
      <c r="C11" s="33" t="s">
        <v>87</v>
      </c>
      <c r="D11" s="33" t="s">
        <v>88</v>
      </c>
      <c r="E11" s="33" t="s">
        <v>89</v>
      </c>
      <c r="F11" s="33" t="s">
        <v>90</v>
      </c>
    </row>
    <row r="12" spans="1:9" x14ac:dyDescent="0.25">
      <c r="A12" t="s">
        <v>82</v>
      </c>
      <c r="B12">
        <v>2</v>
      </c>
      <c r="C12">
        <v>22.858207517356991</v>
      </c>
      <c r="D12">
        <v>11.429103758678496</v>
      </c>
      <c r="E12">
        <v>173.38505017073385</v>
      </c>
      <c r="F12">
        <v>1.4759741148508246E-17</v>
      </c>
    </row>
    <row r="13" spans="1:9" x14ac:dyDescent="0.25">
      <c r="A13" t="s">
        <v>83</v>
      </c>
      <c r="B13">
        <v>31</v>
      </c>
      <c r="C13">
        <v>2.0434415549100038</v>
      </c>
      <c r="D13">
        <v>6.5917469513225926E-2</v>
      </c>
    </row>
    <row r="14" spans="1:9" ht="13.8" thickBot="1" x14ac:dyDescent="0.3">
      <c r="A14" s="32" t="s">
        <v>84</v>
      </c>
      <c r="B14" s="32">
        <v>33</v>
      </c>
      <c r="C14" s="32">
        <v>24.901649072266995</v>
      </c>
      <c r="D14" s="32"/>
      <c r="E14" s="32"/>
      <c r="F14" s="32"/>
    </row>
    <row r="15" spans="1:9" ht="13.8" thickBot="1" x14ac:dyDescent="0.3"/>
    <row r="16" spans="1:9" x14ac:dyDescent="0.25">
      <c r="A16" s="33"/>
      <c r="B16" s="33" t="s">
        <v>91</v>
      </c>
      <c r="C16" s="33" t="s">
        <v>79</v>
      </c>
      <c r="D16" s="33" t="s">
        <v>92</v>
      </c>
      <c r="E16" s="33" t="s">
        <v>93</v>
      </c>
      <c r="F16" s="33" t="s">
        <v>94</v>
      </c>
      <c r="G16" s="33" t="s">
        <v>95</v>
      </c>
      <c r="H16" s="33" t="s">
        <v>96</v>
      </c>
      <c r="I16" s="33" t="s">
        <v>97</v>
      </c>
    </row>
    <row r="17" spans="1:9" x14ac:dyDescent="0.25">
      <c r="A17" t="s">
        <v>85</v>
      </c>
      <c r="B17">
        <v>-1.2733814357484823</v>
      </c>
      <c r="C17">
        <v>0.11999367550614613</v>
      </c>
      <c r="D17">
        <v>-10.612071264399756</v>
      </c>
      <c r="E17">
        <v>7.6113873208428895E-12</v>
      </c>
      <c r="F17">
        <v>-1.5181101504257946</v>
      </c>
      <c r="G17">
        <v>-1.02865272107117</v>
      </c>
      <c r="H17">
        <v>-1.5181101504257946</v>
      </c>
      <c r="I17">
        <v>-1.02865272107117</v>
      </c>
    </row>
    <row r="18" spans="1:9" x14ac:dyDescent="0.25">
      <c r="A18" t="s">
        <v>101</v>
      </c>
      <c r="B18">
        <v>1.9197068964564701</v>
      </c>
      <c r="C18">
        <v>0.10728005316415558</v>
      </c>
      <c r="D18">
        <v>17.894350718851854</v>
      </c>
      <c r="E18">
        <v>6.7829747453107524E-18</v>
      </c>
      <c r="F18">
        <v>1.7009077854980557</v>
      </c>
      <c r="G18">
        <v>2.1385060074148892</v>
      </c>
      <c r="H18">
        <v>1.7009077854980557</v>
      </c>
      <c r="I18">
        <v>2.1385060074148892</v>
      </c>
    </row>
    <row r="19" spans="1:9" ht="13.8" thickBot="1" x14ac:dyDescent="0.3">
      <c r="A19" s="32" t="s">
        <v>102</v>
      </c>
      <c r="B19" s="32">
        <v>4.5349693747393198</v>
      </c>
      <c r="C19" s="32">
        <v>0.29571071097637364</v>
      </c>
      <c r="D19" s="32">
        <v>15.33583061555607</v>
      </c>
      <c r="E19" s="32">
        <v>5.0537972354397131E-16</v>
      </c>
      <c r="F19" s="32">
        <v>3.9318634034595674</v>
      </c>
      <c r="G19" s="32">
        <v>5.1380753460190789</v>
      </c>
      <c r="H19" s="32">
        <v>3.9318634034595674</v>
      </c>
      <c r="I19" s="32">
        <v>5.1380753460190789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AAEF-0465-416F-8DA7-23E7C91A8AF0}">
  <sheetPr>
    <outlinePr summaryBelow="0" summaryRight="0"/>
  </sheetPr>
  <dimension ref="A1:AM49"/>
  <sheetViews>
    <sheetView tabSelected="1" zoomScale="73" zoomScaleNormal="120" workbookViewId="0">
      <pane ySplit="1" topLeftCell="A2" activePane="bottomLeft" state="frozen"/>
      <selection pane="bottomLeft" activeCell="E16" sqref="E16"/>
    </sheetView>
  </sheetViews>
  <sheetFormatPr defaultColWidth="12.5546875" defaultRowHeight="15.75" customHeight="1" x14ac:dyDescent="0.25"/>
  <cols>
    <col min="1" max="1" width="22.44140625" customWidth="1"/>
    <col min="3" max="3" width="17.88671875" customWidth="1"/>
    <col min="4" max="4" width="17.33203125" customWidth="1"/>
    <col min="12" max="12" width="7" customWidth="1"/>
    <col min="13" max="13" width="8.5546875" customWidth="1"/>
    <col min="14" max="15" width="7.44140625" customWidth="1"/>
    <col min="16" max="16" width="8.88671875" customWidth="1"/>
    <col min="21" max="21" width="29.44140625" customWidth="1"/>
    <col min="23" max="23" width="31.88671875" customWidth="1"/>
    <col min="25" max="25" width="19" bestFit="1" customWidth="1"/>
    <col min="26" max="26" width="20.5546875" customWidth="1"/>
    <col min="27" max="27" width="18" customWidth="1"/>
  </cols>
  <sheetData>
    <row r="1" spans="1:39" ht="13.8" x14ac:dyDescent="0.3">
      <c r="A1" s="1" t="s">
        <v>117</v>
      </c>
      <c r="B1" s="1" t="s">
        <v>1</v>
      </c>
      <c r="C1" s="28" t="s">
        <v>99</v>
      </c>
      <c r="D1" s="28" t="s">
        <v>100</v>
      </c>
      <c r="E1" s="28" t="s">
        <v>98</v>
      </c>
      <c r="F1" s="1" t="s">
        <v>2</v>
      </c>
      <c r="G1" s="1" t="s">
        <v>3</v>
      </c>
      <c r="H1" s="1" t="s">
        <v>104</v>
      </c>
      <c r="I1" s="1" t="s">
        <v>105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55" t="s">
        <v>106</v>
      </c>
      <c r="W1" s="1"/>
      <c r="Y1" s="31" t="s">
        <v>107</v>
      </c>
      <c r="Z1" s="31" t="s">
        <v>108</v>
      </c>
      <c r="AA1" s="31" t="s">
        <v>109</v>
      </c>
    </row>
    <row r="2" spans="1:39" ht="13.2" x14ac:dyDescent="0.25">
      <c r="A2" s="2" t="s">
        <v>16</v>
      </c>
      <c r="B2" s="2" t="s">
        <v>17</v>
      </c>
      <c r="C2" s="2">
        <v>213.3</v>
      </c>
      <c r="D2" s="2">
        <v>212.2</v>
      </c>
      <c r="E2" s="2">
        <v>58.4</v>
      </c>
      <c r="F2" s="2">
        <v>57.2</v>
      </c>
      <c r="G2" s="2" t="s">
        <v>18</v>
      </c>
      <c r="H2" s="4">
        <f>(D2*J2)/25.46</f>
        <v>-0.58342498036135115</v>
      </c>
      <c r="I2" s="4">
        <f t="shared" ref="I2:I6" si="0">(D2*K2)/263.13</f>
        <v>0.41935165127503515</v>
      </c>
      <c r="J2" s="2">
        <v>-7.0000000000000007E-2</v>
      </c>
      <c r="K2" s="2">
        <v>0.52</v>
      </c>
      <c r="L2" s="3">
        <v>0.54600000000000004</v>
      </c>
      <c r="M2" s="3">
        <v>0.54200000000000004</v>
      </c>
      <c r="N2" s="2"/>
      <c r="O2" s="2"/>
      <c r="P2" s="3">
        <f t="shared" ref="P2:P6" si="1">AVERAGE(L2:N2)</f>
        <v>0.54400000000000004</v>
      </c>
      <c r="Q2" s="4">
        <f>1/2.13</f>
        <v>0.46948356807511737</v>
      </c>
      <c r="R2" s="4">
        <f>1/2.04</f>
        <v>0.49019607843137253</v>
      </c>
      <c r="S2" s="2"/>
      <c r="T2" s="2"/>
      <c r="U2" s="4">
        <f t="shared" ref="U2:U6" si="2">AVERAGE(Q2:S2)</f>
        <v>0.47983982325324492</v>
      </c>
      <c r="V2" s="4">
        <f t="shared" ref="V2:V6" si="3">LN(U2)*(0.001987203611*373.15)</f>
        <v>-0.54450400204623883</v>
      </c>
      <c r="W2" s="4">
        <f>(H2*1.95146853256722)+(I2*4.53535688165084)</f>
        <v>0.76337390715304854</v>
      </c>
      <c r="X2" s="4">
        <f>(W2-1.3422)/0.9347</f>
        <v>-0.61926403428581522</v>
      </c>
      <c r="Y2" s="4">
        <f>EXP(X2/(0.001987203611*373.15))</f>
        <v>0.4338214523333071</v>
      </c>
      <c r="Z2" s="30">
        <f>Y2/(Y2+1)</f>
        <v>0.30256309223671785</v>
      </c>
      <c r="AA2" s="4">
        <f>U2/(U2+1)</f>
        <v>0.32425118969860972</v>
      </c>
      <c r="AB2" s="2">
        <v>1</v>
      </c>
      <c r="AC2" s="2"/>
      <c r="AD2" s="4">
        <f>X2-V2</f>
        <v>-7.4760032239576391E-2</v>
      </c>
      <c r="AE2" s="2"/>
      <c r="AF2" s="2"/>
      <c r="AG2" s="2"/>
      <c r="AH2" s="2"/>
      <c r="AI2" s="2"/>
      <c r="AJ2" s="2"/>
      <c r="AK2" s="2"/>
      <c r="AL2" s="2"/>
      <c r="AM2" s="2"/>
    </row>
    <row r="3" spans="1:39" ht="13.2" x14ac:dyDescent="0.25">
      <c r="A3" s="2" t="s">
        <v>19</v>
      </c>
      <c r="B3" s="2" t="s">
        <v>17</v>
      </c>
      <c r="C3" s="2">
        <v>213.3</v>
      </c>
      <c r="D3" s="2">
        <v>212.2</v>
      </c>
      <c r="E3" s="2">
        <v>58.4</v>
      </c>
      <c r="F3" s="2">
        <v>57.2</v>
      </c>
      <c r="G3" s="2" t="s">
        <v>20</v>
      </c>
      <c r="H3" s="4">
        <f t="shared" ref="H3:H6" si="4">(D3*J3)/25.46</f>
        <v>-0.58342498036135115</v>
      </c>
      <c r="I3" s="4">
        <f t="shared" si="0"/>
        <v>0.45160947060388407</v>
      </c>
      <c r="J3" s="2">
        <v>-7.0000000000000007E-2</v>
      </c>
      <c r="K3" s="2">
        <v>0.56000000000000005</v>
      </c>
      <c r="L3" s="3">
        <v>0.64400000000000002</v>
      </c>
      <c r="M3" s="3">
        <v>0.60599999999999998</v>
      </c>
      <c r="N3" s="2"/>
      <c r="O3" s="2"/>
      <c r="P3" s="3">
        <f t="shared" si="1"/>
        <v>0.625</v>
      </c>
      <c r="Q3" s="4">
        <f>1/1.93</f>
        <v>0.5181347150259068</v>
      </c>
      <c r="R3" s="4">
        <f>1/2.04</f>
        <v>0.49019607843137253</v>
      </c>
      <c r="S3" s="2"/>
      <c r="T3" s="2"/>
      <c r="U3" s="4">
        <f t="shared" si="2"/>
        <v>0.50416539672863969</v>
      </c>
      <c r="V3" s="4">
        <f t="shared" si="3"/>
        <v>-0.50783407992184604</v>
      </c>
      <c r="W3" s="4">
        <f t="shared" ref="W3:W5" si="5">(H3*1.95146853256722)+(I3*4.53535688165084)</f>
        <v>0.90967463003319304</v>
      </c>
      <c r="X3" s="4">
        <f>(W3-1.3422)/0.9347</f>
        <v>-0.46274245208816417</v>
      </c>
      <c r="Y3" s="4">
        <f>EXP(X3/(0.001987203611*373.15))</f>
        <v>0.53577467799368172</v>
      </c>
      <c r="Z3" s="30">
        <f>Y3/(Y3+1)</f>
        <v>0.3488628154057154</v>
      </c>
      <c r="AA3" s="4">
        <f>U3/(U3+1)</f>
        <v>0.33517949410691977</v>
      </c>
      <c r="AB3" s="2">
        <v>2</v>
      </c>
      <c r="AC3" s="2"/>
      <c r="AD3" s="4">
        <f>X3-V3</f>
        <v>4.5091627833681869E-2</v>
      </c>
      <c r="AE3" s="2"/>
      <c r="AF3" s="2"/>
      <c r="AG3" s="2"/>
      <c r="AH3" s="2"/>
      <c r="AI3" s="2"/>
      <c r="AJ3" s="2"/>
      <c r="AK3" s="2"/>
      <c r="AL3" s="2"/>
      <c r="AM3" s="2"/>
    </row>
    <row r="4" spans="1:39" ht="13.2" x14ac:dyDescent="0.25">
      <c r="A4" s="2" t="s">
        <v>21</v>
      </c>
      <c r="B4" s="2" t="s">
        <v>17</v>
      </c>
      <c r="C4" s="2">
        <v>213.3</v>
      </c>
      <c r="D4" s="2">
        <v>212.2</v>
      </c>
      <c r="E4" s="2">
        <v>58.4</v>
      </c>
      <c r="F4" s="2">
        <v>57.2</v>
      </c>
      <c r="G4" s="2" t="s">
        <v>22</v>
      </c>
      <c r="H4" s="4">
        <f t="shared" si="4"/>
        <v>-0.58342498036135115</v>
      </c>
      <c r="I4" s="4">
        <f t="shared" si="0"/>
        <v>0.6128985672481283</v>
      </c>
      <c r="J4" s="2">
        <v>-7.0000000000000007E-2</v>
      </c>
      <c r="K4" s="2">
        <v>0.76</v>
      </c>
      <c r="L4" s="3">
        <v>0.59499999999999997</v>
      </c>
      <c r="M4" s="3">
        <v>0.65400000000000003</v>
      </c>
      <c r="N4" s="2"/>
      <c r="O4" s="2"/>
      <c r="P4" s="3">
        <f t="shared" si="1"/>
        <v>0.62450000000000006</v>
      </c>
      <c r="Q4" s="2">
        <f>1.23/1</f>
        <v>1.23</v>
      </c>
      <c r="R4" s="4">
        <f>1.21/1</f>
        <v>1.21</v>
      </c>
      <c r="S4" s="2"/>
      <c r="T4" s="2"/>
      <c r="U4" s="2">
        <f t="shared" si="2"/>
        <v>1.22</v>
      </c>
      <c r="V4" s="4">
        <f t="shared" si="3"/>
        <v>0.14745288848840082</v>
      </c>
      <c r="W4" s="4">
        <f t="shared" si="5"/>
        <v>1.6411782444339136</v>
      </c>
      <c r="X4" s="4">
        <f>(W4-1.3422)/0.9347</f>
        <v>0.31986545890008938</v>
      </c>
      <c r="Y4" s="4">
        <f>EXP(X4/(0.001987203611*373.15))</f>
        <v>1.5393521550657432</v>
      </c>
      <c r="Z4" s="30">
        <f>Y4/(Y4+1)</f>
        <v>0.60619877081439677</v>
      </c>
      <c r="AA4" s="4">
        <f>U4/(U4+1)</f>
        <v>0.5495495495495496</v>
      </c>
      <c r="AB4" s="2">
        <v>3</v>
      </c>
      <c r="AC4" s="2"/>
      <c r="AD4" s="4">
        <f>X4-V4</f>
        <v>0.17241257041168856</v>
      </c>
      <c r="AE4" s="2"/>
      <c r="AF4" s="2"/>
      <c r="AG4" s="2"/>
      <c r="AH4" s="2"/>
      <c r="AI4" s="2"/>
      <c r="AJ4" s="2"/>
      <c r="AK4" s="2"/>
      <c r="AL4" s="2"/>
      <c r="AM4" s="2"/>
    </row>
    <row r="5" spans="1:39" ht="13.2" x14ac:dyDescent="0.25">
      <c r="A5" s="2" t="s">
        <v>23</v>
      </c>
      <c r="B5" s="2" t="s">
        <v>17</v>
      </c>
      <c r="C5" s="2">
        <v>213.3</v>
      </c>
      <c r="D5" s="2">
        <v>212.2</v>
      </c>
      <c r="E5" s="2">
        <v>58.4</v>
      </c>
      <c r="F5" s="2">
        <v>57.2</v>
      </c>
      <c r="G5" s="2" t="s">
        <v>24</v>
      </c>
      <c r="H5" s="4">
        <f t="shared" si="4"/>
        <v>-0.83346425765907295</v>
      </c>
      <c r="I5" s="4">
        <f t="shared" si="0"/>
        <v>0.9999923991943146</v>
      </c>
      <c r="J5" s="2">
        <v>-0.1</v>
      </c>
      <c r="K5" s="2">
        <v>1.24</v>
      </c>
      <c r="L5" s="3">
        <v>0.49199999999999999</v>
      </c>
      <c r="M5" s="3">
        <v>0.68</v>
      </c>
      <c r="N5" s="3">
        <v>0.48399999999999999</v>
      </c>
      <c r="O5" s="3">
        <v>0.47199999999999998</v>
      </c>
      <c r="P5" s="3">
        <f t="shared" si="1"/>
        <v>0.55200000000000005</v>
      </c>
      <c r="Q5" s="2">
        <f>12.3/1</f>
        <v>12.3</v>
      </c>
      <c r="R5" s="2">
        <f>12.51/1</f>
        <v>12.51</v>
      </c>
      <c r="S5" s="2">
        <f>11.46/1</f>
        <v>11.46</v>
      </c>
      <c r="T5" s="2">
        <f>11.43/1</f>
        <v>11.43</v>
      </c>
      <c r="U5" s="2">
        <f t="shared" si="2"/>
        <v>12.090000000000002</v>
      </c>
      <c r="V5" s="4">
        <f t="shared" si="3"/>
        <v>1.848161157689775</v>
      </c>
      <c r="W5" s="4">
        <f t="shared" si="5"/>
        <v>2.9088431374432897</v>
      </c>
      <c r="X5" s="4">
        <f>(W5-1.3422)/0.9347</f>
        <v>1.6760919412039046</v>
      </c>
      <c r="Y5" s="4">
        <f>EXP(X5/(0.001987203611*373.15))</f>
        <v>9.5862608461757546</v>
      </c>
      <c r="Z5" s="30">
        <f>Y5/(Y5+1)</f>
        <v>0.90553794068268723</v>
      </c>
      <c r="AA5" s="4">
        <f>U5/(U5+1)</f>
        <v>0.92360580595874719</v>
      </c>
      <c r="AB5" s="2">
        <v>4</v>
      </c>
      <c r="AC5" s="2"/>
      <c r="AD5" s="4">
        <f>X5-V5</f>
        <v>-0.17206921648587037</v>
      </c>
      <c r="AE5" s="2"/>
      <c r="AF5" s="2"/>
      <c r="AG5" s="2"/>
      <c r="AH5" s="2"/>
      <c r="AI5" s="2"/>
      <c r="AJ5" s="2"/>
      <c r="AK5" s="2"/>
      <c r="AL5" s="2"/>
      <c r="AM5" s="2"/>
    </row>
    <row r="6" spans="1:39" ht="13.2" x14ac:dyDescent="0.25">
      <c r="A6" s="2" t="s">
        <v>25</v>
      </c>
      <c r="B6" s="2" t="s">
        <v>17</v>
      </c>
      <c r="C6" s="2">
        <v>213.3</v>
      </c>
      <c r="D6" s="2">
        <v>212.2</v>
      </c>
      <c r="E6" s="2">
        <v>58.4</v>
      </c>
      <c r="F6" s="2">
        <v>57.2</v>
      </c>
      <c r="G6" s="2" t="s">
        <v>26</v>
      </c>
      <c r="H6" s="4">
        <f t="shared" si="4"/>
        <v>1.0001571091908876</v>
      </c>
      <c r="I6" s="4">
        <f t="shared" si="0"/>
        <v>0.29032037395963972</v>
      </c>
      <c r="J6" s="2">
        <v>0.12</v>
      </c>
      <c r="K6" s="2">
        <v>0.36</v>
      </c>
      <c r="L6" s="3">
        <v>0.309</v>
      </c>
      <c r="M6" s="3">
        <v>0.32300000000000001</v>
      </c>
      <c r="N6" s="2"/>
      <c r="O6" s="2"/>
      <c r="P6" s="3">
        <f t="shared" si="1"/>
        <v>0.316</v>
      </c>
      <c r="Q6" s="2">
        <f>12.88/1</f>
        <v>12.88</v>
      </c>
      <c r="R6" s="2">
        <f>12.86/1</f>
        <v>12.86</v>
      </c>
      <c r="S6" s="2"/>
      <c r="T6" s="2"/>
      <c r="U6" s="4">
        <f t="shared" si="2"/>
        <v>12.870000000000001</v>
      </c>
      <c r="V6" s="4">
        <f t="shared" si="3"/>
        <v>1.8945215671162077</v>
      </c>
      <c r="W6" s="4">
        <f>(H6*1.95146853256722)+(I6*4.53535688165084)</f>
        <v>3.2684816321307117</v>
      </c>
      <c r="X6" s="4">
        <f>(W6-1.3422)/0.9347</f>
        <v>2.0608554960208747</v>
      </c>
      <c r="Y6" s="4">
        <f>EXP(X6/(0.001987203611*373.15))</f>
        <v>16.106329407057441</v>
      </c>
      <c r="Z6" s="30">
        <f>Y6/(Y6+1)</f>
        <v>0.94154210548597073</v>
      </c>
      <c r="AA6" s="4">
        <f>U6/(U6+1)</f>
        <v>0.92790194664744052</v>
      </c>
      <c r="AB6" s="2">
        <v>5</v>
      </c>
      <c r="AC6" s="2"/>
      <c r="AD6" s="4">
        <f>X6-V6</f>
        <v>0.16633392890466703</v>
      </c>
      <c r="AE6" s="2"/>
      <c r="AF6" s="2"/>
      <c r="AG6" s="2"/>
      <c r="AH6" s="2"/>
      <c r="AI6" s="2"/>
      <c r="AJ6" s="2"/>
      <c r="AK6" s="2"/>
      <c r="AL6" s="2"/>
      <c r="AM6" s="2"/>
    </row>
    <row r="7" spans="1:39" ht="13.2" x14ac:dyDescent="0.25">
      <c r="A7" s="13" t="s">
        <v>43</v>
      </c>
      <c r="B7" s="13" t="s">
        <v>42</v>
      </c>
      <c r="C7" s="13">
        <v>176.3</v>
      </c>
      <c r="D7" s="29">
        <v>168.2</v>
      </c>
      <c r="E7" s="13">
        <v>35.799999999999997</v>
      </c>
      <c r="F7" s="13">
        <v>32.799999999999997</v>
      </c>
      <c r="G7" s="13" t="s">
        <v>20</v>
      </c>
      <c r="H7" s="15">
        <f t="shared" ref="H7:H44" si="6">(D7*J7)/25.46</f>
        <v>-0.46245090337784761</v>
      </c>
      <c r="I7" s="15">
        <f t="shared" ref="I7:I44" si="7">(D7*K7)/263.13</f>
        <v>0.35796754455972335</v>
      </c>
      <c r="J7" s="13">
        <v>-7.0000000000000007E-2</v>
      </c>
      <c r="K7" s="13">
        <v>0.56000000000000005</v>
      </c>
      <c r="L7" s="14">
        <v>0.85099999999999998</v>
      </c>
      <c r="M7" s="14">
        <v>0.81200000000000006</v>
      </c>
      <c r="N7" s="13"/>
      <c r="O7" s="13"/>
      <c r="P7" s="14">
        <f t="shared" ref="P7:P17" si="8">AVERAGE(L7:N7)</f>
        <v>0.83150000000000002</v>
      </c>
      <c r="Q7" s="15">
        <f>1/2.41</f>
        <v>0.41493775933609955</v>
      </c>
      <c r="R7" s="15">
        <f>1/2.46</f>
        <v>0.4065040650406504</v>
      </c>
      <c r="S7" s="13"/>
      <c r="T7" s="13"/>
      <c r="U7" s="15">
        <f t="shared" ref="U7:U17" si="9">AVERAGE(Q7:S7)</f>
        <v>0.41072091218837498</v>
      </c>
      <c r="V7" s="15">
        <f t="shared" ref="V7:V44" si="10">LN(U7)*(0.001987203611*373.15)</f>
        <v>-0.65983962474136404</v>
      </c>
      <c r="W7" s="15">
        <f>(H7*1.93341236801329)+(I7*4.39773910387027)</f>
        <v>0.68013957243706924</v>
      </c>
      <c r="X7" s="13"/>
      <c r="Y7" s="13"/>
      <c r="Z7" s="13"/>
      <c r="AA7" s="13"/>
      <c r="AB7" s="13">
        <v>9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</row>
    <row r="8" spans="1:39" ht="13.2" x14ac:dyDescent="0.25">
      <c r="A8" s="13" t="s">
        <v>46</v>
      </c>
      <c r="B8" s="13" t="s">
        <v>42</v>
      </c>
      <c r="C8" s="13">
        <v>176.3</v>
      </c>
      <c r="D8" s="29">
        <v>168.2</v>
      </c>
      <c r="E8" s="13">
        <v>35.799999999999997</v>
      </c>
      <c r="F8" s="13">
        <v>32.799999999999997</v>
      </c>
      <c r="G8" s="13" t="s">
        <v>26</v>
      </c>
      <c r="H8" s="15">
        <f t="shared" si="6"/>
        <v>0.79277297721916717</v>
      </c>
      <c r="I8" s="15">
        <f t="shared" si="7"/>
        <v>0.23012199293125069</v>
      </c>
      <c r="J8" s="13">
        <v>0.12</v>
      </c>
      <c r="K8" s="13">
        <v>0.36</v>
      </c>
      <c r="L8" s="14">
        <v>0.25700000000000001</v>
      </c>
      <c r="M8" s="14">
        <v>0.28599999999999998</v>
      </c>
      <c r="N8" s="13"/>
      <c r="O8" s="13"/>
      <c r="P8" s="14">
        <f t="shared" si="8"/>
        <v>0.27149999999999996</v>
      </c>
      <c r="Q8" s="15">
        <f>5.32/1</f>
        <v>5.32</v>
      </c>
      <c r="R8" s="15">
        <f>5.39/1</f>
        <v>5.39</v>
      </c>
      <c r="S8" s="13"/>
      <c r="T8" s="13"/>
      <c r="U8" s="15">
        <f t="shared" si="9"/>
        <v>5.3550000000000004</v>
      </c>
      <c r="V8" s="15">
        <f t="shared" si="10"/>
        <v>1.2443017637621994</v>
      </c>
      <c r="W8" s="15">
        <f t="shared" ref="W8:W11" si="11">(H8*1.93341236801329)+(I8*4.39773910387027)</f>
        <v>2.5447735661565751</v>
      </c>
      <c r="X8" s="13"/>
      <c r="Y8" s="13"/>
      <c r="Z8" s="13"/>
      <c r="AA8" s="13"/>
      <c r="AB8" s="13">
        <v>33</v>
      </c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1:39" ht="13.2" x14ac:dyDescent="0.25">
      <c r="A9" s="13" t="s">
        <v>41</v>
      </c>
      <c r="B9" s="13" t="s">
        <v>42</v>
      </c>
      <c r="C9" s="13">
        <v>176.3</v>
      </c>
      <c r="D9" s="29">
        <v>168.2</v>
      </c>
      <c r="E9" s="13">
        <v>35.799999999999997</v>
      </c>
      <c r="F9" s="13">
        <v>32.799999999999997</v>
      </c>
      <c r="G9" s="13" t="s">
        <v>18</v>
      </c>
      <c r="H9" s="15">
        <f t="shared" si="6"/>
        <v>-0.46245090337784761</v>
      </c>
      <c r="I9" s="15">
        <f t="shared" si="7"/>
        <v>0.33239843423402882</v>
      </c>
      <c r="J9" s="13">
        <v>-7.0000000000000007E-2</v>
      </c>
      <c r="K9" s="13">
        <v>0.52</v>
      </c>
      <c r="L9" s="14">
        <v>0.79500000000000004</v>
      </c>
      <c r="M9" s="14">
        <v>0.78400000000000003</v>
      </c>
      <c r="N9" s="13"/>
      <c r="O9" s="13"/>
      <c r="P9" s="14">
        <f t="shared" si="8"/>
        <v>0.78950000000000009</v>
      </c>
      <c r="Q9" s="15">
        <f>0.37/1</f>
        <v>0.37</v>
      </c>
      <c r="R9" s="15">
        <f>0.36/1</f>
        <v>0.36</v>
      </c>
      <c r="S9" s="13"/>
      <c r="T9" s="13"/>
      <c r="U9" s="15">
        <f t="shared" si="9"/>
        <v>0.36499999999999999</v>
      </c>
      <c r="V9" s="15">
        <f t="shared" si="10"/>
        <v>-0.74735187579228024</v>
      </c>
      <c r="W9" s="15">
        <f t="shared" si="11"/>
        <v>0.56769329610658936</v>
      </c>
      <c r="X9" s="13"/>
      <c r="Y9" s="13"/>
      <c r="Z9" s="13"/>
      <c r="AA9" s="13"/>
      <c r="AB9" s="13">
        <v>31</v>
      </c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ht="13.2" x14ac:dyDescent="0.25">
      <c r="A10" s="13" t="s">
        <v>44</v>
      </c>
      <c r="B10" s="13" t="s">
        <v>42</v>
      </c>
      <c r="C10" s="13">
        <v>176.3</v>
      </c>
      <c r="D10" s="29">
        <v>168.2</v>
      </c>
      <c r="E10" s="13">
        <v>35.799999999999997</v>
      </c>
      <c r="F10" s="13">
        <v>32.799999999999997</v>
      </c>
      <c r="G10" s="13" t="s">
        <v>22</v>
      </c>
      <c r="H10" s="15">
        <f t="shared" si="6"/>
        <v>-0.46245090337784761</v>
      </c>
      <c r="I10" s="15">
        <f t="shared" si="7"/>
        <v>0.48581309618819596</v>
      </c>
      <c r="J10" s="13">
        <v>-7.0000000000000007E-2</v>
      </c>
      <c r="K10" s="13">
        <v>0.76</v>
      </c>
      <c r="L10" s="14">
        <v>0.74299999999999999</v>
      </c>
      <c r="M10" s="14">
        <v>0.82699999999999996</v>
      </c>
      <c r="N10" s="13"/>
      <c r="O10" s="13"/>
      <c r="P10" s="14">
        <f t="shared" si="8"/>
        <v>0.78499999999999992</v>
      </c>
      <c r="Q10" s="15">
        <f>1/1.17</f>
        <v>0.85470085470085477</v>
      </c>
      <c r="R10" s="15">
        <f>1/1.2</f>
        <v>0.83333333333333337</v>
      </c>
      <c r="S10" s="13"/>
      <c r="T10" s="13"/>
      <c r="U10" s="15">
        <f t="shared" si="9"/>
        <v>0.84401709401709413</v>
      </c>
      <c r="V10" s="15">
        <f t="shared" si="10"/>
        <v>-0.1257496909661617</v>
      </c>
      <c r="W10" s="15">
        <f t="shared" si="11"/>
        <v>1.242370954089469</v>
      </c>
      <c r="X10" s="13"/>
      <c r="Y10" s="13"/>
      <c r="Z10" s="13"/>
      <c r="AA10" s="13"/>
      <c r="AB10" s="13">
        <v>32</v>
      </c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</row>
    <row r="11" spans="1:39" ht="13.2" x14ac:dyDescent="0.25">
      <c r="A11" s="13" t="s">
        <v>45</v>
      </c>
      <c r="B11" s="13" t="s">
        <v>42</v>
      </c>
      <c r="C11" s="13">
        <v>176.3</v>
      </c>
      <c r="D11" s="29">
        <v>168.2</v>
      </c>
      <c r="E11" s="13">
        <v>35.799999999999997</v>
      </c>
      <c r="F11" s="13">
        <v>32.799999999999997</v>
      </c>
      <c r="G11" s="13" t="s">
        <v>24</v>
      </c>
      <c r="H11" s="15">
        <f t="shared" si="6"/>
        <v>-0.66064414768263946</v>
      </c>
      <c r="I11" s="15">
        <f t="shared" si="7"/>
        <v>0.79264242009653019</v>
      </c>
      <c r="J11" s="13">
        <v>-0.1</v>
      </c>
      <c r="K11" s="13">
        <v>1.24</v>
      </c>
      <c r="L11" s="14">
        <v>0.90600000000000003</v>
      </c>
      <c r="M11" s="14">
        <v>0.86599999999999999</v>
      </c>
      <c r="N11" s="13"/>
      <c r="O11" s="13"/>
      <c r="P11" s="14">
        <f t="shared" si="8"/>
        <v>0.88600000000000001</v>
      </c>
      <c r="Q11" s="15">
        <f>7.69/1</f>
        <v>7.69</v>
      </c>
      <c r="R11" s="15">
        <f>7.69/1</f>
        <v>7.69</v>
      </c>
      <c r="S11" s="13"/>
      <c r="T11" s="13"/>
      <c r="U11" s="15">
        <f t="shared" si="9"/>
        <v>7.69</v>
      </c>
      <c r="V11" s="15">
        <f t="shared" si="10"/>
        <v>1.5126523149827651</v>
      </c>
      <c r="W11" s="15">
        <f t="shared" si="11"/>
        <v>2.2085370002596632</v>
      </c>
      <c r="X11" s="13"/>
      <c r="Y11" s="13"/>
      <c r="Z11" s="13"/>
      <c r="AA11" s="13"/>
      <c r="AB11" s="13">
        <v>41</v>
      </c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</row>
    <row r="12" spans="1:39" ht="13.2" x14ac:dyDescent="0.25">
      <c r="A12" s="12" t="s">
        <v>36</v>
      </c>
      <c r="B12" s="9" t="s">
        <v>35</v>
      </c>
      <c r="C12" s="9">
        <v>176.8</v>
      </c>
      <c r="D12" s="9">
        <v>162.5</v>
      </c>
      <c r="E12" s="9">
        <v>40</v>
      </c>
      <c r="F12" s="9">
        <v>34.4</v>
      </c>
      <c r="G12" s="9" t="s">
        <v>20</v>
      </c>
      <c r="H12" s="11">
        <f t="shared" si="6"/>
        <v>-0.44677926158680287</v>
      </c>
      <c r="I12" s="11">
        <f t="shared" si="7"/>
        <v>0.34583665868582075</v>
      </c>
      <c r="J12" s="9">
        <v>-7.0000000000000007E-2</v>
      </c>
      <c r="K12" s="9">
        <v>0.56000000000000005</v>
      </c>
      <c r="L12" s="10">
        <v>0.59199999999999997</v>
      </c>
      <c r="M12" s="10">
        <v>0.62</v>
      </c>
      <c r="N12" s="9"/>
      <c r="O12" s="9"/>
      <c r="P12" s="10">
        <f t="shared" si="8"/>
        <v>0.60599999999999998</v>
      </c>
      <c r="Q12" s="11">
        <f>1/2.13</f>
        <v>0.46948356807511737</v>
      </c>
      <c r="R12" s="11">
        <f>1/2.13</f>
        <v>0.46948356807511737</v>
      </c>
      <c r="S12" s="9"/>
      <c r="T12" s="9"/>
      <c r="U12" s="11">
        <f t="shared" si="9"/>
        <v>0.46948356807511737</v>
      </c>
      <c r="V12" s="11">
        <f t="shared" si="10"/>
        <v>-0.56068337176436511</v>
      </c>
      <c r="W12" s="11">
        <f>(H12*1.94760070656381)+(I12*4.59376537994229)</f>
        <v>0.71854486424132702</v>
      </c>
      <c r="X12" s="9"/>
      <c r="Y12" s="9"/>
      <c r="Z12" s="9"/>
      <c r="AA12" s="9"/>
      <c r="AB12" s="9">
        <v>12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1:39" ht="13.2" x14ac:dyDescent="0.25">
      <c r="A13" s="12" t="s">
        <v>38</v>
      </c>
      <c r="B13" s="9" t="s">
        <v>35</v>
      </c>
      <c r="C13" s="9">
        <v>176.8</v>
      </c>
      <c r="D13" s="9">
        <v>162.5</v>
      </c>
      <c r="E13" s="9">
        <v>40</v>
      </c>
      <c r="F13" s="9">
        <v>34.4</v>
      </c>
      <c r="G13" s="9" t="s">
        <v>24</v>
      </c>
      <c r="H13" s="11">
        <f t="shared" si="6"/>
        <v>-0.63825608798114686</v>
      </c>
      <c r="I13" s="11">
        <f t="shared" si="7"/>
        <v>0.76578117280431723</v>
      </c>
      <c r="J13" s="9">
        <v>-0.1</v>
      </c>
      <c r="K13" s="9">
        <v>1.24</v>
      </c>
      <c r="L13" s="10">
        <v>0.27300000000000002</v>
      </c>
      <c r="M13" s="10">
        <v>0.155</v>
      </c>
      <c r="N13" s="9">
        <v>9.2999999999999999E-2</v>
      </c>
      <c r="O13" s="9"/>
      <c r="P13" s="10">
        <f t="shared" si="8"/>
        <v>0.17366666666666666</v>
      </c>
      <c r="Q13" s="11">
        <f>4.15/1</f>
        <v>4.1500000000000004</v>
      </c>
      <c r="R13" s="11">
        <v>3.63</v>
      </c>
      <c r="S13" s="9">
        <v>3.64</v>
      </c>
      <c r="T13" s="9"/>
      <c r="U13" s="11">
        <f t="shared" si="9"/>
        <v>3.8066666666666666</v>
      </c>
      <c r="V13" s="11">
        <f t="shared" si="10"/>
        <v>0.99123648392219033</v>
      </c>
      <c r="W13" s="11">
        <f t="shared" ref="W13:W17" si="12">(H13*1.94760070656381)+(I13*4.59376537994229)</f>
        <v>2.2747510323193425</v>
      </c>
      <c r="X13" s="9"/>
      <c r="Y13" s="9"/>
      <c r="Z13" s="9"/>
      <c r="AA13" s="9"/>
      <c r="AB13" s="9">
        <v>10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 spans="1:39" ht="13.2" x14ac:dyDescent="0.25">
      <c r="A14" s="12" t="s">
        <v>40</v>
      </c>
      <c r="B14" s="9" t="s">
        <v>35</v>
      </c>
      <c r="C14" s="9">
        <v>176.8</v>
      </c>
      <c r="D14" s="9">
        <v>162.5</v>
      </c>
      <c r="E14" s="9">
        <v>40</v>
      </c>
      <c r="F14" s="9">
        <v>34.4</v>
      </c>
      <c r="G14" s="9" t="s">
        <v>27</v>
      </c>
      <c r="H14" s="11">
        <f t="shared" si="6"/>
        <v>0.38295365278868815</v>
      </c>
      <c r="I14" s="11">
        <f t="shared" si="7"/>
        <v>0.35201231330521032</v>
      </c>
      <c r="J14" s="9">
        <v>0.06</v>
      </c>
      <c r="K14" s="9">
        <v>0.56999999999999995</v>
      </c>
      <c r="L14" s="10">
        <v>0.51900000000000002</v>
      </c>
      <c r="M14" s="10">
        <v>0.52700000000000002</v>
      </c>
      <c r="N14" s="9"/>
      <c r="O14" s="9"/>
      <c r="P14" s="10">
        <f t="shared" si="8"/>
        <v>0.52300000000000002</v>
      </c>
      <c r="Q14" s="11">
        <f>2.29/1</f>
        <v>2.29</v>
      </c>
      <c r="R14" s="11">
        <f>2.29/1</f>
        <v>2.29</v>
      </c>
      <c r="S14" s="9"/>
      <c r="T14" s="9"/>
      <c r="U14" s="11">
        <f t="shared" si="9"/>
        <v>2.29</v>
      </c>
      <c r="V14" s="11">
        <f t="shared" si="10"/>
        <v>0.61439190926005272</v>
      </c>
      <c r="W14" s="11">
        <f t="shared" si="12"/>
        <v>2.362902782927315</v>
      </c>
      <c r="X14" s="9"/>
      <c r="Y14" s="9"/>
      <c r="Z14" s="9"/>
      <c r="AA14" s="9"/>
      <c r="AB14" s="9">
        <v>15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:39" ht="13.2" x14ac:dyDescent="0.25">
      <c r="A15" s="12" t="s">
        <v>37</v>
      </c>
      <c r="B15" s="9" t="s">
        <v>35</v>
      </c>
      <c r="C15" s="9">
        <v>176.8</v>
      </c>
      <c r="D15" s="9">
        <v>162.5</v>
      </c>
      <c r="E15" s="9">
        <v>40</v>
      </c>
      <c r="F15" s="9">
        <v>34.4</v>
      </c>
      <c r="G15" s="9" t="s">
        <v>22</v>
      </c>
      <c r="H15" s="11">
        <f t="shared" si="6"/>
        <v>-0.44677926158680287</v>
      </c>
      <c r="I15" s="11">
        <f t="shared" si="7"/>
        <v>0.46934975107361382</v>
      </c>
      <c r="J15" s="9">
        <v>-7.0000000000000007E-2</v>
      </c>
      <c r="K15" s="9">
        <v>0.76</v>
      </c>
      <c r="L15" s="10">
        <v>0.51800000000000002</v>
      </c>
      <c r="M15" s="10">
        <v>0.44500000000000001</v>
      </c>
      <c r="N15" s="9"/>
      <c r="O15" s="9"/>
      <c r="P15" s="10">
        <f t="shared" si="8"/>
        <v>0.48150000000000004</v>
      </c>
      <c r="Q15" s="11">
        <f>1/1.04</f>
        <v>0.96153846153846145</v>
      </c>
      <c r="R15" s="11">
        <f>1/1.1</f>
        <v>0.90909090909090906</v>
      </c>
      <c r="S15" s="9"/>
      <c r="T15" s="9"/>
      <c r="U15" s="11">
        <f t="shared" si="9"/>
        <v>0.9353146853146852</v>
      </c>
      <c r="V15" s="11">
        <f t="shared" si="10"/>
        <v>-4.9587442926128815E-2</v>
      </c>
      <c r="W15" s="11">
        <f t="shared" si="12"/>
        <v>1.2859350320219847</v>
      </c>
      <c r="X15" s="9"/>
      <c r="Y15" s="9"/>
      <c r="Z15" s="9"/>
      <c r="AA15" s="9"/>
      <c r="AB15" s="9">
        <v>22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  <row r="16" spans="1:39" ht="13.2" x14ac:dyDescent="0.25">
      <c r="A16" s="12" t="s">
        <v>34</v>
      </c>
      <c r="B16" s="9" t="s">
        <v>35</v>
      </c>
      <c r="C16" s="9">
        <v>176.8</v>
      </c>
      <c r="D16" s="9">
        <v>162.5</v>
      </c>
      <c r="E16" s="9">
        <v>40</v>
      </c>
      <c r="F16" s="9">
        <v>34.4</v>
      </c>
      <c r="G16" s="9" t="s">
        <v>18</v>
      </c>
      <c r="H16" s="11">
        <f t="shared" si="6"/>
        <v>-0.44677926158680287</v>
      </c>
      <c r="I16" s="11">
        <f t="shared" si="7"/>
        <v>0.32113404020826208</v>
      </c>
      <c r="J16" s="9">
        <v>-7.0000000000000007E-2</v>
      </c>
      <c r="K16" s="9">
        <v>0.52</v>
      </c>
      <c r="L16" s="10">
        <v>0.56599999999999995</v>
      </c>
      <c r="M16" s="10">
        <v>0.67800000000000005</v>
      </c>
      <c r="N16" s="9">
        <v>0.61399999999999999</v>
      </c>
      <c r="O16" s="9"/>
      <c r="P16" s="10">
        <f t="shared" si="8"/>
        <v>0.6193333333333334</v>
      </c>
      <c r="Q16" s="11">
        <f>1/2.86</f>
        <v>0.34965034965034969</v>
      </c>
      <c r="R16" s="11">
        <f>1/2.78</f>
        <v>0.35971223021582738</v>
      </c>
      <c r="S16" s="9">
        <f>0.38/1</f>
        <v>0.38</v>
      </c>
      <c r="T16" s="9"/>
      <c r="U16" s="11">
        <f t="shared" si="9"/>
        <v>0.36312085995539239</v>
      </c>
      <c r="V16" s="11">
        <f t="shared" si="10"/>
        <v>-0.75117935154108739</v>
      </c>
      <c r="W16" s="11">
        <f t="shared" si="12"/>
        <v>0.6050668306851954</v>
      </c>
      <c r="X16" s="9"/>
      <c r="Y16" s="9"/>
      <c r="Z16" s="9"/>
      <c r="AA16" s="9" t="s">
        <v>103</v>
      </c>
      <c r="AB16" s="9">
        <v>25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spans="1:39" ht="13.2" x14ac:dyDescent="0.25">
      <c r="A17" s="12" t="s">
        <v>39</v>
      </c>
      <c r="B17" s="9" t="s">
        <v>35</v>
      </c>
      <c r="C17" s="9">
        <v>176.8</v>
      </c>
      <c r="D17" s="9">
        <v>162.5</v>
      </c>
      <c r="E17" s="9">
        <v>40</v>
      </c>
      <c r="F17" s="9">
        <v>34.4</v>
      </c>
      <c r="G17" s="9" t="s">
        <v>26</v>
      </c>
      <c r="H17" s="11">
        <f t="shared" si="6"/>
        <v>0.7659073055773763</v>
      </c>
      <c r="I17" s="11">
        <f t="shared" si="7"/>
        <v>0.2223235662980276</v>
      </c>
      <c r="J17" s="9">
        <v>0.12</v>
      </c>
      <c r="K17" s="9">
        <v>0.36</v>
      </c>
      <c r="L17" s="10">
        <v>0.54600000000000004</v>
      </c>
      <c r="M17" s="10">
        <v>0.47899999999999998</v>
      </c>
      <c r="N17" s="9">
        <v>0.433</v>
      </c>
      <c r="O17" s="9"/>
      <c r="P17" s="10">
        <f t="shared" si="8"/>
        <v>0.48599999999999999</v>
      </c>
      <c r="Q17" s="11">
        <f>8.84/1</f>
        <v>8.84</v>
      </c>
      <c r="R17" s="11">
        <f>9.2/1</f>
        <v>9.1999999999999993</v>
      </c>
      <c r="S17" s="9">
        <f>9.01/1</f>
        <v>9.01</v>
      </c>
      <c r="T17" s="9"/>
      <c r="U17" s="11">
        <f t="shared" si="9"/>
        <v>9.0166666666666657</v>
      </c>
      <c r="V17" s="11">
        <f t="shared" si="10"/>
        <v>1.6306689395977298</v>
      </c>
      <c r="W17" s="11">
        <f t="shared" si="12"/>
        <v>2.5129839115100658</v>
      </c>
      <c r="X17" s="9"/>
      <c r="Y17" s="9"/>
      <c r="Z17" s="9"/>
      <c r="AA17" s="9"/>
      <c r="AB17" s="9">
        <v>45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spans="1:39" s="41" customFormat="1" ht="13.2" x14ac:dyDescent="0.25">
      <c r="A18" s="36" t="s">
        <v>51</v>
      </c>
      <c r="B18" s="37" t="s">
        <v>48</v>
      </c>
      <c r="C18" s="37">
        <v>169.2</v>
      </c>
      <c r="D18" s="37">
        <v>163.30000000000001</v>
      </c>
      <c r="E18" s="37">
        <v>32</v>
      </c>
      <c r="F18" s="37">
        <v>30.2</v>
      </c>
      <c r="G18" s="37" t="s">
        <v>26</v>
      </c>
      <c r="H18" s="38">
        <f t="shared" si="6"/>
        <v>0.76967792615868025</v>
      </c>
      <c r="I18" s="38">
        <f t="shared" si="7"/>
        <v>0.22341808231672558</v>
      </c>
      <c r="J18" s="37">
        <v>0.12</v>
      </c>
      <c r="K18" s="37">
        <v>0.36</v>
      </c>
      <c r="L18" s="39">
        <v>0.36099999999999999</v>
      </c>
      <c r="M18" s="39">
        <v>0.39500000000000002</v>
      </c>
      <c r="N18" s="37"/>
      <c r="O18" s="37"/>
      <c r="P18" s="39">
        <f t="shared" ref="P18:P21" si="13">AVERAGE(L18:N18)</f>
        <v>0.378</v>
      </c>
      <c r="Q18" s="40">
        <f>8.6/1</f>
        <v>8.6</v>
      </c>
      <c r="R18" s="40">
        <f>8.6/1</f>
        <v>8.6</v>
      </c>
      <c r="S18" s="37"/>
      <c r="T18" s="37"/>
      <c r="U18" s="40">
        <f t="shared" ref="U18:U21" si="14">AVERAGE(Q18:S18)</f>
        <v>8.6</v>
      </c>
      <c r="V18" s="38">
        <f t="shared" si="10"/>
        <v>1.595585526826333</v>
      </c>
      <c r="W18" s="40">
        <f>(H18*2.0233507253693)+(I18*4.79400430188682)</f>
        <v>2.6283956379395903</v>
      </c>
      <c r="X18" s="37"/>
      <c r="Y18" s="37"/>
      <c r="Z18" s="37"/>
      <c r="AA18" s="37"/>
      <c r="AB18" s="37">
        <v>7</v>
      </c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</row>
    <row r="19" spans="1:39" s="41" customFormat="1" ht="13.2" x14ac:dyDescent="0.25">
      <c r="A19" s="37" t="s">
        <v>47</v>
      </c>
      <c r="B19" s="37" t="s">
        <v>48</v>
      </c>
      <c r="C19" s="37">
        <v>169.2</v>
      </c>
      <c r="D19" s="37">
        <v>163.30000000000001</v>
      </c>
      <c r="E19" s="37">
        <v>32</v>
      </c>
      <c r="F19" s="37">
        <v>30.2</v>
      </c>
      <c r="G19" s="37" t="s">
        <v>18</v>
      </c>
      <c r="H19" s="38">
        <f t="shared" si="6"/>
        <v>-0.44897879025923026</v>
      </c>
      <c r="I19" s="38">
        <f t="shared" si="7"/>
        <v>0.32271500779082585</v>
      </c>
      <c r="J19" s="37">
        <v>-7.0000000000000007E-2</v>
      </c>
      <c r="K19" s="37">
        <v>0.52</v>
      </c>
      <c r="L19" s="39">
        <v>0.67700000000000005</v>
      </c>
      <c r="M19" s="39">
        <v>0.71399999999999997</v>
      </c>
      <c r="N19" s="37"/>
      <c r="O19" s="37"/>
      <c r="P19" s="39">
        <f t="shared" si="13"/>
        <v>0.69550000000000001</v>
      </c>
      <c r="Q19" s="40">
        <f>1/1.47</f>
        <v>0.68027210884353739</v>
      </c>
      <c r="R19" s="40">
        <f>1/1.52</f>
        <v>0.65789473684210531</v>
      </c>
      <c r="S19" s="37"/>
      <c r="T19" s="37"/>
      <c r="U19" s="40">
        <f t="shared" si="14"/>
        <v>0.6690834228428213</v>
      </c>
      <c r="V19" s="38">
        <f t="shared" si="10"/>
        <v>-0.29797925830154015</v>
      </c>
      <c r="W19" s="40">
        <f t="shared" ref="W19:W23" si="15">(H19*2.0233507253693)+(I19*4.79400430188682)</f>
        <v>0.63865557468621337</v>
      </c>
      <c r="X19" s="37"/>
      <c r="Y19" s="37"/>
      <c r="Z19" s="37"/>
      <c r="AA19" s="37"/>
      <c r="AB19" s="37">
        <v>17</v>
      </c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</row>
    <row r="20" spans="1:39" s="41" customFormat="1" ht="13.2" x14ac:dyDescent="0.25">
      <c r="A20" s="36" t="s">
        <v>50</v>
      </c>
      <c r="B20" s="37" t="s">
        <v>48</v>
      </c>
      <c r="C20" s="37">
        <v>169.2</v>
      </c>
      <c r="D20" s="37">
        <v>163.30000000000001</v>
      </c>
      <c r="E20" s="37">
        <v>32</v>
      </c>
      <c r="F20" s="37">
        <v>30.2</v>
      </c>
      <c r="G20" s="37" t="s">
        <v>22</v>
      </c>
      <c r="H20" s="38">
        <f t="shared" si="6"/>
        <v>-0.44897879025923026</v>
      </c>
      <c r="I20" s="38">
        <f t="shared" si="7"/>
        <v>0.47166039600197623</v>
      </c>
      <c r="J20" s="37">
        <v>-7.0000000000000007E-2</v>
      </c>
      <c r="K20" s="37">
        <v>0.76</v>
      </c>
      <c r="L20" s="39">
        <v>0.72399999999999998</v>
      </c>
      <c r="M20" s="39">
        <v>0.68799999999999994</v>
      </c>
      <c r="N20" s="37"/>
      <c r="O20" s="37"/>
      <c r="P20" s="39">
        <f t="shared" si="13"/>
        <v>0.70599999999999996</v>
      </c>
      <c r="Q20" s="40">
        <v>1.45</v>
      </c>
      <c r="R20" s="40">
        <v>1.51</v>
      </c>
      <c r="S20" s="37"/>
      <c r="T20" s="37"/>
      <c r="U20" s="40">
        <f t="shared" si="14"/>
        <v>1.48</v>
      </c>
      <c r="V20" s="38">
        <f t="shared" si="10"/>
        <v>0.29070901989757381</v>
      </c>
      <c r="W20" s="40">
        <f t="shared" si="15"/>
        <v>1.3527004065166706</v>
      </c>
      <c r="X20" s="37"/>
      <c r="Y20" s="37"/>
      <c r="Z20" s="37"/>
      <c r="AA20" s="37"/>
      <c r="AB20" s="37">
        <v>21</v>
      </c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</row>
    <row r="21" spans="1:39" s="41" customFormat="1" ht="13.2" x14ac:dyDescent="0.25">
      <c r="A21" s="36" t="s">
        <v>52</v>
      </c>
      <c r="B21" s="37" t="s">
        <v>48</v>
      </c>
      <c r="C21" s="37">
        <v>169.2</v>
      </c>
      <c r="D21" s="37">
        <v>163.30000000000001</v>
      </c>
      <c r="E21" s="37">
        <v>32</v>
      </c>
      <c r="F21" s="37">
        <v>30.2</v>
      </c>
      <c r="G21" s="37" t="s">
        <v>27</v>
      </c>
      <c r="H21" s="38">
        <f t="shared" si="6"/>
        <v>0.38483896307934012</v>
      </c>
      <c r="I21" s="38">
        <f t="shared" si="7"/>
        <v>0.35374529700148216</v>
      </c>
      <c r="J21" s="37">
        <v>0.06</v>
      </c>
      <c r="K21" s="37">
        <v>0.56999999999999995</v>
      </c>
      <c r="L21" s="39">
        <v>0.41199999999999998</v>
      </c>
      <c r="M21" s="39">
        <v>0.49199999999999999</v>
      </c>
      <c r="N21" s="37"/>
      <c r="O21" s="37"/>
      <c r="P21" s="39">
        <f t="shared" si="13"/>
        <v>0.45199999999999996</v>
      </c>
      <c r="Q21" s="40">
        <f>2.54/1</f>
        <v>2.54</v>
      </c>
      <c r="R21" s="40">
        <f>2.54/1</f>
        <v>2.54</v>
      </c>
      <c r="S21" s="37"/>
      <c r="T21" s="37"/>
      <c r="U21" s="40">
        <f t="shared" si="14"/>
        <v>2.54</v>
      </c>
      <c r="V21" s="38">
        <f t="shared" si="10"/>
        <v>0.6912229957690178</v>
      </c>
      <c r="W21" s="40">
        <f t="shared" si="15"/>
        <v>2.4745206706942882</v>
      </c>
      <c r="X21" s="37"/>
      <c r="Y21" s="37"/>
      <c r="Z21" s="37"/>
      <c r="AA21" s="37"/>
      <c r="AB21" s="37">
        <v>35</v>
      </c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</row>
    <row r="22" spans="1:39" s="41" customFormat="1" ht="13.2" x14ac:dyDescent="0.25">
      <c r="A22" s="36" t="s">
        <v>73</v>
      </c>
      <c r="B22" s="37" t="s">
        <v>48</v>
      </c>
      <c r="C22" s="37">
        <v>169.2</v>
      </c>
      <c r="D22" s="37">
        <v>163.30000000000001</v>
      </c>
      <c r="E22" s="37">
        <v>32</v>
      </c>
      <c r="F22" s="37">
        <v>30.2</v>
      </c>
      <c r="G22" s="37" t="s">
        <v>24</v>
      </c>
      <c r="H22" s="38">
        <f t="shared" si="6"/>
        <v>-0.6413982717989003</v>
      </c>
      <c r="I22" s="38">
        <f t="shared" si="7"/>
        <v>0.76955117242427706</v>
      </c>
      <c r="J22" s="37">
        <v>-0.1</v>
      </c>
      <c r="K22" s="37">
        <v>1.24</v>
      </c>
      <c r="L22" s="42">
        <v>0.19800000000000001</v>
      </c>
      <c r="M22" s="42">
        <v>0.22900000000000001</v>
      </c>
      <c r="N22" s="42"/>
      <c r="O22" s="42"/>
      <c r="P22" s="42">
        <f>AVERAGE(L22:O22)</f>
        <v>0.21350000000000002</v>
      </c>
      <c r="Q22" s="37">
        <v>3.26</v>
      </c>
      <c r="R22" s="37">
        <v>3.22</v>
      </c>
      <c r="S22" s="37"/>
      <c r="T22" s="37"/>
      <c r="U22" s="40">
        <f>AVERAGE(Q22:T22)</f>
        <v>3.24</v>
      </c>
      <c r="V22" s="38">
        <f t="shared" si="10"/>
        <v>0.87171704564628627</v>
      </c>
      <c r="W22" s="40">
        <f t="shared" si="15"/>
        <v>2.3914579726291096</v>
      </c>
      <c r="X22" s="37"/>
      <c r="Y22" s="37"/>
      <c r="Z22" s="37"/>
      <c r="AA22" s="37"/>
      <c r="AB22" s="37">
        <v>39</v>
      </c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</row>
    <row r="23" spans="1:39" s="41" customFormat="1" ht="13.2" x14ac:dyDescent="0.25">
      <c r="A23" s="36" t="s">
        <v>49</v>
      </c>
      <c r="B23" s="37" t="s">
        <v>48</v>
      </c>
      <c r="C23" s="37">
        <v>169.2</v>
      </c>
      <c r="D23" s="37">
        <v>163.30000000000001</v>
      </c>
      <c r="E23" s="37">
        <v>32</v>
      </c>
      <c r="F23" s="37">
        <v>30.2</v>
      </c>
      <c r="G23" s="37" t="s">
        <v>20</v>
      </c>
      <c r="H23" s="38">
        <f t="shared" si="6"/>
        <v>-0.44897879025923026</v>
      </c>
      <c r="I23" s="38">
        <f t="shared" si="7"/>
        <v>0.34753923915935098</v>
      </c>
      <c r="J23" s="37">
        <v>-7.0000000000000007E-2</v>
      </c>
      <c r="K23" s="37">
        <v>0.56000000000000005</v>
      </c>
      <c r="L23" s="39">
        <v>0.73</v>
      </c>
      <c r="M23" s="39">
        <v>0.69499999999999995</v>
      </c>
      <c r="N23" s="37"/>
      <c r="O23" s="37"/>
      <c r="P23" s="39">
        <f t="shared" ref="P23:P28" si="16">AVERAGE(L23:N23)</f>
        <v>0.71249999999999991</v>
      </c>
      <c r="Q23" s="40">
        <f>1/1.01</f>
        <v>0.99009900990099009</v>
      </c>
      <c r="R23" s="40">
        <f>1/1.1</f>
        <v>0.90909090909090906</v>
      </c>
      <c r="S23" s="37"/>
      <c r="T23" s="37"/>
      <c r="U23" s="40">
        <f t="shared" ref="U23:U28" si="17">AVERAGE(Q23:S23)</f>
        <v>0.94959495949594963</v>
      </c>
      <c r="V23" s="38">
        <f t="shared" si="10"/>
        <v>-3.8351484388420377E-2</v>
      </c>
      <c r="W23" s="40">
        <f t="shared" si="15"/>
        <v>0.75766304665795647</v>
      </c>
      <c r="X23" s="37"/>
      <c r="Y23" s="37"/>
      <c r="Z23" s="37"/>
      <c r="AA23" s="37"/>
      <c r="AB23" s="37">
        <v>40</v>
      </c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</row>
    <row r="24" spans="1:39" ht="13.2" x14ac:dyDescent="0.25">
      <c r="A24" s="26" t="s">
        <v>69</v>
      </c>
      <c r="B24" s="23" t="s">
        <v>67</v>
      </c>
      <c r="C24" s="23">
        <v>159</v>
      </c>
      <c r="D24" s="23">
        <v>140.30000000000001</v>
      </c>
      <c r="E24" s="23">
        <v>26.6</v>
      </c>
      <c r="F24" s="23">
        <v>24.4</v>
      </c>
      <c r="G24" s="23" t="s">
        <v>22</v>
      </c>
      <c r="H24" s="25">
        <f t="shared" si="6"/>
        <v>-0.38574234092694426</v>
      </c>
      <c r="I24" s="25">
        <f t="shared" si="7"/>
        <v>0.4052293543115571</v>
      </c>
      <c r="J24" s="23">
        <v>-7.0000000000000007E-2</v>
      </c>
      <c r="K24" s="23">
        <v>0.76</v>
      </c>
      <c r="L24" s="24">
        <v>0.505</v>
      </c>
      <c r="M24" s="24">
        <v>0.45400000000000001</v>
      </c>
      <c r="N24" s="23"/>
      <c r="O24" s="23"/>
      <c r="P24" s="24">
        <f t="shared" si="16"/>
        <v>0.47950000000000004</v>
      </c>
      <c r="Q24" s="25">
        <f>1/1.62</f>
        <v>0.61728395061728392</v>
      </c>
      <c r="R24" s="25">
        <f>1/1.66</f>
        <v>0.60240963855421692</v>
      </c>
      <c r="S24" s="23"/>
      <c r="T24" s="23"/>
      <c r="U24" s="25">
        <f t="shared" si="17"/>
        <v>0.60984679458575042</v>
      </c>
      <c r="V24" s="25">
        <f t="shared" si="10"/>
        <v>-0.36671935575980447</v>
      </c>
      <c r="W24" s="25">
        <f>(H24*1.95886755305245)+(I24*4.67415289938805)</f>
        <v>1.1384858058922247</v>
      </c>
      <c r="X24" s="23"/>
      <c r="Y24" s="23"/>
      <c r="Z24" s="23"/>
      <c r="AA24" s="23"/>
      <c r="AB24" s="23">
        <v>8</v>
      </c>
      <c r="AC24" s="23"/>
      <c r="AD24" s="25" t="e">
        <f>AVERAGE(AD19:AD23)</f>
        <v>#DIV/0!</v>
      </c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ht="13.2" x14ac:dyDescent="0.25">
      <c r="A25" s="26" t="s">
        <v>70</v>
      </c>
      <c r="B25" s="23" t="s">
        <v>67</v>
      </c>
      <c r="C25" s="23">
        <v>159</v>
      </c>
      <c r="D25" s="23">
        <v>140.30000000000001</v>
      </c>
      <c r="E25" s="23">
        <v>26.6</v>
      </c>
      <c r="F25" s="23">
        <v>24.4</v>
      </c>
      <c r="G25" s="23" t="s">
        <v>26</v>
      </c>
      <c r="H25" s="25">
        <f t="shared" si="6"/>
        <v>0.66127258444619019</v>
      </c>
      <c r="I25" s="25">
        <f t="shared" si="7"/>
        <v>0.1919507467791586</v>
      </c>
      <c r="J25" s="23">
        <v>0.12</v>
      </c>
      <c r="K25" s="23">
        <v>0.36</v>
      </c>
      <c r="L25" s="24">
        <v>0.39100000000000001</v>
      </c>
      <c r="M25" s="24">
        <v>0.36699999999999999</v>
      </c>
      <c r="N25" s="23"/>
      <c r="O25" s="23"/>
      <c r="P25" s="24">
        <f t="shared" si="16"/>
        <v>0.379</v>
      </c>
      <c r="Q25" s="23">
        <f>6.84/1</f>
        <v>6.84</v>
      </c>
      <c r="R25" s="23">
        <f>6.83/1</f>
        <v>6.83</v>
      </c>
      <c r="S25" s="23"/>
      <c r="T25" s="23"/>
      <c r="U25" s="25">
        <f t="shared" si="17"/>
        <v>6.835</v>
      </c>
      <c r="V25" s="25">
        <f t="shared" si="10"/>
        <v>1.425252976797361</v>
      </c>
      <c r="W25" s="25">
        <f t="shared" ref="W25:W28" si="18">(H25*1.95886755305245)+(I25*4.67415289938805)</f>
        <v>2.1925525489922837</v>
      </c>
      <c r="X25" s="23"/>
      <c r="Y25" s="23"/>
      <c r="Z25" s="23"/>
      <c r="AA25" s="23"/>
      <c r="AB25" s="23">
        <v>19</v>
      </c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ht="13.2" x14ac:dyDescent="0.25">
      <c r="A26" s="26" t="s">
        <v>68</v>
      </c>
      <c r="B26" s="23" t="s">
        <v>67</v>
      </c>
      <c r="C26" s="23">
        <v>159</v>
      </c>
      <c r="D26" s="23">
        <v>140.30000000000001</v>
      </c>
      <c r="E26" s="23">
        <v>26.6</v>
      </c>
      <c r="F26" s="23">
        <v>24.4</v>
      </c>
      <c r="G26" s="23" t="s">
        <v>20</v>
      </c>
      <c r="H26" s="25">
        <f t="shared" si="6"/>
        <v>-0.38574234092694426</v>
      </c>
      <c r="I26" s="25">
        <f t="shared" si="7"/>
        <v>0.29859005054535787</v>
      </c>
      <c r="J26" s="23">
        <v>-7.0000000000000007E-2</v>
      </c>
      <c r="K26" s="23">
        <v>0.56000000000000005</v>
      </c>
      <c r="L26" s="24">
        <v>0.48099999999999998</v>
      </c>
      <c r="M26" s="24">
        <v>0.498</v>
      </c>
      <c r="N26" s="23"/>
      <c r="O26" s="23"/>
      <c r="P26" s="24">
        <f t="shared" si="16"/>
        <v>0.48949999999999999</v>
      </c>
      <c r="Q26" s="25">
        <f>1/1.9</f>
        <v>0.52631578947368418</v>
      </c>
      <c r="R26" s="25">
        <f>1/1.87</f>
        <v>0.53475935828876997</v>
      </c>
      <c r="S26" s="23"/>
      <c r="T26" s="23"/>
      <c r="U26" s="25">
        <f t="shared" si="17"/>
        <v>0.53053757388122702</v>
      </c>
      <c r="V26" s="25">
        <f t="shared" si="10"/>
        <v>-0.47002638789559903</v>
      </c>
      <c r="W26" s="25">
        <f t="shared" si="18"/>
        <v>0.64003739500472157</v>
      </c>
      <c r="X26" s="23"/>
      <c r="Y26" s="23"/>
      <c r="Z26" s="23"/>
      <c r="AA26" s="23"/>
      <c r="AB26" s="23">
        <v>26</v>
      </c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ht="13.2" x14ac:dyDescent="0.25">
      <c r="A27" s="23" t="s">
        <v>66</v>
      </c>
      <c r="B27" s="23" t="s">
        <v>67</v>
      </c>
      <c r="C27" s="23">
        <v>159</v>
      </c>
      <c r="D27" s="23">
        <v>140.30000000000001</v>
      </c>
      <c r="E27" s="23">
        <v>26.6</v>
      </c>
      <c r="F27" s="23">
        <v>24.4</v>
      </c>
      <c r="G27" s="23" t="s">
        <v>18</v>
      </c>
      <c r="H27" s="25">
        <f t="shared" si="6"/>
        <v>-0.38574234092694426</v>
      </c>
      <c r="I27" s="25">
        <f t="shared" si="7"/>
        <v>0.27726218979211797</v>
      </c>
      <c r="J27" s="23">
        <v>-7.0000000000000007E-2</v>
      </c>
      <c r="K27" s="23">
        <v>0.52</v>
      </c>
      <c r="L27" s="24">
        <v>0.47099999999999997</v>
      </c>
      <c r="M27" s="24">
        <v>0.48899999999999999</v>
      </c>
      <c r="N27" s="23"/>
      <c r="O27" s="23"/>
      <c r="P27" s="24">
        <f t="shared" si="16"/>
        <v>0.48</v>
      </c>
      <c r="Q27" s="23">
        <f>0.5/1</f>
        <v>0.5</v>
      </c>
      <c r="R27" s="23">
        <f>0.51/1</f>
        <v>0.51</v>
      </c>
      <c r="S27" s="23"/>
      <c r="T27" s="23"/>
      <c r="U27" s="25">
        <f t="shared" si="17"/>
        <v>0.505</v>
      </c>
      <c r="V27" s="25">
        <f t="shared" si="10"/>
        <v>-0.50660756272891638</v>
      </c>
      <c r="W27" s="25">
        <f t="shared" si="18"/>
        <v>0.54034771282722072</v>
      </c>
      <c r="X27" s="23"/>
      <c r="Y27" s="23"/>
      <c r="Z27" s="23"/>
      <c r="AA27" s="23"/>
      <c r="AB27" s="23">
        <v>28</v>
      </c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ht="13.2" x14ac:dyDescent="0.25">
      <c r="A28" s="26" t="s">
        <v>71</v>
      </c>
      <c r="B28" s="23" t="s">
        <v>67</v>
      </c>
      <c r="C28" s="23">
        <v>159</v>
      </c>
      <c r="D28" s="23">
        <v>140.30000000000001</v>
      </c>
      <c r="E28" s="23">
        <v>26.6</v>
      </c>
      <c r="F28" s="23">
        <v>24.4</v>
      </c>
      <c r="G28" s="23" t="s">
        <v>27</v>
      </c>
      <c r="H28" s="25">
        <f t="shared" si="6"/>
        <v>0.3306362922230951</v>
      </c>
      <c r="I28" s="25">
        <f t="shared" si="7"/>
        <v>0.30392201573366778</v>
      </c>
      <c r="J28" s="23">
        <v>0.06</v>
      </c>
      <c r="K28" s="23">
        <v>0.56999999999999995</v>
      </c>
      <c r="L28" s="24">
        <v>0.52400000000000002</v>
      </c>
      <c r="M28" s="24">
        <v>0.42499999999999999</v>
      </c>
      <c r="N28" s="24">
        <v>0.40300000000000002</v>
      </c>
      <c r="O28" s="24"/>
      <c r="P28" s="24">
        <f t="shared" si="16"/>
        <v>0.45066666666666672</v>
      </c>
      <c r="Q28" s="23">
        <f>1.88/1</f>
        <v>1.88</v>
      </c>
      <c r="R28" s="23">
        <f>1.83/1</f>
        <v>1.83</v>
      </c>
      <c r="S28" s="23">
        <f>1.8/1</f>
        <v>1.8</v>
      </c>
      <c r="T28" s="23"/>
      <c r="U28" s="25">
        <f t="shared" si="17"/>
        <v>1.8366666666666667</v>
      </c>
      <c r="V28" s="25">
        <f t="shared" si="10"/>
        <v>0.4508118715227144</v>
      </c>
      <c r="W28" s="25">
        <f t="shared" si="18"/>
        <v>2.0682506757267731</v>
      </c>
      <c r="X28" s="23"/>
      <c r="Y28" s="23"/>
      <c r="Z28" s="23"/>
      <c r="AA28" s="23"/>
      <c r="AB28" s="23">
        <v>30</v>
      </c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ht="13.2" x14ac:dyDescent="0.25">
      <c r="A29" s="20" t="s">
        <v>65</v>
      </c>
      <c r="B29" s="20" t="s">
        <v>61</v>
      </c>
      <c r="C29" s="20">
        <v>142.30000000000001</v>
      </c>
      <c r="D29" s="20">
        <v>139.1</v>
      </c>
      <c r="E29" s="20">
        <v>25.7</v>
      </c>
      <c r="F29" s="20">
        <v>25.7</v>
      </c>
      <c r="G29" s="20" t="s">
        <v>27</v>
      </c>
      <c r="H29" s="22">
        <f t="shared" si="6"/>
        <v>0.32780832678711702</v>
      </c>
      <c r="I29" s="22">
        <f t="shared" si="7"/>
        <v>0.30132254018926002</v>
      </c>
      <c r="J29" s="20">
        <v>0.06</v>
      </c>
      <c r="K29" s="20">
        <v>0.56999999999999995</v>
      </c>
      <c r="L29" s="21">
        <v>0.54400000000000004</v>
      </c>
      <c r="M29" s="21">
        <v>0.59199999999999997</v>
      </c>
      <c r="N29" s="20"/>
      <c r="O29" s="20"/>
      <c r="P29" s="21">
        <f t="shared" ref="P29:P33" si="19">AVERAGE(L29:N29)</f>
        <v>0.56800000000000006</v>
      </c>
      <c r="Q29" s="20">
        <f>2.15/1</f>
        <v>2.15</v>
      </c>
      <c r="R29" s="20">
        <f>2.13/1</f>
        <v>2.13</v>
      </c>
      <c r="S29" s="20"/>
      <c r="T29" s="20"/>
      <c r="U29" s="22">
        <f t="shared" ref="U29:U33" si="20">AVERAGE(Q29:S29)</f>
        <v>2.1399999999999997</v>
      </c>
      <c r="V29" s="22">
        <f t="shared" si="10"/>
        <v>0.56415656325430852</v>
      </c>
      <c r="W29" s="22">
        <f>(H29*1.94929052566916)+(I29*4.64854508751746)</f>
        <v>2.0397050795966543</v>
      </c>
      <c r="X29" s="20"/>
      <c r="Y29" s="20"/>
      <c r="Z29" s="20"/>
      <c r="AA29" s="20"/>
      <c r="AB29" s="20">
        <v>42</v>
      </c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</row>
    <row r="30" spans="1:39" ht="13.2" x14ac:dyDescent="0.25">
      <c r="A30" s="20" t="s">
        <v>60</v>
      </c>
      <c r="B30" s="20" t="s">
        <v>61</v>
      </c>
      <c r="C30" s="20">
        <v>142.30000000000001</v>
      </c>
      <c r="D30" s="20">
        <v>139.1</v>
      </c>
      <c r="E30" s="20">
        <v>25.7</v>
      </c>
      <c r="F30" s="20">
        <v>25.7</v>
      </c>
      <c r="G30" s="20" t="s">
        <v>18</v>
      </c>
      <c r="H30" s="22">
        <f t="shared" si="6"/>
        <v>-0.38244304791830319</v>
      </c>
      <c r="I30" s="22">
        <f t="shared" si="7"/>
        <v>0.27489073841827233</v>
      </c>
      <c r="J30" s="20">
        <v>-7.0000000000000007E-2</v>
      </c>
      <c r="K30" s="20">
        <v>0.52</v>
      </c>
      <c r="L30" s="21">
        <v>0.52900000000000003</v>
      </c>
      <c r="M30" s="21">
        <v>0.53700000000000003</v>
      </c>
      <c r="N30" s="20"/>
      <c r="O30" s="20"/>
      <c r="P30" s="21">
        <f t="shared" si="19"/>
        <v>0.53300000000000003</v>
      </c>
      <c r="Q30" s="20">
        <f>1/2.17</f>
        <v>0.46082949308755761</v>
      </c>
      <c r="R30" s="20">
        <f>1/2.13</f>
        <v>0.46948356807511737</v>
      </c>
      <c r="S30" s="20"/>
      <c r="T30" s="20"/>
      <c r="U30" s="22">
        <f t="shared" si="20"/>
        <v>0.46515653058133749</v>
      </c>
      <c r="V30" s="22">
        <f t="shared" si="10"/>
        <v>-0.56754939329520815</v>
      </c>
      <c r="W30" s="22">
        <f t="shared" ref="W30:W32" si="21">(H30*1.94929052566916)+(I30*4.64854508751746)</f>
        <v>0.53234938176312208</v>
      </c>
      <c r="X30" s="20"/>
      <c r="Y30" s="20"/>
      <c r="Z30" s="20"/>
      <c r="AA30" s="20"/>
      <c r="AB30" s="20">
        <v>23</v>
      </c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</row>
    <row r="31" spans="1:39" ht="13.2" x14ac:dyDescent="0.25">
      <c r="A31" s="20" t="s">
        <v>63</v>
      </c>
      <c r="B31" s="20" t="s">
        <v>61</v>
      </c>
      <c r="C31" s="20">
        <v>142.30000000000001</v>
      </c>
      <c r="D31" s="20">
        <v>139.1</v>
      </c>
      <c r="E31" s="20">
        <v>25.7</v>
      </c>
      <c r="F31" s="20">
        <v>25.7</v>
      </c>
      <c r="G31" s="20" t="s">
        <v>22</v>
      </c>
      <c r="H31" s="22">
        <f t="shared" si="6"/>
        <v>-0.38244304791830319</v>
      </c>
      <c r="I31" s="22">
        <f t="shared" si="7"/>
        <v>0.40176338691901342</v>
      </c>
      <c r="J31" s="20">
        <v>-7.0000000000000007E-2</v>
      </c>
      <c r="K31" s="20">
        <v>0.76</v>
      </c>
      <c r="L31" s="21">
        <v>0.53500000000000003</v>
      </c>
      <c r="M31" s="21">
        <v>0.49099999999999999</v>
      </c>
      <c r="N31" s="20"/>
      <c r="O31" s="20"/>
      <c r="P31" s="21">
        <f t="shared" si="19"/>
        <v>0.51300000000000001</v>
      </c>
      <c r="Q31" s="20">
        <f>1/1.74</f>
        <v>0.57471264367816088</v>
      </c>
      <c r="R31" s="20">
        <f>1/1.75</f>
        <v>0.5714285714285714</v>
      </c>
      <c r="S31" s="20"/>
      <c r="T31" s="20"/>
      <c r="U31" s="22">
        <f t="shared" si="20"/>
        <v>0.57307060755336614</v>
      </c>
      <c r="V31" s="22">
        <f t="shared" si="10"/>
        <v>-0.41284134913213522</v>
      </c>
      <c r="W31" s="22">
        <f t="shared" si="21"/>
        <v>1.1221226086915714</v>
      </c>
      <c r="X31" s="20"/>
      <c r="Y31" s="20"/>
      <c r="Z31" s="20"/>
      <c r="AA31" s="20"/>
      <c r="AB31" s="20">
        <v>36</v>
      </c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</row>
    <row r="32" spans="1:39" ht="13.2" x14ac:dyDescent="0.25">
      <c r="A32" s="20" t="s">
        <v>64</v>
      </c>
      <c r="B32" s="20" t="s">
        <v>61</v>
      </c>
      <c r="C32" s="20">
        <v>142.30000000000001</v>
      </c>
      <c r="D32" s="20">
        <v>139.1</v>
      </c>
      <c r="E32" s="20">
        <v>25.7</v>
      </c>
      <c r="F32" s="20">
        <v>25.7</v>
      </c>
      <c r="G32" s="20" t="s">
        <v>26</v>
      </c>
      <c r="H32" s="22">
        <f t="shared" si="6"/>
        <v>0.65561665357423404</v>
      </c>
      <c r="I32" s="22">
        <f t="shared" si="7"/>
        <v>0.19030897275111158</v>
      </c>
      <c r="J32" s="20">
        <v>0.12</v>
      </c>
      <c r="K32" s="20">
        <v>0.36</v>
      </c>
      <c r="L32" s="21">
        <v>0.373</v>
      </c>
      <c r="M32" s="21">
        <v>0.28799999999999998</v>
      </c>
      <c r="N32" s="20"/>
      <c r="O32" s="20"/>
      <c r="P32" s="21">
        <f t="shared" si="19"/>
        <v>0.33050000000000002</v>
      </c>
      <c r="Q32" s="20">
        <f>6.12/1</f>
        <v>6.12</v>
      </c>
      <c r="R32" s="20">
        <f>6.14/1</f>
        <v>6.14</v>
      </c>
      <c r="S32" s="20"/>
      <c r="T32" s="20"/>
      <c r="U32" s="22">
        <f t="shared" si="20"/>
        <v>6.13</v>
      </c>
      <c r="V32" s="22">
        <f t="shared" si="10"/>
        <v>1.3445292867177749</v>
      </c>
      <c r="W32" s="22">
        <f t="shared" si="21"/>
        <v>2.1626471716758484</v>
      </c>
      <c r="X32" s="20"/>
      <c r="Y32" s="20"/>
      <c r="Z32" s="20"/>
      <c r="AA32" s="20"/>
      <c r="AB32" s="20">
        <v>37</v>
      </c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</row>
    <row r="33" spans="1:39" ht="13.2" x14ac:dyDescent="0.25">
      <c r="A33" s="20" t="s">
        <v>62</v>
      </c>
      <c r="B33" s="20" t="s">
        <v>61</v>
      </c>
      <c r="C33" s="20">
        <v>142.30000000000001</v>
      </c>
      <c r="D33" s="20">
        <v>139.1</v>
      </c>
      <c r="E33" s="20">
        <v>25.7</v>
      </c>
      <c r="F33" s="20">
        <v>25.7</v>
      </c>
      <c r="G33" s="20" t="s">
        <v>20</v>
      </c>
      <c r="H33" s="22">
        <f t="shared" si="6"/>
        <v>-0.38244304791830319</v>
      </c>
      <c r="I33" s="22">
        <f t="shared" si="7"/>
        <v>0.29603617983506253</v>
      </c>
      <c r="J33" s="20">
        <v>-7.0000000000000007E-2</v>
      </c>
      <c r="K33" s="20">
        <v>0.56000000000000005</v>
      </c>
      <c r="L33" s="21">
        <v>0.42199999999999999</v>
      </c>
      <c r="M33" s="21">
        <v>0.40300000000000002</v>
      </c>
      <c r="N33" s="20"/>
      <c r="O33" s="20"/>
      <c r="P33" s="21">
        <f t="shared" si="19"/>
        <v>0.41249999999999998</v>
      </c>
      <c r="Q33" s="20">
        <f>1/2.01</f>
        <v>0.49751243781094534</v>
      </c>
      <c r="R33" s="20">
        <f>1/2</f>
        <v>0.5</v>
      </c>
      <c r="S33" s="20"/>
      <c r="T33" s="20"/>
      <c r="U33" s="22">
        <f t="shared" si="20"/>
        <v>0.49875621890547267</v>
      </c>
      <c r="V33" s="22">
        <f t="shared" si="10"/>
        <v>-0.51583286978596632</v>
      </c>
      <c r="W33" s="22">
        <f>(H33*1.94929052566916)+(I33*4.64854508751746)</f>
        <v>0.63064491958453039</v>
      </c>
      <c r="X33" s="20"/>
      <c r="Y33" s="20"/>
      <c r="Z33" s="20"/>
      <c r="AA33" s="20"/>
      <c r="AB33" s="20">
        <v>44</v>
      </c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</row>
    <row r="34" spans="1:39" ht="13.2" x14ac:dyDescent="0.25">
      <c r="A34" s="16" t="s">
        <v>57</v>
      </c>
      <c r="B34" s="16" t="s">
        <v>54</v>
      </c>
      <c r="C34" s="16">
        <v>159</v>
      </c>
      <c r="D34" s="16">
        <v>149</v>
      </c>
      <c r="E34" s="16">
        <v>28.2</v>
      </c>
      <c r="F34" s="16">
        <v>28.2</v>
      </c>
      <c r="G34" s="16" t="s">
        <v>24</v>
      </c>
      <c r="H34" s="18">
        <f t="shared" si="6"/>
        <v>-0.58523173605655932</v>
      </c>
      <c r="I34" s="18">
        <f t="shared" si="7"/>
        <v>0.70216242921749705</v>
      </c>
      <c r="J34" s="16">
        <v>-0.1</v>
      </c>
      <c r="K34" s="16">
        <v>1.24</v>
      </c>
      <c r="L34" s="27">
        <v>0.19</v>
      </c>
      <c r="M34" s="27">
        <v>0.16900000000000001</v>
      </c>
      <c r="N34" s="27"/>
      <c r="O34" s="27"/>
      <c r="P34" s="27">
        <f>AVERAGE(L34:O34)</f>
        <v>0.17949999999999999</v>
      </c>
      <c r="Q34" s="16">
        <v>2.4</v>
      </c>
      <c r="R34" s="16">
        <v>2.42</v>
      </c>
      <c r="S34" s="16"/>
      <c r="T34" s="16"/>
      <c r="U34" s="18">
        <f>AVERAGE(Q34:T34)</f>
        <v>2.41</v>
      </c>
      <c r="V34" s="18">
        <f t="shared" si="10"/>
        <v>0.65226524808288666</v>
      </c>
      <c r="W34" s="18">
        <f>(H34*1.95614386021232)+(I34*4.63479963587483)</f>
        <v>2.1095847039738058</v>
      </c>
      <c r="X34" s="16" t="s">
        <v>0</v>
      </c>
      <c r="Y34" s="16"/>
      <c r="Z34" s="16"/>
      <c r="AA34" s="16"/>
      <c r="AB34" s="16">
        <v>20</v>
      </c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 ht="13.2" x14ac:dyDescent="0.25">
      <c r="A35" s="16" t="s">
        <v>58</v>
      </c>
      <c r="B35" s="16" t="s">
        <v>54</v>
      </c>
      <c r="C35" s="16">
        <v>159</v>
      </c>
      <c r="D35" s="16">
        <v>149</v>
      </c>
      <c r="E35" s="16">
        <v>28.2</v>
      </c>
      <c r="F35" s="16">
        <v>28.2</v>
      </c>
      <c r="G35" s="16" t="s">
        <v>26</v>
      </c>
      <c r="H35" s="18">
        <f t="shared" si="6"/>
        <v>0.70227808326787111</v>
      </c>
      <c r="I35" s="18">
        <f t="shared" si="7"/>
        <v>0.20385360848249914</v>
      </c>
      <c r="J35" s="16">
        <v>0.12</v>
      </c>
      <c r="K35" s="16">
        <v>0.36</v>
      </c>
      <c r="L35" s="17">
        <v>0.42099999999999999</v>
      </c>
      <c r="M35" s="17">
        <v>0.42499999999999999</v>
      </c>
      <c r="N35" s="16"/>
      <c r="O35" s="16"/>
      <c r="P35" s="17">
        <f t="shared" ref="P35:P44" si="22">AVERAGE(L35:N35)</f>
        <v>0.42299999999999999</v>
      </c>
      <c r="Q35" s="16">
        <f>5.66/1</f>
        <v>5.66</v>
      </c>
      <c r="R35" s="16">
        <f>5.66/1</f>
        <v>5.66</v>
      </c>
      <c r="S35" s="16"/>
      <c r="T35" s="16"/>
      <c r="U35" s="18">
        <f t="shared" ref="U35:U44" si="23">AVERAGE(Q35:S35)</f>
        <v>5.66</v>
      </c>
      <c r="V35" s="18">
        <f t="shared" si="10"/>
        <v>1.2853771992480076</v>
      </c>
      <c r="W35" s="18">
        <f t="shared" ref="W35:W39" si="24">(H35*1.95614386021232)+(I35*4.63479963587483)</f>
        <v>2.3185775911125797</v>
      </c>
      <c r="X35" s="16"/>
      <c r="Y35" s="16"/>
      <c r="Z35" s="16"/>
      <c r="AA35" s="16"/>
      <c r="AB35" s="16">
        <v>27</v>
      </c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 ht="13.2" x14ac:dyDescent="0.25">
      <c r="A36" s="16" t="s">
        <v>53</v>
      </c>
      <c r="B36" s="16" t="s">
        <v>54</v>
      </c>
      <c r="C36" s="16">
        <v>159</v>
      </c>
      <c r="D36" s="16">
        <v>149</v>
      </c>
      <c r="E36" s="16">
        <v>28.2</v>
      </c>
      <c r="F36" s="16">
        <v>28.2</v>
      </c>
      <c r="G36" s="16" t="s">
        <v>18</v>
      </c>
      <c r="H36" s="18">
        <f t="shared" si="6"/>
        <v>-0.40966221523959157</v>
      </c>
      <c r="I36" s="18">
        <f t="shared" si="7"/>
        <v>0.29445521225249877</v>
      </c>
      <c r="J36" s="16">
        <v>-7.0000000000000007E-2</v>
      </c>
      <c r="K36" s="16">
        <v>0.52</v>
      </c>
      <c r="L36" s="17">
        <v>0.65700000000000003</v>
      </c>
      <c r="M36" s="17">
        <v>0.68899999999999995</v>
      </c>
      <c r="N36" s="16"/>
      <c r="O36" s="16"/>
      <c r="P36" s="17">
        <f t="shared" si="22"/>
        <v>0.67300000000000004</v>
      </c>
      <c r="Q36" s="18">
        <f>1/2.44</f>
        <v>0.4098360655737705</v>
      </c>
      <c r="R36" s="18">
        <f>1/2.38</f>
        <v>0.42016806722689076</v>
      </c>
      <c r="S36" s="16"/>
      <c r="T36" s="16"/>
      <c r="U36" s="18">
        <f t="shared" si="23"/>
        <v>0.41500206640033066</v>
      </c>
      <c r="V36" s="18">
        <f t="shared" si="10"/>
        <v>-0.65215033542009948</v>
      </c>
      <c r="W36" s="18">
        <f t="shared" si="24"/>
        <v>0.56338268342742215</v>
      </c>
      <c r="X36" s="16"/>
      <c r="Y36" s="16"/>
      <c r="Z36" s="16"/>
      <c r="AA36" s="16"/>
      <c r="AB36" s="16">
        <v>29</v>
      </c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 ht="13.2" x14ac:dyDescent="0.25">
      <c r="A37" s="16" t="s">
        <v>59</v>
      </c>
      <c r="B37" s="16" t="s">
        <v>54</v>
      </c>
      <c r="C37" s="16">
        <v>159</v>
      </c>
      <c r="D37" s="16">
        <v>149</v>
      </c>
      <c r="E37" s="16">
        <v>28.2</v>
      </c>
      <c r="F37" s="16">
        <v>28.2</v>
      </c>
      <c r="G37" s="16" t="s">
        <v>27</v>
      </c>
      <c r="H37" s="18">
        <f t="shared" si="6"/>
        <v>0.35113904163393556</v>
      </c>
      <c r="I37" s="18">
        <f t="shared" si="7"/>
        <v>0.32276821343062362</v>
      </c>
      <c r="J37" s="16">
        <v>0.06</v>
      </c>
      <c r="K37" s="16">
        <v>0.56999999999999995</v>
      </c>
      <c r="L37" s="17">
        <v>0.501</v>
      </c>
      <c r="M37" s="17">
        <v>0.48399999999999999</v>
      </c>
      <c r="N37" s="16"/>
      <c r="O37" s="16"/>
      <c r="P37" s="17">
        <f t="shared" si="22"/>
        <v>0.49249999999999999</v>
      </c>
      <c r="Q37" s="19">
        <f>2.28/1</f>
        <v>2.2799999999999998</v>
      </c>
      <c r="R37" s="16">
        <f>2.2/1</f>
        <v>2.2000000000000002</v>
      </c>
      <c r="S37" s="17"/>
      <c r="T37" s="17"/>
      <c r="U37" s="19">
        <f t="shared" si="23"/>
        <v>2.2400000000000002</v>
      </c>
      <c r="V37" s="19">
        <f t="shared" si="10"/>
        <v>0.5980220385704369</v>
      </c>
      <c r="W37" s="18">
        <f t="shared" si="24"/>
        <v>2.1828444784532852</v>
      </c>
      <c r="X37" s="18"/>
      <c r="Y37" s="18"/>
      <c r="Z37" s="16"/>
      <c r="AA37" s="16"/>
      <c r="AB37" s="16">
        <v>38</v>
      </c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 ht="13.2" x14ac:dyDescent="0.25">
      <c r="A38" s="16" t="s">
        <v>56</v>
      </c>
      <c r="B38" s="16" t="s">
        <v>54</v>
      </c>
      <c r="C38" s="16">
        <v>159</v>
      </c>
      <c r="D38" s="16">
        <v>149</v>
      </c>
      <c r="E38" s="16">
        <v>28.2</v>
      </c>
      <c r="F38" s="16">
        <v>28.2</v>
      </c>
      <c r="G38" s="16" t="s">
        <v>22</v>
      </c>
      <c r="H38" s="18">
        <f t="shared" si="6"/>
        <v>-0.40966221523959157</v>
      </c>
      <c r="I38" s="18">
        <f t="shared" si="7"/>
        <v>0.43035761790749816</v>
      </c>
      <c r="J38" s="16">
        <v>-7.0000000000000007E-2</v>
      </c>
      <c r="K38" s="16">
        <v>0.76</v>
      </c>
      <c r="L38" s="17">
        <v>0.55800000000000005</v>
      </c>
      <c r="M38" s="17">
        <v>0.58099999999999996</v>
      </c>
      <c r="N38" s="16"/>
      <c r="O38" s="16"/>
      <c r="P38" s="17">
        <f t="shared" si="22"/>
        <v>0.56950000000000001</v>
      </c>
      <c r="Q38" s="19">
        <f>1/1.42</f>
        <v>0.70422535211267612</v>
      </c>
      <c r="R38" s="16">
        <f>1/1.4</f>
        <v>0.7142857142857143</v>
      </c>
      <c r="S38" s="17"/>
      <c r="T38" s="17"/>
      <c r="U38" s="19">
        <f t="shared" si="23"/>
        <v>0.70925553319919521</v>
      </c>
      <c r="V38" s="19">
        <f t="shared" si="10"/>
        <v>-0.25474306586396717</v>
      </c>
      <c r="W38" s="18">
        <f t="shared" si="24"/>
        <v>1.1932631036717267</v>
      </c>
      <c r="X38" s="18"/>
      <c r="Y38" s="18"/>
      <c r="Z38" s="16"/>
      <c r="AA38" s="16"/>
      <c r="AB38" s="16">
        <v>11</v>
      </c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 ht="13.2" x14ac:dyDescent="0.25">
      <c r="A39" s="16" t="s">
        <v>55</v>
      </c>
      <c r="B39" s="16" t="s">
        <v>54</v>
      </c>
      <c r="C39" s="16">
        <v>159</v>
      </c>
      <c r="D39" s="16">
        <v>149</v>
      </c>
      <c r="E39" s="16">
        <v>28.2</v>
      </c>
      <c r="F39" s="16">
        <v>28.2</v>
      </c>
      <c r="G39" s="16" t="s">
        <v>20</v>
      </c>
      <c r="H39" s="18">
        <f t="shared" si="6"/>
        <v>-0.40966221523959157</v>
      </c>
      <c r="I39" s="18">
        <f t="shared" si="7"/>
        <v>0.31710561319499875</v>
      </c>
      <c r="J39" s="16">
        <v>-7.0000000000000007E-2</v>
      </c>
      <c r="K39" s="16">
        <v>0.56000000000000005</v>
      </c>
      <c r="L39" s="17">
        <v>0.56699999999999995</v>
      </c>
      <c r="M39" s="17">
        <v>0.625</v>
      </c>
      <c r="N39" s="16"/>
      <c r="O39" s="16"/>
      <c r="P39" s="17">
        <f t="shared" si="22"/>
        <v>0.59599999999999997</v>
      </c>
      <c r="Q39" s="19">
        <f>1/2.29</f>
        <v>0.4366812227074236</v>
      </c>
      <c r="R39" s="16">
        <f>1/2.33</f>
        <v>0.42918454935622319</v>
      </c>
      <c r="S39" s="17"/>
      <c r="T39" s="17"/>
      <c r="U39" s="19">
        <f t="shared" si="23"/>
        <v>0.43293288603182339</v>
      </c>
      <c r="V39" s="19">
        <f t="shared" si="10"/>
        <v>-0.62078440598227913</v>
      </c>
      <c r="W39" s="18">
        <f t="shared" si="24"/>
        <v>0.66836275346813989</v>
      </c>
      <c r="X39" s="18"/>
      <c r="Y39" s="18"/>
      <c r="Z39" s="16"/>
      <c r="AA39" s="16"/>
      <c r="AB39" s="16">
        <v>18</v>
      </c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</row>
    <row r="40" spans="1:39" ht="13.2" x14ac:dyDescent="0.25">
      <c r="A40" s="5" t="s">
        <v>28</v>
      </c>
      <c r="B40" s="5" t="s">
        <v>29</v>
      </c>
      <c r="C40" s="5">
        <v>176.1</v>
      </c>
      <c r="D40" s="5">
        <v>176.1</v>
      </c>
      <c r="E40" s="5">
        <v>36.299999999999997</v>
      </c>
      <c r="F40" s="5">
        <v>36.299999999999997</v>
      </c>
      <c r="G40" s="5" t="s">
        <v>18</v>
      </c>
      <c r="H40" s="7">
        <f t="shared" si="6"/>
        <v>-0.48417124901806752</v>
      </c>
      <c r="I40" s="7">
        <f t="shared" si="7"/>
        <v>0.34801048911184584</v>
      </c>
      <c r="J40" s="5">
        <v>-7.0000000000000007E-2</v>
      </c>
      <c r="K40" s="5">
        <v>0.52</v>
      </c>
      <c r="L40" s="6">
        <v>0.81200000000000006</v>
      </c>
      <c r="M40" s="6">
        <v>0.78900000000000003</v>
      </c>
      <c r="N40" s="5"/>
      <c r="O40" s="5"/>
      <c r="P40" s="6">
        <f t="shared" si="22"/>
        <v>0.80049999999999999</v>
      </c>
      <c r="Q40" s="7">
        <f>1/2.78</f>
        <v>0.35971223021582738</v>
      </c>
      <c r="R40" s="7">
        <f>1/2.7</f>
        <v>0.37037037037037035</v>
      </c>
      <c r="S40" s="5"/>
      <c r="T40" s="5"/>
      <c r="U40" s="7">
        <f t="shared" si="23"/>
        <v>0.36504130029309889</v>
      </c>
      <c r="V40" s="7">
        <f t="shared" si="10"/>
        <v>-0.74726797587868898</v>
      </c>
      <c r="W40" s="7">
        <f>(H40*1.93364530371663)+(I40*4.34239613221004)</f>
        <v>0.57498394002940245</v>
      </c>
      <c r="X40" s="5"/>
      <c r="Y40" s="5"/>
      <c r="Z40" s="5"/>
      <c r="AA40" s="5"/>
      <c r="AB40" s="5">
        <v>16</v>
      </c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ht="13.2" x14ac:dyDescent="0.25">
      <c r="A41" s="8" t="s">
        <v>33</v>
      </c>
      <c r="B41" s="5" t="s">
        <v>29</v>
      </c>
      <c r="C41" s="5">
        <v>176.1</v>
      </c>
      <c r="D41" s="5">
        <v>176.1</v>
      </c>
      <c r="E41" s="5">
        <v>36.299999999999997</v>
      </c>
      <c r="F41" s="5">
        <v>36.299999999999997</v>
      </c>
      <c r="G41" s="5" t="s">
        <v>26</v>
      </c>
      <c r="H41" s="5">
        <f t="shared" si="6"/>
        <v>0.83000785545954425</v>
      </c>
      <c r="I41" s="5">
        <f t="shared" si="7"/>
        <v>0.24093033861589327</v>
      </c>
      <c r="J41" s="5">
        <v>0.12</v>
      </c>
      <c r="K41" s="5">
        <v>0.36</v>
      </c>
      <c r="L41" s="6">
        <v>0.3</v>
      </c>
      <c r="M41" s="6">
        <v>0.29699999999999999</v>
      </c>
      <c r="N41" s="5"/>
      <c r="O41" s="5"/>
      <c r="P41" s="6">
        <f t="shared" si="22"/>
        <v>0.29849999999999999</v>
      </c>
      <c r="Q41" s="5">
        <f>5.28/1</f>
        <v>5.28</v>
      </c>
      <c r="R41" s="5">
        <f>5.2/1</f>
        <v>5.2</v>
      </c>
      <c r="S41" s="5"/>
      <c r="T41" s="5"/>
      <c r="U41" s="5">
        <f t="shared" si="23"/>
        <v>5.24</v>
      </c>
      <c r="V41" s="5">
        <f t="shared" si="10"/>
        <v>1.2282038445085051</v>
      </c>
      <c r="W41" s="7">
        <f t="shared" ref="W41:W44" si="25">(H41*1.93364530371663)+(I41*4.34239613221004)</f>
        <v>2.6511557622949695</v>
      </c>
      <c r="X41" s="5"/>
      <c r="Y41" s="5"/>
      <c r="Z41" s="5"/>
      <c r="AA41" s="5">
        <f>U41/(U41+1)</f>
        <v>0.83974358974358976</v>
      </c>
      <c r="AB41" s="5">
        <v>34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ht="13.2" x14ac:dyDescent="0.25">
      <c r="A42" s="8" t="s">
        <v>31</v>
      </c>
      <c r="B42" s="5" t="s">
        <v>29</v>
      </c>
      <c r="C42" s="5">
        <v>176.1</v>
      </c>
      <c r="D42" s="5">
        <v>176.1</v>
      </c>
      <c r="E42" s="5">
        <v>36.299999999999997</v>
      </c>
      <c r="F42" s="5">
        <v>36.299999999999997</v>
      </c>
      <c r="G42" s="5" t="s">
        <v>22</v>
      </c>
      <c r="H42" s="7">
        <f t="shared" si="6"/>
        <v>-0.48417124901806752</v>
      </c>
      <c r="I42" s="7">
        <f t="shared" si="7"/>
        <v>0.50863071485577471</v>
      </c>
      <c r="J42" s="5">
        <v>-7.0000000000000007E-2</v>
      </c>
      <c r="K42" s="5">
        <v>0.76</v>
      </c>
      <c r="L42" s="6">
        <v>0.79100000000000004</v>
      </c>
      <c r="M42" s="6">
        <v>0.80300000000000005</v>
      </c>
      <c r="N42" s="5"/>
      <c r="O42" s="5"/>
      <c r="P42" s="6">
        <f t="shared" si="22"/>
        <v>0.79700000000000004</v>
      </c>
      <c r="Q42" s="7">
        <f>1/1.35</f>
        <v>0.7407407407407407</v>
      </c>
      <c r="R42" s="7">
        <f>1/1.31</f>
        <v>0.76335877862595414</v>
      </c>
      <c r="S42" s="5"/>
      <c r="T42" s="5"/>
      <c r="U42" s="7">
        <f t="shared" si="23"/>
        <v>0.75204975968334742</v>
      </c>
      <c r="V42" s="7">
        <f t="shared" si="10"/>
        <v>-0.21129962351926446</v>
      </c>
      <c r="W42" s="7">
        <f t="shared" si="25"/>
        <v>1.2724605870545429</v>
      </c>
      <c r="X42" s="5"/>
      <c r="Y42" s="5"/>
      <c r="Z42" s="5"/>
      <c r="AA42" s="5"/>
      <c r="AB42" s="5">
        <v>43</v>
      </c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ht="13.2" x14ac:dyDescent="0.25">
      <c r="A43" s="8" t="s">
        <v>32</v>
      </c>
      <c r="B43" s="5" t="s">
        <v>29</v>
      </c>
      <c r="C43" s="5">
        <v>176.1</v>
      </c>
      <c r="D43" s="5">
        <v>176.1</v>
      </c>
      <c r="E43" s="5">
        <v>36.299999999999997</v>
      </c>
      <c r="F43" s="5">
        <v>36.299999999999997</v>
      </c>
      <c r="G43" s="5" t="s">
        <v>24</v>
      </c>
      <c r="H43" s="7">
        <f t="shared" si="6"/>
        <v>-0.69167321288295358</v>
      </c>
      <c r="I43" s="7">
        <f t="shared" si="7"/>
        <v>0.82987116634363245</v>
      </c>
      <c r="J43" s="5">
        <v>-0.1</v>
      </c>
      <c r="K43" s="5">
        <v>1.24</v>
      </c>
      <c r="L43" s="6">
        <v>0.91</v>
      </c>
      <c r="M43" s="6">
        <v>0.83</v>
      </c>
      <c r="N43" s="5"/>
      <c r="O43" s="5"/>
      <c r="P43" s="6">
        <f t="shared" si="22"/>
        <v>0.87</v>
      </c>
      <c r="Q43" s="7">
        <f>10.48/1</f>
        <v>10.48</v>
      </c>
      <c r="R43" s="7">
        <f>10.56/1</f>
        <v>10.56</v>
      </c>
      <c r="S43" s="5"/>
      <c r="T43" s="5"/>
      <c r="U43" s="7">
        <f t="shared" si="23"/>
        <v>10.52</v>
      </c>
      <c r="V43" s="7">
        <f t="shared" si="10"/>
        <v>1.7450146872601209</v>
      </c>
      <c r="W43" s="7">
        <f t="shared" si="25"/>
        <v>2.2661786831655082</v>
      </c>
      <c r="X43" s="5"/>
      <c r="Y43" s="5"/>
      <c r="Z43" s="5"/>
      <c r="AA43" s="5">
        <f>U43/(U43+1)</f>
        <v>0.91319444444444442</v>
      </c>
      <c r="AB43" s="5">
        <v>13</v>
      </c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ht="13.2" x14ac:dyDescent="0.25">
      <c r="A44" s="8" t="s">
        <v>30</v>
      </c>
      <c r="B44" s="5" t="s">
        <v>29</v>
      </c>
      <c r="C44" s="5">
        <v>176.1</v>
      </c>
      <c r="D44" s="5">
        <v>176.1</v>
      </c>
      <c r="E44" s="5">
        <v>36.299999999999997</v>
      </c>
      <c r="F44" s="5">
        <v>36.299999999999997</v>
      </c>
      <c r="G44" s="5" t="s">
        <v>20</v>
      </c>
      <c r="H44" s="7">
        <f t="shared" si="6"/>
        <v>-0.48417124901806752</v>
      </c>
      <c r="I44" s="7">
        <f t="shared" si="7"/>
        <v>0.37478052673583401</v>
      </c>
      <c r="J44" s="5">
        <v>-7.0000000000000007E-2</v>
      </c>
      <c r="K44" s="5">
        <v>0.56000000000000005</v>
      </c>
      <c r="L44" s="6">
        <v>0.86499999999999999</v>
      </c>
      <c r="M44" s="6">
        <v>0.89100000000000001</v>
      </c>
      <c r="N44" s="5"/>
      <c r="O44" s="5"/>
      <c r="P44" s="6">
        <f t="shared" si="22"/>
        <v>0.878</v>
      </c>
      <c r="Q44" s="7">
        <f>1/2.57</f>
        <v>0.38910505836575876</v>
      </c>
      <c r="R44" s="7">
        <f>1/2.54</f>
        <v>0.39370078740157477</v>
      </c>
      <c r="S44" s="5"/>
      <c r="T44" s="5"/>
      <c r="U44" s="7">
        <f t="shared" si="23"/>
        <v>0.39140292288366674</v>
      </c>
      <c r="V44" s="7">
        <f t="shared" si="10"/>
        <v>-0.69556364247050928</v>
      </c>
      <c r="W44" s="7">
        <f t="shared" si="25"/>
        <v>0.69123004786692588</v>
      </c>
      <c r="X44" s="5"/>
      <c r="Y44" s="5"/>
      <c r="Z44" s="5"/>
      <c r="AA44" s="5"/>
      <c r="AB44" s="5">
        <v>14</v>
      </c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8" spans="1:39" ht="15.75" customHeight="1" x14ac:dyDescent="0.25">
      <c r="U48" s="144" t="s">
        <v>110</v>
      </c>
    </row>
    <row r="49" spans="21:23" ht="15.75" customHeight="1" x14ac:dyDescent="0.25">
      <c r="U49">
        <f>1.95146853256722/25.46</f>
        <v>7.6648410548594656E-2</v>
      </c>
      <c r="W49">
        <f>4.53535688165084/263.13</f>
        <v>1.7236183185690875E-2</v>
      </c>
    </row>
  </sheetData>
  <sortState xmlns:xlrd2="http://schemas.microsoft.com/office/spreadsheetml/2017/richdata2" ref="A2:AM44">
    <sortCondition ref="B2:B4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570B-B5FC-4A50-898F-0A078A79B4BF}">
  <sheetPr>
    <outlinePr summaryBelow="0" summaryRight="0"/>
  </sheetPr>
  <dimension ref="A1:AM44"/>
  <sheetViews>
    <sheetView zoomScale="49" zoomScaleNormal="120" workbookViewId="0">
      <pane ySplit="1" topLeftCell="A2" activePane="bottomLeft" state="frozen"/>
      <selection pane="bottomLeft" activeCell="I71" sqref="I71"/>
    </sheetView>
  </sheetViews>
  <sheetFormatPr defaultColWidth="12.5546875" defaultRowHeight="15.75" customHeight="1" x14ac:dyDescent="0.25"/>
  <cols>
    <col min="1" max="1" width="22.44140625" customWidth="1"/>
    <col min="3" max="3" width="17.88671875" customWidth="1"/>
    <col min="4" max="4" width="17.33203125" customWidth="1"/>
    <col min="12" max="12" width="7" customWidth="1"/>
    <col min="13" max="13" width="8.5546875" customWidth="1"/>
    <col min="14" max="15" width="7.44140625" customWidth="1"/>
    <col min="16" max="16" width="8.88671875" customWidth="1"/>
    <col min="21" max="21" width="29.44140625" customWidth="1"/>
    <col min="23" max="23" width="31.88671875" customWidth="1"/>
    <col min="25" max="25" width="19" bestFit="1" customWidth="1"/>
    <col min="26" max="26" width="20.5546875" customWidth="1"/>
    <col min="27" max="27" width="18" customWidth="1"/>
  </cols>
  <sheetData>
    <row r="1" spans="1:39" ht="13.8" x14ac:dyDescent="0.3">
      <c r="A1" s="1" t="s">
        <v>0</v>
      </c>
      <c r="B1" s="1" t="s">
        <v>1</v>
      </c>
      <c r="C1" s="28" t="s">
        <v>99</v>
      </c>
      <c r="D1" s="28" t="s">
        <v>100</v>
      </c>
      <c r="E1" s="28" t="s">
        <v>98</v>
      </c>
      <c r="F1" s="1" t="s">
        <v>2</v>
      </c>
      <c r="G1" s="1" t="s">
        <v>3</v>
      </c>
      <c r="H1" s="28" t="s">
        <v>104</v>
      </c>
      <c r="I1" s="28" t="s">
        <v>105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35" t="s">
        <v>106</v>
      </c>
      <c r="W1" s="1"/>
      <c r="Y1" s="31" t="s">
        <v>107</v>
      </c>
      <c r="Z1" s="31" t="s">
        <v>108</v>
      </c>
      <c r="AA1" s="31" t="s">
        <v>109</v>
      </c>
    </row>
    <row r="2" spans="1:39" s="90" customFormat="1" ht="13.2" x14ac:dyDescent="0.25">
      <c r="A2" s="96" t="s">
        <v>19</v>
      </c>
      <c r="B2" s="96" t="s">
        <v>17</v>
      </c>
      <c r="C2" s="96">
        <v>213.3</v>
      </c>
      <c r="D2" s="96">
        <v>212.2</v>
      </c>
      <c r="E2" s="96">
        <v>58.4</v>
      </c>
      <c r="F2" s="96">
        <v>57.2</v>
      </c>
      <c r="G2" s="96" t="s">
        <v>20</v>
      </c>
      <c r="H2" s="98">
        <f>(D2*J2)/25.46</f>
        <v>-0.58342498036135115</v>
      </c>
      <c r="I2" s="98">
        <f>(D2*K2)/263.13</f>
        <v>0.45160947060388407</v>
      </c>
      <c r="J2" s="96">
        <v>-7.0000000000000007E-2</v>
      </c>
      <c r="K2" s="96">
        <v>0.56000000000000005</v>
      </c>
      <c r="L2" s="97">
        <v>0.64400000000000002</v>
      </c>
      <c r="M2" s="97">
        <v>0.60599999999999998</v>
      </c>
      <c r="N2" s="96"/>
      <c r="O2" s="96"/>
      <c r="P2" s="97">
        <f>AVERAGE(L2:N2)</f>
        <v>0.625</v>
      </c>
      <c r="Q2" s="98">
        <f>1/1.93</f>
        <v>0.5181347150259068</v>
      </c>
      <c r="R2" s="98">
        <f>1/2.04</f>
        <v>0.49019607843137253</v>
      </c>
      <c r="S2" s="96"/>
      <c r="T2" s="96"/>
      <c r="U2" s="98">
        <f>AVERAGE(Q2:S2)</f>
        <v>0.50416539672863969</v>
      </c>
      <c r="V2" s="98">
        <f>LN(U2)*(0.001987203611*373.15)</f>
        <v>-0.50783407992184604</v>
      </c>
      <c r="W2" s="98">
        <f>(H2*1.91970689645647)+(I2*4.53496937473932)</f>
        <v>0.92803016016618489</v>
      </c>
      <c r="X2" s="98">
        <f>(W2-1.3422)/0.9347</f>
        <v>-0.44310456813289312</v>
      </c>
      <c r="Y2" s="98">
        <f>EXP(X2/(0.001987203611*373.15))</f>
        <v>0.55015320786083488</v>
      </c>
      <c r="Z2" s="98">
        <f>Y2/(Y2+1)</f>
        <v>0.35490247355616539</v>
      </c>
      <c r="AA2" s="98">
        <f>U2/(U2+1)</f>
        <v>0.33517949410691977</v>
      </c>
      <c r="AB2" s="96">
        <v>2</v>
      </c>
      <c r="AC2" s="96"/>
      <c r="AD2" s="98">
        <f>X2-V2</f>
        <v>6.472951178895292E-2</v>
      </c>
      <c r="AE2" s="96"/>
      <c r="AF2" s="96"/>
      <c r="AG2" s="96"/>
      <c r="AH2" s="96"/>
      <c r="AI2" s="96"/>
      <c r="AJ2" s="96"/>
      <c r="AK2" s="96"/>
      <c r="AL2" s="96"/>
      <c r="AM2" s="96"/>
    </row>
    <row r="3" spans="1:39" s="90" customFormat="1" ht="13.2" x14ac:dyDescent="0.25">
      <c r="A3" s="95" t="s">
        <v>52</v>
      </c>
      <c r="B3" s="96" t="s">
        <v>48</v>
      </c>
      <c r="C3" s="96">
        <v>169.2</v>
      </c>
      <c r="D3" s="96">
        <v>163.30000000000001</v>
      </c>
      <c r="E3" s="96">
        <v>32</v>
      </c>
      <c r="F3" s="96">
        <v>30.2</v>
      </c>
      <c r="G3" s="96" t="s">
        <v>27</v>
      </c>
      <c r="H3" s="87">
        <f t="shared" ref="H3:H10" si="0">(D3*J3)/25.46</f>
        <v>0.38483896307934012</v>
      </c>
      <c r="I3" s="87">
        <f t="shared" ref="I3:I10" si="1">(D3*K3)/263.13</f>
        <v>0.35374529700148216</v>
      </c>
      <c r="J3" s="96">
        <v>0.06</v>
      </c>
      <c r="K3" s="96">
        <v>0.56999999999999995</v>
      </c>
      <c r="L3" s="97">
        <v>0.41199999999999998</v>
      </c>
      <c r="M3" s="97">
        <v>0.49199999999999999</v>
      </c>
      <c r="N3" s="96"/>
      <c r="O3" s="96"/>
      <c r="P3" s="97">
        <f t="shared" ref="P3:P5" si="2">AVERAGE(L3:N3)</f>
        <v>0.45199999999999996</v>
      </c>
      <c r="Q3" s="98">
        <f>2.54/1</f>
        <v>2.54</v>
      </c>
      <c r="R3" s="98">
        <f>2.54/1</f>
        <v>2.54</v>
      </c>
      <c r="S3" s="96"/>
      <c r="T3" s="96"/>
      <c r="U3" s="98">
        <f t="shared" ref="U3:U5" si="3">AVERAGE(Q3:S3)</f>
        <v>2.54</v>
      </c>
      <c r="V3" s="87">
        <f t="shared" ref="V3:V10" si="4">LN(U3)*(0.001987203611*373.15)</f>
        <v>0.6912229957690178</v>
      </c>
      <c r="W3" s="98">
        <f t="shared" ref="W3:W10" si="5">(H3*1.91970689645647)+(I3*4.53496937473932)</f>
        <v>2.3430020998083525</v>
      </c>
      <c r="X3" s="96"/>
      <c r="Y3" s="96"/>
      <c r="Z3" s="96"/>
      <c r="AA3" s="96"/>
      <c r="AB3" s="96">
        <v>35</v>
      </c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</row>
    <row r="4" spans="1:39" s="90" customFormat="1" ht="13.2" x14ac:dyDescent="0.25">
      <c r="A4" s="96" t="s">
        <v>63</v>
      </c>
      <c r="B4" s="96" t="s">
        <v>61</v>
      </c>
      <c r="C4" s="96">
        <v>142.30000000000001</v>
      </c>
      <c r="D4" s="96">
        <v>139.1</v>
      </c>
      <c r="E4" s="96">
        <v>25.7</v>
      </c>
      <c r="F4" s="96">
        <v>25.7</v>
      </c>
      <c r="G4" s="96" t="s">
        <v>22</v>
      </c>
      <c r="H4" s="87">
        <f t="shared" si="0"/>
        <v>-0.38244304791830319</v>
      </c>
      <c r="I4" s="87">
        <f t="shared" si="1"/>
        <v>0.40176338691901342</v>
      </c>
      <c r="J4" s="96">
        <v>-7.0000000000000007E-2</v>
      </c>
      <c r="K4" s="96">
        <v>0.76</v>
      </c>
      <c r="L4" s="97">
        <v>0.53500000000000003</v>
      </c>
      <c r="M4" s="97">
        <v>0.49099999999999999</v>
      </c>
      <c r="N4" s="96"/>
      <c r="O4" s="96"/>
      <c r="P4" s="97">
        <f t="shared" si="2"/>
        <v>0.51300000000000001</v>
      </c>
      <c r="Q4" s="98">
        <f>1/1.74</f>
        <v>0.57471264367816088</v>
      </c>
      <c r="R4" s="98">
        <f>1/1.75</f>
        <v>0.5714285714285714</v>
      </c>
      <c r="S4" s="96"/>
      <c r="T4" s="96"/>
      <c r="U4" s="98">
        <f t="shared" si="3"/>
        <v>0.57307060755336614</v>
      </c>
      <c r="V4" s="87">
        <f t="shared" si="4"/>
        <v>-0.41284134913213522</v>
      </c>
      <c r="W4" s="98">
        <f t="shared" si="5"/>
        <v>1.0878060989786709</v>
      </c>
      <c r="X4" s="96"/>
      <c r="Y4" s="96"/>
      <c r="Z4" s="96"/>
      <c r="AA4" s="96"/>
      <c r="AB4" s="96">
        <v>36</v>
      </c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</row>
    <row r="5" spans="1:39" s="90" customFormat="1" ht="13.2" x14ac:dyDescent="0.25">
      <c r="A5" s="96" t="s">
        <v>64</v>
      </c>
      <c r="B5" s="96" t="s">
        <v>61</v>
      </c>
      <c r="C5" s="96">
        <v>142.30000000000001</v>
      </c>
      <c r="D5" s="96">
        <v>139.1</v>
      </c>
      <c r="E5" s="96">
        <v>25.7</v>
      </c>
      <c r="F5" s="96">
        <v>25.7</v>
      </c>
      <c r="G5" s="96" t="s">
        <v>26</v>
      </c>
      <c r="H5" s="87">
        <f t="shared" si="0"/>
        <v>0.65561665357423404</v>
      </c>
      <c r="I5" s="87">
        <f t="shared" si="1"/>
        <v>0.19030897275111158</v>
      </c>
      <c r="J5" s="96">
        <v>0.12</v>
      </c>
      <c r="K5" s="96">
        <v>0.36</v>
      </c>
      <c r="L5" s="97">
        <v>0.373</v>
      </c>
      <c r="M5" s="97">
        <v>0.28799999999999998</v>
      </c>
      <c r="N5" s="96"/>
      <c r="O5" s="96"/>
      <c r="P5" s="97">
        <f t="shared" si="2"/>
        <v>0.33050000000000002</v>
      </c>
      <c r="Q5" s="96">
        <f>6.12/1</f>
        <v>6.12</v>
      </c>
      <c r="R5" s="96">
        <f>6.14/1</f>
        <v>6.14</v>
      </c>
      <c r="S5" s="96"/>
      <c r="T5" s="96"/>
      <c r="U5" s="98">
        <f t="shared" si="3"/>
        <v>6.13</v>
      </c>
      <c r="V5" s="87">
        <f t="shared" si="4"/>
        <v>1.3445292867177749</v>
      </c>
      <c r="W5" s="98">
        <f t="shared" si="5"/>
        <v>2.1216371744625602</v>
      </c>
      <c r="X5" s="96"/>
      <c r="Y5" s="96"/>
      <c r="Z5" s="96"/>
      <c r="AA5" s="96"/>
      <c r="AB5" s="96">
        <v>37</v>
      </c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</row>
    <row r="6" spans="1:39" s="90" customFormat="1" ht="13.2" x14ac:dyDescent="0.25">
      <c r="A6" s="96" t="s">
        <v>41</v>
      </c>
      <c r="B6" s="96" t="s">
        <v>42</v>
      </c>
      <c r="C6" s="96">
        <v>176.3</v>
      </c>
      <c r="D6" s="104">
        <v>168.2</v>
      </c>
      <c r="E6" s="96">
        <v>35.799999999999997</v>
      </c>
      <c r="F6" s="96">
        <v>32.799999999999997</v>
      </c>
      <c r="G6" s="96" t="s">
        <v>18</v>
      </c>
      <c r="H6" s="87">
        <f>(D6*J6)/25.46</f>
        <v>-0.46245090337784761</v>
      </c>
      <c r="I6" s="87">
        <f>(D6*K6)/263.13</f>
        <v>0.33239843423402882</v>
      </c>
      <c r="J6" s="96">
        <v>-7.0000000000000007E-2</v>
      </c>
      <c r="K6" s="96">
        <v>0.52</v>
      </c>
      <c r="L6" s="97">
        <v>0.79500000000000004</v>
      </c>
      <c r="M6" s="97">
        <v>0.78400000000000003</v>
      </c>
      <c r="N6" s="96"/>
      <c r="O6" s="96"/>
      <c r="P6" s="97">
        <f>AVERAGE(L6:N6)</f>
        <v>0.78950000000000009</v>
      </c>
      <c r="Q6" s="96">
        <f>0.37/1</f>
        <v>0.37</v>
      </c>
      <c r="R6" s="96">
        <f>0.36/1</f>
        <v>0.36</v>
      </c>
      <c r="S6" s="96"/>
      <c r="T6" s="96"/>
      <c r="U6" s="98">
        <f>AVERAGE(Q6:S6)</f>
        <v>0.36499999999999999</v>
      </c>
      <c r="V6" s="87">
        <f>LN(U6)*(0.001987203611*373.15)</f>
        <v>-0.74735187579228024</v>
      </c>
      <c r="W6" s="98">
        <f t="shared" si="5"/>
        <v>0.61964653097564393</v>
      </c>
      <c r="X6" s="96"/>
      <c r="Y6" s="96"/>
      <c r="Z6" s="96"/>
      <c r="AA6" s="96"/>
      <c r="AB6" s="96">
        <v>31</v>
      </c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</row>
    <row r="7" spans="1:39" s="90" customFormat="1" ht="13.2" x14ac:dyDescent="0.25">
      <c r="A7" s="95" t="s">
        <v>49</v>
      </c>
      <c r="B7" s="96" t="s">
        <v>48</v>
      </c>
      <c r="C7" s="96">
        <v>169.2</v>
      </c>
      <c r="D7" s="96">
        <v>163.30000000000001</v>
      </c>
      <c r="E7" s="96">
        <v>32</v>
      </c>
      <c r="F7" s="96">
        <v>30.2</v>
      </c>
      <c r="G7" s="96" t="s">
        <v>20</v>
      </c>
      <c r="H7" s="87">
        <f t="shared" si="0"/>
        <v>-0.44897879025923026</v>
      </c>
      <c r="I7" s="87">
        <f t="shared" si="1"/>
        <v>0.34753923915935098</v>
      </c>
      <c r="J7" s="96">
        <v>-7.0000000000000007E-2</v>
      </c>
      <c r="K7" s="96">
        <v>0.56000000000000005</v>
      </c>
      <c r="L7" s="97">
        <v>0.73</v>
      </c>
      <c r="M7" s="97">
        <v>0.69499999999999995</v>
      </c>
      <c r="N7" s="96"/>
      <c r="O7" s="96"/>
      <c r="P7" s="97">
        <f>AVERAGE(L7:N7)</f>
        <v>0.71249999999999991</v>
      </c>
      <c r="Q7" s="98">
        <f>1/1.01</f>
        <v>0.99009900990099009</v>
      </c>
      <c r="R7" s="98">
        <f>1/1.1</f>
        <v>0.90909090909090906</v>
      </c>
      <c r="S7" s="96"/>
      <c r="T7" s="96"/>
      <c r="U7" s="98">
        <f>AVERAGE(Q7:S7)</f>
        <v>0.94959495949594963</v>
      </c>
      <c r="V7" s="87">
        <f t="shared" si="4"/>
        <v>-3.8351484388420377E-2</v>
      </c>
      <c r="W7" s="98">
        <f t="shared" si="5"/>
        <v>0.71417212608453351</v>
      </c>
      <c r="X7" s="96"/>
      <c r="Y7" s="96"/>
      <c r="Z7" s="96"/>
      <c r="AA7" s="96"/>
      <c r="AB7" s="96">
        <v>40</v>
      </c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</row>
    <row r="8" spans="1:39" s="90" customFormat="1" ht="13.2" x14ac:dyDescent="0.25">
      <c r="A8" s="96" t="s">
        <v>45</v>
      </c>
      <c r="B8" s="96" t="s">
        <v>42</v>
      </c>
      <c r="C8" s="96">
        <v>176.3</v>
      </c>
      <c r="D8" s="104">
        <v>168.2</v>
      </c>
      <c r="E8" s="96">
        <v>35.799999999999997</v>
      </c>
      <c r="F8" s="96">
        <v>32.799999999999997</v>
      </c>
      <c r="G8" s="96" t="s">
        <v>24</v>
      </c>
      <c r="H8" s="87">
        <f t="shared" si="0"/>
        <v>-0.66064414768263946</v>
      </c>
      <c r="I8" s="87">
        <f t="shared" si="1"/>
        <v>0.79264242009653019</v>
      </c>
      <c r="J8" s="96">
        <v>-0.1</v>
      </c>
      <c r="K8" s="96">
        <v>1.24</v>
      </c>
      <c r="L8" s="97">
        <v>0.90600000000000003</v>
      </c>
      <c r="M8" s="97">
        <v>0.86599999999999999</v>
      </c>
      <c r="N8" s="96"/>
      <c r="O8" s="96"/>
      <c r="P8" s="97">
        <f>AVERAGE(L8:N8)</f>
        <v>0.88600000000000001</v>
      </c>
      <c r="Q8" s="98">
        <f>7.69/1</f>
        <v>7.69</v>
      </c>
      <c r="R8" s="98">
        <f>7.69/1</f>
        <v>7.69</v>
      </c>
      <c r="S8" s="96"/>
      <c r="T8" s="96"/>
      <c r="U8" s="98">
        <f>AVERAGE(Q8:S8)</f>
        <v>7.69</v>
      </c>
      <c r="V8" s="87">
        <f t="shared" si="4"/>
        <v>1.5126523149827651</v>
      </c>
      <c r="W8" s="98">
        <f t="shared" si="5"/>
        <v>2.3263659738470532</v>
      </c>
      <c r="X8" s="96"/>
      <c r="Y8" s="96"/>
      <c r="Z8" s="96"/>
      <c r="AA8" s="96"/>
      <c r="AB8" s="96">
        <v>41</v>
      </c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</row>
    <row r="9" spans="1:39" s="90" customFormat="1" ht="13.2" x14ac:dyDescent="0.25">
      <c r="A9" s="96" t="s">
        <v>62</v>
      </c>
      <c r="B9" s="96" t="s">
        <v>61</v>
      </c>
      <c r="C9" s="96">
        <v>142.30000000000001</v>
      </c>
      <c r="D9" s="96">
        <v>139.1</v>
      </c>
      <c r="E9" s="96">
        <v>25.7</v>
      </c>
      <c r="F9" s="96">
        <v>25.7</v>
      </c>
      <c r="G9" s="96" t="s">
        <v>20</v>
      </c>
      <c r="H9" s="87">
        <f t="shared" si="0"/>
        <v>-0.38244304791830319</v>
      </c>
      <c r="I9" s="87">
        <f t="shared" si="1"/>
        <v>0.29603617983506253</v>
      </c>
      <c r="J9" s="96">
        <v>-7.0000000000000007E-2</v>
      </c>
      <c r="K9" s="96">
        <v>0.56000000000000005</v>
      </c>
      <c r="L9" s="97">
        <v>0.42199999999999999</v>
      </c>
      <c r="M9" s="97">
        <v>0.40300000000000002</v>
      </c>
      <c r="N9" s="96"/>
      <c r="O9" s="96"/>
      <c r="P9" s="97">
        <f>AVERAGE(L9:N9)</f>
        <v>0.41249999999999998</v>
      </c>
      <c r="Q9" s="98">
        <f>1/2.01</f>
        <v>0.49751243781094534</v>
      </c>
      <c r="R9" s="98">
        <f>1/2</f>
        <v>0.5</v>
      </c>
      <c r="S9" s="96"/>
      <c r="T9" s="96"/>
      <c r="U9" s="98">
        <f>AVERAGE(Q9:S9)</f>
        <v>0.49875621890547267</v>
      </c>
      <c r="V9" s="87">
        <f t="shared" si="4"/>
        <v>-0.51583286978596632</v>
      </c>
      <c r="W9" s="98">
        <f t="shared" si="5"/>
        <v>0.60833645277623138</v>
      </c>
      <c r="X9" s="96"/>
      <c r="Y9" s="96"/>
      <c r="Z9" s="96"/>
      <c r="AA9" s="96"/>
      <c r="AB9" s="96">
        <v>44</v>
      </c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</row>
    <row r="10" spans="1:39" s="90" customFormat="1" ht="13.2" x14ac:dyDescent="0.25">
      <c r="A10" s="95" t="s">
        <v>39</v>
      </c>
      <c r="B10" s="96" t="s">
        <v>35</v>
      </c>
      <c r="C10" s="96">
        <v>176.8</v>
      </c>
      <c r="D10" s="96">
        <v>162.5</v>
      </c>
      <c r="E10" s="96">
        <v>40</v>
      </c>
      <c r="F10" s="96">
        <v>34.4</v>
      </c>
      <c r="G10" s="96" t="s">
        <v>26</v>
      </c>
      <c r="H10" s="87">
        <f t="shared" si="0"/>
        <v>0.7659073055773763</v>
      </c>
      <c r="I10" s="87">
        <f t="shared" si="1"/>
        <v>0.2223235662980276</v>
      </c>
      <c r="J10" s="96">
        <v>0.12</v>
      </c>
      <c r="K10" s="96">
        <v>0.36</v>
      </c>
      <c r="L10" s="97">
        <v>0.54600000000000004</v>
      </c>
      <c r="M10" s="97">
        <v>0.47899999999999998</v>
      </c>
      <c r="N10" s="97">
        <v>0.433</v>
      </c>
      <c r="O10" s="96"/>
      <c r="P10" s="97">
        <f>AVERAGE(L10:N10)</f>
        <v>0.48599999999999999</v>
      </c>
      <c r="Q10" s="96">
        <f>8.84/1</f>
        <v>8.84</v>
      </c>
      <c r="R10" s="96">
        <f>9.2/1</f>
        <v>9.1999999999999993</v>
      </c>
      <c r="S10" s="96">
        <f>9.01/1</f>
        <v>9.01</v>
      </c>
      <c r="T10" s="96"/>
      <c r="U10" s="98">
        <f>AVERAGE(Q10:S10)</f>
        <v>9.0166666666666657</v>
      </c>
      <c r="V10" s="87">
        <f t="shared" si="4"/>
        <v>1.6306689395977298</v>
      </c>
      <c r="W10" s="98">
        <f t="shared" si="5"/>
        <v>2.4785481010076644</v>
      </c>
      <c r="X10" s="96"/>
      <c r="Y10" s="96"/>
      <c r="Z10" s="96"/>
      <c r="AA10" s="96"/>
      <c r="AB10" s="96">
        <v>45</v>
      </c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</row>
    <row r="11" spans="1:39" s="48" customFormat="1" ht="13.2" x14ac:dyDescent="0.25">
      <c r="A11" s="43" t="s">
        <v>69</v>
      </c>
      <c r="B11" s="44" t="s">
        <v>67</v>
      </c>
      <c r="C11" s="44">
        <v>159</v>
      </c>
      <c r="D11" s="44">
        <v>140.30000000000001</v>
      </c>
      <c r="E11" s="44">
        <v>26.6</v>
      </c>
      <c r="F11" s="44">
        <v>24.4</v>
      </c>
      <c r="G11" s="44" t="s">
        <v>22</v>
      </c>
      <c r="H11" s="45">
        <f t="shared" ref="H11:H44" si="6">(D11*J11)/25.46</f>
        <v>-0.38574234092694426</v>
      </c>
      <c r="I11" s="45">
        <f t="shared" ref="I11:I44" si="7">(D11*K11)/263.13</f>
        <v>0.4052293543115571</v>
      </c>
      <c r="J11" s="44">
        <v>-7.0000000000000007E-2</v>
      </c>
      <c r="K11" s="44">
        <v>0.76</v>
      </c>
      <c r="L11" s="46">
        <v>0.505</v>
      </c>
      <c r="M11" s="46">
        <v>0.45400000000000001</v>
      </c>
      <c r="N11" s="44"/>
      <c r="O11" s="44"/>
      <c r="P11" s="46">
        <f t="shared" ref="P11:P16" si="8">AVERAGE(L11:N11)</f>
        <v>0.47950000000000004</v>
      </c>
      <c r="Q11" s="47">
        <f>1/1.62</f>
        <v>0.61728395061728392</v>
      </c>
      <c r="R11" s="47">
        <f>1/1.66</f>
        <v>0.60240963855421692</v>
      </c>
      <c r="S11" s="44"/>
      <c r="T11" s="44"/>
      <c r="U11" s="47">
        <f t="shared" ref="U11:U16" si="9">AVERAGE(Q11:S11)</f>
        <v>0.60984679458575042</v>
      </c>
      <c r="V11" s="45">
        <f t="shared" ref="V11:V44" si="10">LN(U11)*(0.001987203611*373.15)</f>
        <v>-0.36671935575980447</v>
      </c>
      <c r="W11" s="47">
        <f>(H11*1.90410943679176)+(I11*4.60042439836431)</f>
        <v>1.1297313769791639</v>
      </c>
      <c r="X11" s="44"/>
      <c r="Y11" s="44"/>
      <c r="Z11" s="44"/>
      <c r="AA11" s="44"/>
      <c r="AB11" s="44">
        <v>8</v>
      </c>
      <c r="AC11" s="44"/>
      <c r="AD11" s="47">
        <f>AVERAGE(AD40:AD40)</f>
        <v>0.27327608299722628</v>
      </c>
      <c r="AE11" s="44"/>
      <c r="AF11" s="44"/>
      <c r="AG11" s="44"/>
      <c r="AH11" s="44"/>
      <c r="AI11" s="44"/>
      <c r="AJ11" s="44"/>
      <c r="AK11" s="44"/>
      <c r="AL11" s="44"/>
      <c r="AM11" s="44"/>
    </row>
    <row r="12" spans="1:39" s="48" customFormat="1" ht="13.2" x14ac:dyDescent="0.25">
      <c r="A12" s="49" t="s">
        <v>43</v>
      </c>
      <c r="B12" s="49" t="s">
        <v>42</v>
      </c>
      <c r="C12" s="49">
        <v>176.3</v>
      </c>
      <c r="D12" s="50">
        <v>168.2</v>
      </c>
      <c r="E12" s="49">
        <v>35.799999999999997</v>
      </c>
      <c r="F12" s="49">
        <v>32.799999999999997</v>
      </c>
      <c r="G12" s="49" t="s">
        <v>20</v>
      </c>
      <c r="H12" s="45">
        <f t="shared" si="6"/>
        <v>-0.46245090337784761</v>
      </c>
      <c r="I12" s="45">
        <f t="shared" si="7"/>
        <v>0.35796754455972335</v>
      </c>
      <c r="J12" s="49">
        <v>-7.0000000000000007E-2</v>
      </c>
      <c r="K12" s="49">
        <v>0.56000000000000005</v>
      </c>
      <c r="L12" s="51">
        <v>0.85099999999999998</v>
      </c>
      <c r="M12" s="51">
        <v>0.81200000000000006</v>
      </c>
      <c r="N12" s="49"/>
      <c r="O12" s="49"/>
      <c r="P12" s="51">
        <f t="shared" si="8"/>
        <v>0.83150000000000002</v>
      </c>
      <c r="Q12" s="52">
        <f>1/2.41</f>
        <v>0.41493775933609955</v>
      </c>
      <c r="R12" s="52">
        <f>1/2.46</f>
        <v>0.4065040650406504</v>
      </c>
      <c r="S12" s="49"/>
      <c r="T12" s="49"/>
      <c r="U12" s="52">
        <f t="shared" si="9"/>
        <v>0.41072091218837498</v>
      </c>
      <c r="V12" s="45">
        <f t="shared" si="10"/>
        <v>-0.65983962474136404</v>
      </c>
      <c r="W12" s="47">
        <f t="shared" ref="W12:W18" si="11">(H12*1.90410943679176)+(I12*4.60042439836431)</f>
        <v>0.76624549664048047</v>
      </c>
      <c r="X12" s="49"/>
      <c r="Y12" s="49"/>
      <c r="Z12" s="49"/>
      <c r="AA12" s="49"/>
      <c r="AB12" s="49">
        <v>9</v>
      </c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</row>
    <row r="13" spans="1:39" s="48" customFormat="1" ht="13.2" x14ac:dyDescent="0.25">
      <c r="A13" s="53" t="s">
        <v>16</v>
      </c>
      <c r="B13" s="53" t="s">
        <v>17</v>
      </c>
      <c r="C13" s="53">
        <v>213.3</v>
      </c>
      <c r="D13" s="53">
        <v>212.2</v>
      </c>
      <c r="E13" s="53">
        <v>58.4</v>
      </c>
      <c r="F13" s="53">
        <v>57.2</v>
      </c>
      <c r="G13" s="53" t="s">
        <v>18</v>
      </c>
      <c r="H13" s="45">
        <f t="shared" si="6"/>
        <v>-0.58342498036135115</v>
      </c>
      <c r="I13" s="45">
        <f t="shared" si="7"/>
        <v>0.41935165127503515</v>
      </c>
      <c r="J13" s="53">
        <v>-7.0000000000000007E-2</v>
      </c>
      <c r="K13" s="53">
        <v>0.52</v>
      </c>
      <c r="L13" s="54">
        <v>0.54600000000000004</v>
      </c>
      <c r="M13" s="54">
        <v>0.54200000000000004</v>
      </c>
      <c r="N13" s="53"/>
      <c r="O13" s="53"/>
      <c r="P13" s="54">
        <f>AVERAGE(L13:N13)</f>
        <v>0.54400000000000004</v>
      </c>
      <c r="Q13" s="45">
        <f>1/2.13</f>
        <v>0.46948356807511737</v>
      </c>
      <c r="R13" s="45">
        <f>1/2.04</f>
        <v>0.49019607843137253</v>
      </c>
      <c r="S13" s="53"/>
      <c r="T13" s="53"/>
      <c r="U13" s="45">
        <f>AVERAGE(Q13:S13)</f>
        <v>0.47983982325324492</v>
      </c>
      <c r="V13" s="45">
        <f t="shared" si="10"/>
        <v>-0.54450400204623883</v>
      </c>
      <c r="W13" s="47">
        <f t="shared" si="11"/>
        <v>0.8182905572539374</v>
      </c>
      <c r="X13" s="45">
        <f>(W13-1.3422)/0.9347</f>
        <v>-0.56051079784536506</v>
      </c>
      <c r="Y13" s="45">
        <f>EXP(X13/(0.001987203611*373.15))</f>
        <v>0.46959284294094122</v>
      </c>
      <c r="Z13" s="55">
        <f>Y13/(Y13+1)</f>
        <v>0.31953941882378423</v>
      </c>
      <c r="AA13" s="45">
        <f>U13/(U13+1)</f>
        <v>0.32425118969860972</v>
      </c>
      <c r="AB13" s="53">
        <v>1</v>
      </c>
      <c r="AC13" s="53"/>
      <c r="AD13" s="45">
        <f>X13-V13</f>
        <v>-1.6006795799126228E-2</v>
      </c>
      <c r="AE13" s="53"/>
      <c r="AF13" s="53"/>
      <c r="AG13" s="53"/>
      <c r="AH13" s="53"/>
      <c r="AI13" s="53"/>
      <c r="AJ13" s="53"/>
      <c r="AK13" s="53"/>
      <c r="AL13" s="53"/>
      <c r="AM13" s="53"/>
    </row>
    <row r="14" spans="1:39" s="48" customFormat="1" ht="13.2" x14ac:dyDescent="0.25">
      <c r="A14" s="56" t="s">
        <v>36</v>
      </c>
      <c r="B14" s="57" t="s">
        <v>35</v>
      </c>
      <c r="C14" s="57">
        <v>176.8</v>
      </c>
      <c r="D14" s="57">
        <v>162.5</v>
      </c>
      <c r="E14" s="57">
        <v>40</v>
      </c>
      <c r="F14" s="57">
        <v>34.4</v>
      </c>
      <c r="G14" s="57" t="s">
        <v>20</v>
      </c>
      <c r="H14" s="45">
        <f t="shared" si="6"/>
        <v>-0.44677926158680287</v>
      </c>
      <c r="I14" s="45">
        <f t="shared" si="7"/>
        <v>0.34583665868582075</v>
      </c>
      <c r="J14" s="57">
        <v>-7.0000000000000007E-2</v>
      </c>
      <c r="K14" s="57">
        <v>0.56000000000000005</v>
      </c>
      <c r="L14" s="58">
        <v>0.59199999999999997</v>
      </c>
      <c r="M14" s="58">
        <v>0.62</v>
      </c>
      <c r="N14" s="57"/>
      <c r="O14" s="57"/>
      <c r="P14" s="58">
        <f t="shared" si="8"/>
        <v>0.60599999999999998</v>
      </c>
      <c r="Q14" s="59">
        <f>1/2.13</f>
        <v>0.46948356807511737</v>
      </c>
      <c r="R14" s="59">
        <f>1/2.13</f>
        <v>0.46948356807511737</v>
      </c>
      <c r="S14" s="57"/>
      <c r="T14" s="57"/>
      <c r="U14" s="59">
        <f t="shared" si="9"/>
        <v>0.46948356807511737</v>
      </c>
      <c r="V14" s="45">
        <f t="shared" si="10"/>
        <v>-0.56068337176436511</v>
      </c>
      <c r="W14" s="47">
        <f t="shared" si="11"/>
        <v>0.74027879431675447</v>
      </c>
      <c r="X14" s="57"/>
      <c r="Y14" s="57"/>
      <c r="Z14" s="57"/>
      <c r="AA14" s="57"/>
      <c r="AB14" s="57">
        <v>12</v>
      </c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</row>
    <row r="15" spans="1:39" s="48" customFormat="1" ht="13.2" x14ac:dyDescent="0.25">
      <c r="A15" s="60" t="s">
        <v>28</v>
      </c>
      <c r="B15" s="60" t="s">
        <v>29</v>
      </c>
      <c r="C15" s="60">
        <v>176.1</v>
      </c>
      <c r="D15" s="60">
        <v>176.1</v>
      </c>
      <c r="E15" s="60">
        <v>36.299999999999997</v>
      </c>
      <c r="F15" s="60">
        <v>36.299999999999997</v>
      </c>
      <c r="G15" s="60" t="s">
        <v>18</v>
      </c>
      <c r="H15" s="45">
        <f t="shared" si="6"/>
        <v>-0.48417124901806752</v>
      </c>
      <c r="I15" s="45">
        <f t="shared" si="7"/>
        <v>0.34801048911184584</v>
      </c>
      <c r="J15" s="60">
        <v>-7.0000000000000007E-2</v>
      </c>
      <c r="K15" s="60">
        <v>0.52</v>
      </c>
      <c r="L15" s="61">
        <v>0.81200000000000006</v>
      </c>
      <c r="M15" s="61">
        <v>0.78900000000000003</v>
      </c>
      <c r="N15" s="60"/>
      <c r="O15" s="60"/>
      <c r="P15" s="61">
        <f t="shared" si="8"/>
        <v>0.80049999999999999</v>
      </c>
      <c r="Q15" s="62">
        <f>1/2.78</f>
        <v>0.35971223021582738</v>
      </c>
      <c r="R15" s="62">
        <f>1/2.7</f>
        <v>0.37037037037037035</v>
      </c>
      <c r="S15" s="60"/>
      <c r="T15" s="60"/>
      <c r="U15" s="62">
        <f t="shared" si="9"/>
        <v>0.36504130029309889</v>
      </c>
      <c r="V15" s="45">
        <f t="shared" si="10"/>
        <v>-0.74726797587868898</v>
      </c>
      <c r="W15" s="47">
        <f t="shared" si="11"/>
        <v>0.67908090071827698</v>
      </c>
      <c r="X15" s="60"/>
      <c r="Y15" s="60"/>
      <c r="Z15" s="60"/>
      <c r="AA15" s="60"/>
      <c r="AB15" s="60">
        <v>16</v>
      </c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</row>
    <row r="16" spans="1:39" s="48" customFormat="1" ht="13.2" x14ac:dyDescent="0.25">
      <c r="A16" s="43" t="s">
        <v>70</v>
      </c>
      <c r="B16" s="44" t="s">
        <v>67</v>
      </c>
      <c r="C16" s="44">
        <v>159</v>
      </c>
      <c r="D16" s="44">
        <v>140.30000000000001</v>
      </c>
      <c r="E16" s="44">
        <v>26.6</v>
      </c>
      <c r="F16" s="44">
        <v>24.4</v>
      </c>
      <c r="G16" s="44" t="s">
        <v>26</v>
      </c>
      <c r="H16" s="45">
        <f t="shared" si="6"/>
        <v>0.66127258444619019</v>
      </c>
      <c r="I16" s="45">
        <f t="shared" si="7"/>
        <v>0.1919507467791586</v>
      </c>
      <c r="J16" s="44">
        <v>0.12</v>
      </c>
      <c r="K16" s="44">
        <v>0.36</v>
      </c>
      <c r="L16" s="46">
        <v>0.39100000000000001</v>
      </c>
      <c r="M16" s="46">
        <v>0.36699999999999999</v>
      </c>
      <c r="N16" s="44"/>
      <c r="O16" s="44"/>
      <c r="P16" s="46">
        <f t="shared" si="8"/>
        <v>0.379</v>
      </c>
      <c r="Q16" s="44">
        <f>6.84/1</f>
        <v>6.84</v>
      </c>
      <c r="R16" s="44">
        <f>6.83/1</f>
        <v>6.83</v>
      </c>
      <c r="S16" s="44"/>
      <c r="T16" s="44"/>
      <c r="U16" s="47">
        <f t="shared" si="9"/>
        <v>6.835</v>
      </c>
      <c r="V16" s="45">
        <f t="shared" si="10"/>
        <v>1.425252976797361</v>
      </c>
      <c r="W16" s="47">
        <f t="shared" si="11"/>
        <v>2.1421902671027575</v>
      </c>
      <c r="X16" s="44"/>
      <c r="Y16" s="44"/>
      <c r="Z16" s="44"/>
      <c r="AA16" s="44"/>
      <c r="AB16" s="44">
        <v>19</v>
      </c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</row>
    <row r="17" spans="1:39" s="48" customFormat="1" ht="13.2" x14ac:dyDescent="0.25">
      <c r="A17" s="63" t="s">
        <v>57</v>
      </c>
      <c r="B17" s="63" t="s">
        <v>54</v>
      </c>
      <c r="C17" s="63">
        <v>159</v>
      </c>
      <c r="D17" s="63">
        <v>149</v>
      </c>
      <c r="E17" s="63">
        <v>28.2</v>
      </c>
      <c r="F17" s="63">
        <v>28.2</v>
      </c>
      <c r="G17" s="63" t="s">
        <v>24</v>
      </c>
      <c r="H17" s="45">
        <f t="shared" si="6"/>
        <v>-0.58523173605655932</v>
      </c>
      <c r="I17" s="45">
        <f t="shared" si="7"/>
        <v>0.70216242921749705</v>
      </c>
      <c r="J17" s="63">
        <v>-0.1</v>
      </c>
      <c r="K17" s="63">
        <v>1.24</v>
      </c>
      <c r="L17" s="64">
        <v>0.19</v>
      </c>
      <c r="M17" s="64">
        <v>0.16900000000000001</v>
      </c>
      <c r="N17" s="64"/>
      <c r="O17" s="64"/>
      <c r="P17" s="64">
        <f>AVERAGE(L17:O17)</f>
        <v>0.17949999999999999</v>
      </c>
      <c r="Q17" s="63">
        <v>2.4</v>
      </c>
      <c r="R17" s="63">
        <v>2.42</v>
      </c>
      <c r="S17" s="63"/>
      <c r="T17" s="63"/>
      <c r="U17" s="65">
        <f>AVERAGE(Q17:T17)</f>
        <v>2.41</v>
      </c>
      <c r="V17" s="45">
        <f t="shared" si="10"/>
        <v>0.65226524808288666</v>
      </c>
      <c r="W17" s="47">
        <f t="shared" si="11"/>
        <v>2.1158998996516072</v>
      </c>
      <c r="X17" s="63" t="s">
        <v>0</v>
      </c>
      <c r="Y17" s="63"/>
      <c r="Z17" s="63"/>
      <c r="AA17" s="63"/>
      <c r="AB17" s="63">
        <v>20</v>
      </c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</row>
    <row r="18" spans="1:39" s="48" customFormat="1" ht="13.2" x14ac:dyDescent="0.25">
      <c r="A18" s="43" t="s">
        <v>68</v>
      </c>
      <c r="B18" s="44" t="s">
        <v>67</v>
      </c>
      <c r="C18" s="44">
        <v>159</v>
      </c>
      <c r="D18" s="44">
        <v>140.30000000000001</v>
      </c>
      <c r="E18" s="44">
        <v>26.6</v>
      </c>
      <c r="F18" s="44">
        <v>24.4</v>
      </c>
      <c r="G18" s="44" t="s">
        <v>20</v>
      </c>
      <c r="H18" s="45">
        <f t="shared" si="6"/>
        <v>-0.38574234092694426</v>
      </c>
      <c r="I18" s="45">
        <f t="shared" si="7"/>
        <v>0.29859005054535787</v>
      </c>
      <c r="J18" s="44">
        <v>-7.0000000000000007E-2</v>
      </c>
      <c r="K18" s="44">
        <v>0.56000000000000005</v>
      </c>
      <c r="L18" s="46">
        <v>0.48099999999999998</v>
      </c>
      <c r="M18" s="46">
        <v>0.498</v>
      </c>
      <c r="N18" s="44"/>
      <c r="O18" s="44"/>
      <c r="P18" s="46">
        <f t="shared" ref="P18:P42" si="12">AVERAGE(L18:N18)</f>
        <v>0.48949999999999999</v>
      </c>
      <c r="Q18" s="47">
        <f>1/1.9</f>
        <v>0.52631578947368418</v>
      </c>
      <c r="R18" s="47">
        <f>1/1.87</f>
        <v>0.53475935828876997</v>
      </c>
      <c r="S18" s="44"/>
      <c r="T18" s="44"/>
      <c r="U18" s="47">
        <f t="shared" ref="U18:U42" si="13">AVERAGE(Q18:S18)</f>
        <v>0.53053757388122702</v>
      </c>
      <c r="V18" s="45">
        <f t="shared" si="10"/>
        <v>-0.47002638789559903</v>
      </c>
      <c r="W18" s="47">
        <f t="shared" si="11"/>
        <v>0.6391453221085579</v>
      </c>
      <c r="X18" s="44"/>
      <c r="Y18" s="44"/>
      <c r="Z18" s="44"/>
      <c r="AA18" s="44"/>
      <c r="AB18" s="44">
        <v>26</v>
      </c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</row>
    <row r="19" spans="1:39" s="70" customFormat="1" ht="13.2" x14ac:dyDescent="0.25">
      <c r="A19" s="66" t="s">
        <v>58</v>
      </c>
      <c r="B19" s="66" t="s">
        <v>54</v>
      </c>
      <c r="C19" s="66">
        <v>159</v>
      </c>
      <c r="D19" s="66">
        <v>149</v>
      </c>
      <c r="E19" s="66">
        <v>28.2</v>
      </c>
      <c r="F19" s="66">
        <v>28.2</v>
      </c>
      <c r="G19" s="66" t="s">
        <v>26</v>
      </c>
      <c r="H19" s="67">
        <f t="shared" si="6"/>
        <v>0.70227808326787111</v>
      </c>
      <c r="I19" s="67">
        <f t="shared" si="7"/>
        <v>0.20385360848249914</v>
      </c>
      <c r="J19" s="66">
        <v>0.12</v>
      </c>
      <c r="K19" s="66">
        <v>0.36</v>
      </c>
      <c r="L19" s="68">
        <v>0.42099999999999999</v>
      </c>
      <c r="M19" s="68">
        <v>0.42499999999999999</v>
      </c>
      <c r="N19" s="66"/>
      <c r="O19" s="66"/>
      <c r="P19" s="68">
        <f t="shared" si="12"/>
        <v>0.42299999999999999</v>
      </c>
      <c r="Q19" s="66">
        <f>5.66/1</f>
        <v>5.66</v>
      </c>
      <c r="R19" s="66">
        <f>5.66/1</f>
        <v>5.66</v>
      </c>
      <c r="S19" s="66"/>
      <c r="T19" s="66"/>
      <c r="U19" s="69">
        <f t="shared" si="13"/>
        <v>5.66</v>
      </c>
      <c r="V19" s="67">
        <f t="shared" si="10"/>
        <v>1.2853771992480076</v>
      </c>
      <c r="W19" s="69">
        <f>(H19*2.01646136271514)+(I19*4.63601344009015)</f>
        <v>2.3611846895270494</v>
      </c>
      <c r="X19" s="66"/>
      <c r="Y19" s="66"/>
      <c r="Z19" s="66"/>
      <c r="AA19" s="66"/>
      <c r="AB19" s="66">
        <v>27</v>
      </c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</row>
    <row r="20" spans="1:39" s="70" customFormat="1" ht="13.2" x14ac:dyDescent="0.25">
      <c r="A20" s="71" t="s">
        <v>66</v>
      </c>
      <c r="B20" s="71" t="s">
        <v>67</v>
      </c>
      <c r="C20" s="71">
        <v>159</v>
      </c>
      <c r="D20" s="71">
        <v>140.30000000000001</v>
      </c>
      <c r="E20" s="71">
        <v>26.6</v>
      </c>
      <c r="F20" s="71">
        <v>24.4</v>
      </c>
      <c r="G20" s="71" t="s">
        <v>18</v>
      </c>
      <c r="H20" s="67">
        <f t="shared" si="6"/>
        <v>-0.38574234092694426</v>
      </c>
      <c r="I20" s="67">
        <f t="shared" si="7"/>
        <v>0.27726218979211797</v>
      </c>
      <c r="J20" s="71">
        <v>-7.0000000000000007E-2</v>
      </c>
      <c r="K20" s="71">
        <v>0.52</v>
      </c>
      <c r="L20" s="72">
        <v>0.47099999999999997</v>
      </c>
      <c r="M20" s="72">
        <v>0.48899999999999999</v>
      </c>
      <c r="N20" s="71"/>
      <c r="O20" s="71"/>
      <c r="P20" s="72">
        <f t="shared" si="12"/>
        <v>0.48</v>
      </c>
      <c r="Q20" s="71">
        <f>0.5/1</f>
        <v>0.5</v>
      </c>
      <c r="R20" s="71">
        <f>0.51/1</f>
        <v>0.51</v>
      </c>
      <c r="S20" s="71"/>
      <c r="T20" s="71"/>
      <c r="U20" s="73">
        <f t="shared" si="13"/>
        <v>0.505</v>
      </c>
      <c r="V20" s="67">
        <f t="shared" si="10"/>
        <v>-0.50660756272891638</v>
      </c>
      <c r="W20" s="69">
        <f t="shared" ref="W20:W26" si="14">(H20*2.01646136271514)+(I20*4.63601344009015)</f>
        <v>0.50755671186261075</v>
      </c>
      <c r="X20" s="71"/>
      <c r="Y20" s="71"/>
      <c r="Z20" s="71"/>
      <c r="AA20" s="71"/>
      <c r="AB20" s="71">
        <v>28</v>
      </c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</row>
    <row r="21" spans="1:39" s="70" customFormat="1" ht="13.2" x14ac:dyDescent="0.25">
      <c r="A21" s="66" t="s">
        <v>53</v>
      </c>
      <c r="B21" s="66" t="s">
        <v>54</v>
      </c>
      <c r="C21" s="66">
        <v>159</v>
      </c>
      <c r="D21" s="66">
        <v>149</v>
      </c>
      <c r="E21" s="66">
        <v>28.2</v>
      </c>
      <c r="F21" s="66">
        <v>28.2</v>
      </c>
      <c r="G21" s="66" t="s">
        <v>18</v>
      </c>
      <c r="H21" s="67">
        <f t="shared" si="6"/>
        <v>-0.40966221523959157</v>
      </c>
      <c r="I21" s="67">
        <f t="shared" si="7"/>
        <v>0.29445521225249877</v>
      </c>
      <c r="J21" s="66">
        <v>-7.0000000000000007E-2</v>
      </c>
      <c r="K21" s="66">
        <v>0.52</v>
      </c>
      <c r="L21" s="68">
        <v>0.65700000000000003</v>
      </c>
      <c r="M21" s="68">
        <v>0.68899999999999995</v>
      </c>
      <c r="N21" s="66"/>
      <c r="O21" s="66"/>
      <c r="P21" s="68">
        <f t="shared" si="12"/>
        <v>0.67300000000000004</v>
      </c>
      <c r="Q21" s="69">
        <f>1/2.44</f>
        <v>0.4098360655737705</v>
      </c>
      <c r="R21" s="69">
        <f>1/2.38</f>
        <v>0.42016806722689076</v>
      </c>
      <c r="S21" s="66"/>
      <c r="T21" s="66"/>
      <c r="U21" s="69">
        <f t="shared" si="13"/>
        <v>0.41500206640033066</v>
      </c>
      <c r="V21" s="67">
        <f t="shared" si="10"/>
        <v>-0.65215033542009948</v>
      </c>
      <c r="W21" s="69">
        <f t="shared" si="14"/>
        <v>0.53903029271225222</v>
      </c>
      <c r="X21" s="66"/>
      <c r="Y21" s="66"/>
      <c r="Z21" s="66"/>
      <c r="AA21" s="66"/>
      <c r="AB21" s="66">
        <v>29</v>
      </c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</row>
    <row r="22" spans="1:39" s="70" customFormat="1" ht="13.2" x14ac:dyDescent="0.25">
      <c r="A22" s="74" t="s">
        <v>71</v>
      </c>
      <c r="B22" s="71" t="s">
        <v>67</v>
      </c>
      <c r="C22" s="71">
        <v>159</v>
      </c>
      <c r="D22" s="71">
        <v>140.30000000000001</v>
      </c>
      <c r="E22" s="71">
        <v>26.6</v>
      </c>
      <c r="F22" s="71">
        <v>24.4</v>
      </c>
      <c r="G22" s="71" t="s">
        <v>27</v>
      </c>
      <c r="H22" s="67">
        <f t="shared" si="6"/>
        <v>0.3306362922230951</v>
      </c>
      <c r="I22" s="67">
        <f t="shared" si="7"/>
        <v>0.30392201573366778</v>
      </c>
      <c r="J22" s="71">
        <v>0.06</v>
      </c>
      <c r="K22" s="71">
        <v>0.56999999999999995</v>
      </c>
      <c r="L22" s="72">
        <v>0.52400000000000002</v>
      </c>
      <c r="M22" s="72">
        <v>0.42499999999999999</v>
      </c>
      <c r="N22" s="72">
        <v>0.40300000000000002</v>
      </c>
      <c r="O22" s="72"/>
      <c r="P22" s="72">
        <f t="shared" si="12"/>
        <v>0.45066666666666672</v>
      </c>
      <c r="Q22" s="71">
        <f>1.88/1</f>
        <v>1.88</v>
      </c>
      <c r="R22" s="71">
        <f>1.83/1</f>
        <v>1.83</v>
      </c>
      <c r="S22" s="71">
        <f>1.8/1</f>
        <v>1.8</v>
      </c>
      <c r="T22" s="71"/>
      <c r="U22" s="73">
        <f t="shared" si="13"/>
        <v>1.8366666666666667</v>
      </c>
      <c r="V22" s="67">
        <f t="shared" si="10"/>
        <v>0.4508118715227144</v>
      </c>
      <c r="W22" s="69">
        <f t="shared" si="14"/>
        <v>2.0757018580598379</v>
      </c>
      <c r="X22" s="71"/>
      <c r="Y22" s="71"/>
      <c r="Z22" s="71"/>
      <c r="AA22" s="71"/>
      <c r="AB22" s="71">
        <v>30</v>
      </c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</row>
    <row r="23" spans="1:39" s="70" customFormat="1" ht="13.2" x14ac:dyDescent="0.25">
      <c r="A23" s="75" t="s">
        <v>21</v>
      </c>
      <c r="B23" s="75" t="s">
        <v>17</v>
      </c>
      <c r="C23" s="75">
        <v>213.3</v>
      </c>
      <c r="D23" s="75">
        <v>212.2</v>
      </c>
      <c r="E23" s="75">
        <v>58.4</v>
      </c>
      <c r="F23" s="75">
        <v>57.2</v>
      </c>
      <c r="G23" s="75" t="s">
        <v>22</v>
      </c>
      <c r="H23" s="67">
        <f t="shared" si="6"/>
        <v>-0.58342498036135115</v>
      </c>
      <c r="I23" s="67">
        <f t="shared" si="7"/>
        <v>0.6128985672481283</v>
      </c>
      <c r="J23" s="75">
        <v>-7.0000000000000007E-2</v>
      </c>
      <c r="K23" s="75">
        <v>0.76</v>
      </c>
      <c r="L23" s="76">
        <v>0.59499999999999997</v>
      </c>
      <c r="M23" s="76">
        <v>0.65400000000000003</v>
      </c>
      <c r="N23" s="75"/>
      <c r="O23" s="75"/>
      <c r="P23" s="76">
        <f t="shared" si="12"/>
        <v>0.62450000000000006</v>
      </c>
      <c r="Q23" s="75">
        <f>1.23/1</f>
        <v>1.23</v>
      </c>
      <c r="R23" s="67">
        <f>1.21/1</f>
        <v>1.21</v>
      </c>
      <c r="S23" s="75"/>
      <c r="T23" s="75"/>
      <c r="U23" s="75">
        <f t="shared" si="13"/>
        <v>1.22</v>
      </c>
      <c r="V23" s="67">
        <f t="shared" si="10"/>
        <v>0.14745288848840082</v>
      </c>
      <c r="W23" s="69">
        <f t="shared" si="14"/>
        <v>1.6649520642328157</v>
      </c>
      <c r="X23" s="67">
        <f>(W23-1.3422)/0.9347</f>
        <v>0.34530016500782673</v>
      </c>
      <c r="Y23" s="67">
        <f>EXP(X23/(0.001987203611*373.15))</f>
        <v>1.5930687469852476</v>
      </c>
      <c r="Z23" s="77">
        <f>Y23/(Y23+1)</f>
        <v>0.61435654139034312</v>
      </c>
      <c r="AA23" s="67">
        <f>U23/(U23+1)</f>
        <v>0.5495495495495496</v>
      </c>
      <c r="AB23" s="75">
        <v>3</v>
      </c>
      <c r="AC23" s="75"/>
      <c r="AD23" s="67">
        <f>X23-V23</f>
        <v>0.19784727651942591</v>
      </c>
      <c r="AE23" s="75"/>
      <c r="AF23" s="75"/>
      <c r="AG23" s="75"/>
      <c r="AH23" s="75"/>
      <c r="AI23" s="75"/>
      <c r="AJ23" s="75"/>
      <c r="AK23" s="75"/>
      <c r="AL23" s="75"/>
      <c r="AM23" s="75"/>
    </row>
    <row r="24" spans="1:39" s="70" customFormat="1" ht="13.2" x14ac:dyDescent="0.25">
      <c r="A24" s="75" t="s">
        <v>23</v>
      </c>
      <c r="B24" s="75" t="s">
        <v>17</v>
      </c>
      <c r="C24" s="75">
        <v>213.3</v>
      </c>
      <c r="D24" s="75">
        <v>212.2</v>
      </c>
      <c r="E24" s="75">
        <v>58.4</v>
      </c>
      <c r="F24" s="75">
        <v>57.2</v>
      </c>
      <c r="G24" s="75" t="s">
        <v>24</v>
      </c>
      <c r="H24" s="67">
        <f t="shared" si="6"/>
        <v>-0.83346425765907295</v>
      </c>
      <c r="I24" s="67">
        <f t="shared" si="7"/>
        <v>0.9999923991943146</v>
      </c>
      <c r="J24" s="75">
        <v>-0.1</v>
      </c>
      <c r="K24" s="75">
        <v>1.24</v>
      </c>
      <c r="L24" s="76">
        <v>0.49199999999999999</v>
      </c>
      <c r="M24" s="76">
        <v>0.68</v>
      </c>
      <c r="N24" s="76">
        <v>0.48399999999999999</v>
      </c>
      <c r="O24" s="76">
        <v>0.47199999999999998</v>
      </c>
      <c r="P24" s="76">
        <f t="shared" si="12"/>
        <v>0.55200000000000005</v>
      </c>
      <c r="Q24" s="75">
        <f>12.3/1</f>
        <v>12.3</v>
      </c>
      <c r="R24" s="75">
        <f>12.51/1</f>
        <v>12.51</v>
      </c>
      <c r="S24" s="75">
        <f>11.46/1</f>
        <v>11.46</v>
      </c>
      <c r="T24" s="75">
        <f>11.43/1</f>
        <v>11.43</v>
      </c>
      <c r="U24" s="75">
        <f t="shared" si="13"/>
        <v>12.090000000000002</v>
      </c>
      <c r="V24" s="67">
        <f t="shared" si="10"/>
        <v>1.848161157689775</v>
      </c>
      <c r="W24" s="69">
        <f t="shared" si="14"/>
        <v>2.9553297298792605</v>
      </c>
      <c r="X24" s="67">
        <f>(W24-1.3422)/0.9347</f>
        <v>1.7258261793936669</v>
      </c>
      <c r="Y24" s="67">
        <f>EXP(X24/(0.001987203611*373.15))</f>
        <v>10.251265075973901</v>
      </c>
      <c r="Z24" s="77">
        <f>Y24/(Y24+1)</f>
        <v>0.91112110564922932</v>
      </c>
      <c r="AA24" s="67">
        <f>U24/(U24+1)</f>
        <v>0.92360580595874719</v>
      </c>
      <c r="AB24" s="75">
        <v>4</v>
      </c>
      <c r="AC24" s="75"/>
      <c r="AD24" s="67">
        <f>X24-V24</f>
        <v>-0.12233497829610807</v>
      </c>
      <c r="AE24" s="75"/>
      <c r="AF24" s="75"/>
      <c r="AG24" s="75"/>
      <c r="AH24" s="75"/>
      <c r="AI24" s="75"/>
      <c r="AJ24" s="75"/>
      <c r="AK24" s="75"/>
      <c r="AL24" s="75"/>
      <c r="AM24" s="75"/>
    </row>
    <row r="25" spans="1:39" s="70" customFormat="1" ht="13.2" x14ac:dyDescent="0.25">
      <c r="A25" s="82" t="s">
        <v>33</v>
      </c>
      <c r="B25" s="83" t="s">
        <v>29</v>
      </c>
      <c r="C25" s="83">
        <v>176.1</v>
      </c>
      <c r="D25" s="83">
        <v>176.1</v>
      </c>
      <c r="E25" s="83">
        <v>36.299999999999997</v>
      </c>
      <c r="F25" s="83">
        <v>36.299999999999997</v>
      </c>
      <c r="G25" s="83" t="s">
        <v>26</v>
      </c>
      <c r="H25" s="67">
        <f t="shared" si="6"/>
        <v>0.83000785545954425</v>
      </c>
      <c r="I25" s="67">
        <f t="shared" si="7"/>
        <v>0.24093033861589327</v>
      </c>
      <c r="J25" s="83">
        <v>0.12</v>
      </c>
      <c r="K25" s="83">
        <v>0.36</v>
      </c>
      <c r="L25" s="84">
        <v>0.3</v>
      </c>
      <c r="M25" s="84">
        <v>0.29699999999999999</v>
      </c>
      <c r="N25" s="83"/>
      <c r="O25" s="83"/>
      <c r="P25" s="84">
        <f t="shared" si="12"/>
        <v>0.29849999999999999</v>
      </c>
      <c r="Q25" s="83">
        <f>5.28/1</f>
        <v>5.28</v>
      </c>
      <c r="R25" s="83">
        <f>5.2/1</f>
        <v>5.2</v>
      </c>
      <c r="S25" s="83"/>
      <c r="T25" s="83"/>
      <c r="U25" s="83">
        <f t="shared" si="13"/>
        <v>5.24</v>
      </c>
      <c r="V25" s="67">
        <f t="shared" si="10"/>
        <v>1.2282038445085051</v>
      </c>
      <c r="W25" s="69">
        <f t="shared" si="14"/>
        <v>2.7906350592329758</v>
      </c>
      <c r="X25" s="83"/>
      <c r="Y25" s="83"/>
      <c r="Z25" s="83"/>
      <c r="AA25" s="83">
        <f>U25/(U25+1)</f>
        <v>0.83974358974358976</v>
      </c>
      <c r="AB25" s="83">
        <v>34</v>
      </c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</row>
    <row r="26" spans="1:39" s="70" customFormat="1" ht="13.2" x14ac:dyDescent="0.25">
      <c r="A26" s="66" t="s">
        <v>59</v>
      </c>
      <c r="B26" s="66" t="s">
        <v>54</v>
      </c>
      <c r="C26" s="66">
        <v>159</v>
      </c>
      <c r="D26" s="66">
        <v>149</v>
      </c>
      <c r="E26" s="66">
        <v>28.2</v>
      </c>
      <c r="F26" s="66">
        <v>28.2</v>
      </c>
      <c r="G26" s="66" t="s">
        <v>27</v>
      </c>
      <c r="H26" s="67">
        <f t="shared" si="6"/>
        <v>0.35113904163393556</v>
      </c>
      <c r="I26" s="67">
        <f t="shared" si="7"/>
        <v>0.32276821343062362</v>
      </c>
      <c r="J26" s="66">
        <v>0.06</v>
      </c>
      <c r="K26" s="66">
        <v>0.56999999999999995</v>
      </c>
      <c r="L26" s="68">
        <v>0.501</v>
      </c>
      <c r="M26" s="68">
        <v>0.48399999999999999</v>
      </c>
      <c r="N26" s="66"/>
      <c r="O26" s="66"/>
      <c r="P26" s="68">
        <f t="shared" si="12"/>
        <v>0.49249999999999999</v>
      </c>
      <c r="Q26" s="85">
        <f>2.28/1</f>
        <v>2.2799999999999998</v>
      </c>
      <c r="R26" s="66">
        <f>2.2/1</f>
        <v>2.2000000000000002</v>
      </c>
      <c r="S26" s="68"/>
      <c r="T26" s="68"/>
      <c r="U26" s="85">
        <f t="shared" si="13"/>
        <v>2.2400000000000002</v>
      </c>
      <c r="V26" s="67">
        <f t="shared" si="10"/>
        <v>0.5980220385704369</v>
      </c>
      <c r="W26" s="69">
        <f t="shared" si="14"/>
        <v>2.2044160858939112</v>
      </c>
      <c r="X26" s="69"/>
      <c r="Y26" s="69"/>
      <c r="Z26" s="66"/>
      <c r="AA26" s="66"/>
      <c r="AB26" s="66">
        <v>38</v>
      </c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</row>
    <row r="27" spans="1:39" s="90" customFormat="1" ht="13.2" x14ac:dyDescent="0.25">
      <c r="A27" s="86" t="s">
        <v>65</v>
      </c>
      <c r="B27" s="86" t="s">
        <v>61</v>
      </c>
      <c r="C27" s="86">
        <v>142.30000000000001</v>
      </c>
      <c r="D27" s="86">
        <v>139.1</v>
      </c>
      <c r="E27" s="86">
        <v>25.7</v>
      </c>
      <c r="F27" s="86">
        <v>25.7</v>
      </c>
      <c r="G27" s="86" t="s">
        <v>27</v>
      </c>
      <c r="H27" s="87">
        <f t="shared" si="6"/>
        <v>0.32780832678711702</v>
      </c>
      <c r="I27" s="87">
        <f t="shared" si="7"/>
        <v>0.30132254018926002</v>
      </c>
      <c r="J27" s="86">
        <v>0.06</v>
      </c>
      <c r="K27" s="86">
        <v>0.56999999999999995</v>
      </c>
      <c r="L27" s="88">
        <v>0.54400000000000004</v>
      </c>
      <c r="M27" s="88">
        <v>0.59199999999999997</v>
      </c>
      <c r="N27" s="86"/>
      <c r="O27" s="86"/>
      <c r="P27" s="88">
        <f t="shared" si="12"/>
        <v>0.56800000000000006</v>
      </c>
      <c r="Q27" s="86">
        <f>2.15/1</f>
        <v>2.15</v>
      </c>
      <c r="R27" s="86">
        <f>2.13/1</f>
        <v>2.13</v>
      </c>
      <c r="S27" s="86"/>
      <c r="T27" s="86"/>
      <c r="U27" s="89">
        <f t="shared" si="13"/>
        <v>2.1399999999999997</v>
      </c>
      <c r="V27" s="87">
        <f t="shared" si="10"/>
        <v>0.56415656325430852</v>
      </c>
      <c r="W27" s="89">
        <f>(H27*1.94898130439973)+(I27*4.42759540993937)</f>
        <v>1.9730265961878872</v>
      </c>
      <c r="X27" s="86"/>
      <c r="Y27" s="86"/>
      <c r="Z27" s="86"/>
      <c r="AA27" s="86"/>
      <c r="AB27" s="86">
        <v>42</v>
      </c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</row>
    <row r="28" spans="1:39" s="90" customFormat="1" ht="13.2" x14ac:dyDescent="0.25">
      <c r="A28" s="91" t="s">
        <v>31</v>
      </c>
      <c r="B28" s="92" t="s">
        <v>29</v>
      </c>
      <c r="C28" s="92">
        <v>176.1</v>
      </c>
      <c r="D28" s="92">
        <v>176.1</v>
      </c>
      <c r="E28" s="92">
        <v>36.299999999999997</v>
      </c>
      <c r="F28" s="92">
        <v>36.299999999999997</v>
      </c>
      <c r="G28" s="92" t="s">
        <v>22</v>
      </c>
      <c r="H28" s="87">
        <f t="shared" si="6"/>
        <v>-0.48417124901806752</v>
      </c>
      <c r="I28" s="87">
        <f t="shared" si="7"/>
        <v>0.50863071485577471</v>
      </c>
      <c r="J28" s="92">
        <v>-7.0000000000000007E-2</v>
      </c>
      <c r="K28" s="92">
        <v>0.76</v>
      </c>
      <c r="L28" s="93">
        <v>0.79100000000000004</v>
      </c>
      <c r="M28" s="93">
        <v>0.80300000000000005</v>
      </c>
      <c r="N28" s="92"/>
      <c r="O28" s="92"/>
      <c r="P28" s="93">
        <f t="shared" si="12"/>
        <v>0.79700000000000004</v>
      </c>
      <c r="Q28" s="94">
        <f>1/1.35</f>
        <v>0.7407407407407407</v>
      </c>
      <c r="R28" s="94">
        <f>1/1.31</f>
        <v>0.76335877862595414</v>
      </c>
      <c r="S28" s="92"/>
      <c r="T28" s="92"/>
      <c r="U28" s="94">
        <f t="shared" si="13"/>
        <v>0.75204975968334742</v>
      </c>
      <c r="V28" s="87">
        <f t="shared" si="10"/>
        <v>-0.21129962351926446</v>
      </c>
      <c r="W28" s="89">
        <f t="shared" ref="W28:W35" si="15">(H28*1.94898130439973)+(I28*4.42759540993937)</f>
        <v>1.3083703059855289</v>
      </c>
      <c r="X28" s="92"/>
      <c r="Y28" s="92"/>
      <c r="Z28" s="92"/>
      <c r="AA28" s="92"/>
      <c r="AB28" s="92">
        <v>43</v>
      </c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</row>
    <row r="29" spans="1:39" s="90" customFormat="1" ht="13.2" x14ac:dyDescent="0.25">
      <c r="A29" s="95" t="s">
        <v>51</v>
      </c>
      <c r="B29" s="96" t="s">
        <v>48</v>
      </c>
      <c r="C29" s="96">
        <v>169.2</v>
      </c>
      <c r="D29" s="96">
        <v>163.30000000000001</v>
      </c>
      <c r="E29" s="96">
        <v>32</v>
      </c>
      <c r="F29" s="96">
        <v>30.2</v>
      </c>
      <c r="G29" s="96" t="s">
        <v>26</v>
      </c>
      <c r="H29" s="87">
        <f t="shared" si="6"/>
        <v>0.76967792615868025</v>
      </c>
      <c r="I29" s="87">
        <f t="shared" si="7"/>
        <v>0.22341808231672558</v>
      </c>
      <c r="J29" s="96">
        <v>0.12</v>
      </c>
      <c r="K29" s="96">
        <v>0.36</v>
      </c>
      <c r="L29" s="97">
        <v>0.36099999999999999</v>
      </c>
      <c r="M29" s="97">
        <v>0.39500000000000002</v>
      </c>
      <c r="N29" s="96"/>
      <c r="O29" s="96"/>
      <c r="P29" s="97">
        <f t="shared" si="12"/>
        <v>0.378</v>
      </c>
      <c r="Q29" s="98">
        <f>8.6/1</f>
        <v>8.6</v>
      </c>
      <c r="R29" s="98">
        <f>8.6/1</f>
        <v>8.6</v>
      </c>
      <c r="S29" s="96"/>
      <c r="T29" s="96"/>
      <c r="U29" s="98">
        <f t="shared" si="13"/>
        <v>8.6</v>
      </c>
      <c r="V29" s="87">
        <f t="shared" si="10"/>
        <v>1.595585526826333</v>
      </c>
      <c r="W29" s="89">
        <f t="shared" si="15"/>
        <v>2.4892927642554139</v>
      </c>
      <c r="X29" s="96"/>
      <c r="Y29" s="96"/>
      <c r="Z29" s="96"/>
      <c r="AA29" s="96"/>
      <c r="AB29" s="96">
        <v>7</v>
      </c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</row>
    <row r="30" spans="1:39" s="90" customFormat="1" ht="13.2" x14ac:dyDescent="0.25">
      <c r="A30" s="95" t="s">
        <v>38</v>
      </c>
      <c r="B30" s="96" t="s">
        <v>35</v>
      </c>
      <c r="C30" s="96">
        <v>176.8</v>
      </c>
      <c r="D30" s="96">
        <v>162.5</v>
      </c>
      <c r="E30" s="96">
        <v>40</v>
      </c>
      <c r="F30" s="96">
        <v>34.4</v>
      </c>
      <c r="G30" s="96" t="s">
        <v>24</v>
      </c>
      <c r="H30" s="87">
        <f t="shared" si="6"/>
        <v>-0.63825608798114686</v>
      </c>
      <c r="I30" s="87">
        <f t="shared" si="7"/>
        <v>0.76578117280431723</v>
      </c>
      <c r="J30" s="96">
        <v>-0.1</v>
      </c>
      <c r="K30" s="96">
        <v>1.24</v>
      </c>
      <c r="L30" s="97">
        <v>0.27300000000000002</v>
      </c>
      <c r="M30" s="97">
        <v>0.155</v>
      </c>
      <c r="N30" s="97">
        <v>9.2999999999999999E-2</v>
      </c>
      <c r="O30" s="97"/>
      <c r="P30" s="97">
        <f t="shared" si="12"/>
        <v>0.17366666666666666</v>
      </c>
      <c r="Q30" s="96">
        <f>4.15/1</f>
        <v>4.1500000000000004</v>
      </c>
      <c r="R30" s="96">
        <v>3.63</v>
      </c>
      <c r="S30" s="96">
        <v>3.64</v>
      </c>
      <c r="T30" s="96"/>
      <c r="U30" s="98">
        <f t="shared" si="13"/>
        <v>3.8066666666666666</v>
      </c>
      <c r="V30" s="87">
        <f t="shared" si="10"/>
        <v>0.99123648392219033</v>
      </c>
      <c r="W30" s="89">
        <f t="shared" si="15"/>
        <v>2.1466200228318177</v>
      </c>
      <c r="X30" s="96"/>
      <c r="Y30" s="96"/>
      <c r="Z30" s="96"/>
      <c r="AA30" s="96"/>
      <c r="AB30" s="96">
        <v>10</v>
      </c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</row>
    <row r="31" spans="1:39" s="90" customFormat="1" ht="13.2" x14ac:dyDescent="0.25">
      <c r="A31" s="96" t="s">
        <v>56</v>
      </c>
      <c r="B31" s="96" t="s">
        <v>54</v>
      </c>
      <c r="C31" s="96">
        <v>159</v>
      </c>
      <c r="D31" s="96">
        <v>149</v>
      </c>
      <c r="E31" s="96">
        <v>28.2</v>
      </c>
      <c r="F31" s="96">
        <v>28.2</v>
      </c>
      <c r="G31" s="96" t="s">
        <v>22</v>
      </c>
      <c r="H31" s="87">
        <f t="shared" si="6"/>
        <v>-0.40966221523959157</v>
      </c>
      <c r="I31" s="87">
        <f t="shared" si="7"/>
        <v>0.43035761790749816</v>
      </c>
      <c r="J31" s="96">
        <v>-7.0000000000000007E-2</v>
      </c>
      <c r="K31" s="96">
        <v>0.76</v>
      </c>
      <c r="L31" s="97">
        <v>0.55800000000000005</v>
      </c>
      <c r="M31" s="97">
        <v>0.58099999999999996</v>
      </c>
      <c r="N31" s="96"/>
      <c r="O31" s="96"/>
      <c r="P31" s="97">
        <f t="shared" si="12"/>
        <v>0.56950000000000001</v>
      </c>
      <c r="Q31" s="98">
        <f>1/1.42</f>
        <v>0.70422535211267612</v>
      </c>
      <c r="R31" s="98">
        <f>1/1.4</f>
        <v>0.7142857142857143</v>
      </c>
      <c r="S31" s="96"/>
      <c r="T31" s="96"/>
      <c r="U31" s="98">
        <f t="shared" si="13"/>
        <v>0.70925553319919521</v>
      </c>
      <c r="V31" s="87">
        <f t="shared" si="10"/>
        <v>-0.25474306586396717</v>
      </c>
      <c r="W31" s="89">
        <f t="shared" si="15"/>
        <v>1.107025415058738</v>
      </c>
      <c r="X31" s="96"/>
      <c r="Y31" s="96"/>
      <c r="Z31" s="96"/>
      <c r="AA31" s="96"/>
      <c r="AB31" s="96">
        <v>11</v>
      </c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</row>
    <row r="32" spans="1:39" s="90" customFormat="1" ht="13.2" x14ac:dyDescent="0.25">
      <c r="A32" s="96" t="s">
        <v>32</v>
      </c>
      <c r="B32" s="96" t="s">
        <v>29</v>
      </c>
      <c r="C32" s="96">
        <v>176.1</v>
      </c>
      <c r="D32" s="96">
        <v>176.1</v>
      </c>
      <c r="E32" s="96">
        <v>36.299999999999997</v>
      </c>
      <c r="F32" s="96">
        <v>36.299999999999997</v>
      </c>
      <c r="G32" s="96" t="s">
        <v>24</v>
      </c>
      <c r="H32" s="87">
        <f t="shared" si="6"/>
        <v>-0.69167321288295358</v>
      </c>
      <c r="I32" s="87">
        <f t="shared" si="7"/>
        <v>0.82987116634363245</v>
      </c>
      <c r="J32" s="96">
        <v>-0.1</v>
      </c>
      <c r="K32" s="96">
        <v>1.24</v>
      </c>
      <c r="L32" s="97">
        <v>0.91</v>
      </c>
      <c r="M32" s="97">
        <v>0.83</v>
      </c>
      <c r="N32" s="96"/>
      <c r="O32" s="96"/>
      <c r="P32" s="97">
        <f t="shared" si="12"/>
        <v>0.87</v>
      </c>
      <c r="Q32" s="96">
        <f>10.48/1</f>
        <v>10.48</v>
      </c>
      <c r="R32" s="96">
        <f>10.56/1</f>
        <v>10.56</v>
      </c>
      <c r="S32" s="96"/>
      <c r="T32" s="96"/>
      <c r="U32" s="96">
        <f t="shared" si="13"/>
        <v>10.52</v>
      </c>
      <c r="V32" s="87">
        <f t="shared" si="10"/>
        <v>1.7450146872601209</v>
      </c>
      <c r="W32" s="89">
        <f t="shared" si="15"/>
        <v>2.3262756062811274</v>
      </c>
      <c r="X32" s="96"/>
      <c r="Y32" s="96"/>
      <c r="Z32" s="96"/>
      <c r="AA32" s="96">
        <f>U32/(U32+1)</f>
        <v>0.91319444444444442</v>
      </c>
      <c r="AB32" s="96">
        <v>13</v>
      </c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</row>
    <row r="33" spans="1:39" s="90" customFormat="1" ht="13.2" x14ac:dyDescent="0.25">
      <c r="A33" s="95" t="s">
        <v>30</v>
      </c>
      <c r="B33" s="96" t="s">
        <v>29</v>
      </c>
      <c r="C33" s="96">
        <v>176.1</v>
      </c>
      <c r="D33" s="96">
        <v>176.1</v>
      </c>
      <c r="E33" s="96">
        <v>36.299999999999997</v>
      </c>
      <c r="F33" s="96">
        <v>36.299999999999997</v>
      </c>
      <c r="G33" s="96" t="s">
        <v>20</v>
      </c>
      <c r="H33" s="87">
        <f t="shared" si="6"/>
        <v>-0.48417124901806752</v>
      </c>
      <c r="I33" s="87">
        <f t="shared" si="7"/>
        <v>0.37478052673583401</v>
      </c>
      <c r="J33" s="96">
        <v>-7.0000000000000007E-2</v>
      </c>
      <c r="K33" s="96">
        <v>0.56000000000000005</v>
      </c>
      <c r="L33" s="97">
        <v>0.86499999999999999</v>
      </c>
      <c r="M33" s="97">
        <v>0.89100000000000001</v>
      </c>
      <c r="N33" s="96"/>
      <c r="O33" s="96"/>
      <c r="P33" s="97">
        <f t="shared" si="12"/>
        <v>0.878</v>
      </c>
      <c r="Q33" s="98">
        <f>1/2.57</f>
        <v>0.38910505836575876</v>
      </c>
      <c r="R33" s="98">
        <f>1/2.54</f>
        <v>0.39370078740157477</v>
      </c>
      <c r="S33" s="96"/>
      <c r="T33" s="96"/>
      <c r="U33" s="98">
        <f t="shared" si="13"/>
        <v>0.39140292288366674</v>
      </c>
      <c r="V33" s="87">
        <f t="shared" si="10"/>
        <v>-0.69556364247050928</v>
      </c>
      <c r="W33" s="89">
        <f t="shared" si="15"/>
        <v>0.71573582744615816</v>
      </c>
      <c r="X33" s="96"/>
      <c r="Y33" s="96"/>
      <c r="Z33" s="96"/>
      <c r="AA33" s="96"/>
      <c r="AB33" s="96">
        <v>14</v>
      </c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</row>
    <row r="34" spans="1:39" s="90" customFormat="1" ht="13.2" x14ac:dyDescent="0.25">
      <c r="A34" s="95" t="s">
        <v>40</v>
      </c>
      <c r="B34" s="96" t="s">
        <v>35</v>
      </c>
      <c r="C34" s="96">
        <v>176.8</v>
      </c>
      <c r="D34" s="96">
        <v>162.5</v>
      </c>
      <c r="E34" s="96">
        <v>40</v>
      </c>
      <c r="F34" s="96">
        <v>34.4</v>
      </c>
      <c r="G34" s="96" t="s">
        <v>27</v>
      </c>
      <c r="H34" s="87">
        <f t="shared" si="6"/>
        <v>0.38295365278868815</v>
      </c>
      <c r="I34" s="87">
        <f t="shared" si="7"/>
        <v>0.35201231330521032</v>
      </c>
      <c r="J34" s="96">
        <v>0.06</v>
      </c>
      <c r="K34" s="96">
        <v>0.56999999999999995</v>
      </c>
      <c r="L34" s="97">
        <v>0.51900000000000002</v>
      </c>
      <c r="M34" s="97">
        <v>0.52700000000000002</v>
      </c>
      <c r="N34" s="96"/>
      <c r="O34" s="96"/>
      <c r="P34" s="97">
        <f t="shared" si="12"/>
        <v>0.52300000000000002</v>
      </c>
      <c r="Q34" s="98">
        <f>2.29/1</f>
        <v>2.29</v>
      </c>
      <c r="R34" s="98">
        <f>2.29/1</f>
        <v>2.29</v>
      </c>
      <c r="S34" s="96"/>
      <c r="T34" s="96"/>
      <c r="U34" s="98">
        <f t="shared" si="13"/>
        <v>2.29</v>
      </c>
      <c r="V34" s="87">
        <f t="shared" si="10"/>
        <v>0.61439190926005272</v>
      </c>
      <c r="W34" s="89">
        <f t="shared" si="15"/>
        <v>2.3049376123690273</v>
      </c>
      <c r="X34" s="96"/>
      <c r="Y34" s="96"/>
      <c r="Z34" s="96"/>
      <c r="AA34" s="96"/>
      <c r="AB34" s="96">
        <v>15</v>
      </c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</row>
    <row r="35" spans="1:39" s="90" customFormat="1" ht="13.2" x14ac:dyDescent="0.25">
      <c r="A35" s="96" t="s">
        <v>47</v>
      </c>
      <c r="B35" s="96" t="s">
        <v>48</v>
      </c>
      <c r="C35" s="96">
        <v>169.2</v>
      </c>
      <c r="D35" s="96">
        <v>163.30000000000001</v>
      </c>
      <c r="E35" s="96">
        <v>32</v>
      </c>
      <c r="F35" s="96">
        <v>30.2</v>
      </c>
      <c r="G35" s="96" t="s">
        <v>18</v>
      </c>
      <c r="H35" s="87">
        <f t="shared" si="6"/>
        <v>-0.44897879025923026</v>
      </c>
      <c r="I35" s="87">
        <f t="shared" si="7"/>
        <v>0.32271500779082585</v>
      </c>
      <c r="J35" s="96">
        <v>-7.0000000000000007E-2</v>
      </c>
      <c r="K35" s="96">
        <v>0.52</v>
      </c>
      <c r="L35" s="97">
        <v>0.67700000000000005</v>
      </c>
      <c r="M35" s="97">
        <v>0.71399999999999997</v>
      </c>
      <c r="N35" s="96"/>
      <c r="O35" s="96"/>
      <c r="P35" s="97">
        <f t="shared" si="12"/>
        <v>0.69550000000000001</v>
      </c>
      <c r="Q35" s="98">
        <f>1/1.47</f>
        <v>0.68027210884353739</v>
      </c>
      <c r="R35" s="98">
        <f>1/1.52</f>
        <v>0.65789473684210531</v>
      </c>
      <c r="S35" s="96"/>
      <c r="T35" s="96"/>
      <c r="U35" s="98">
        <f t="shared" si="13"/>
        <v>0.6690834228428213</v>
      </c>
      <c r="V35" s="87">
        <f t="shared" si="10"/>
        <v>-0.29797925830154015</v>
      </c>
      <c r="W35" s="89">
        <f t="shared" si="15"/>
        <v>0.55380021892596121</v>
      </c>
      <c r="X35" s="96"/>
      <c r="Y35" s="96"/>
      <c r="Z35" s="96"/>
      <c r="AA35" s="96"/>
      <c r="AB35" s="96">
        <v>17</v>
      </c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</row>
    <row r="36" spans="1:39" s="70" customFormat="1" ht="13.2" x14ac:dyDescent="0.25">
      <c r="A36" s="78" t="s">
        <v>46</v>
      </c>
      <c r="B36" s="78" t="s">
        <v>42</v>
      </c>
      <c r="C36" s="78">
        <v>176.3</v>
      </c>
      <c r="D36" s="79">
        <v>168.2</v>
      </c>
      <c r="E36" s="78">
        <v>35.799999999999997</v>
      </c>
      <c r="F36" s="78">
        <v>32.799999999999997</v>
      </c>
      <c r="G36" s="78" t="s">
        <v>26</v>
      </c>
      <c r="H36" s="67">
        <f t="shared" si="6"/>
        <v>0.79277297721916717</v>
      </c>
      <c r="I36" s="67">
        <f t="shared" si="7"/>
        <v>0.23012199293125069</v>
      </c>
      <c r="J36" s="78">
        <v>0.12</v>
      </c>
      <c r="K36" s="78">
        <v>0.36</v>
      </c>
      <c r="L36" s="80">
        <v>0.25700000000000001</v>
      </c>
      <c r="M36" s="80">
        <v>0.28599999999999998</v>
      </c>
      <c r="N36" s="78"/>
      <c r="O36" s="78"/>
      <c r="P36" s="80">
        <f t="shared" si="12"/>
        <v>0.27149999999999996</v>
      </c>
      <c r="Q36" s="81">
        <f>5.32/1</f>
        <v>5.32</v>
      </c>
      <c r="R36" s="81">
        <f>5.39/1</f>
        <v>5.39</v>
      </c>
      <c r="S36" s="78"/>
      <c r="T36" s="78"/>
      <c r="U36" s="81">
        <f t="shared" si="13"/>
        <v>5.3550000000000004</v>
      </c>
      <c r="V36" s="67">
        <f t="shared" si="10"/>
        <v>1.2443017637621994</v>
      </c>
      <c r="W36" s="81">
        <f>(H36*2.0061156749796)+(I36*4.69140209071324)</f>
        <v>2.6699890950563834</v>
      </c>
      <c r="X36" s="78"/>
      <c r="Y36" s="78"/>
      <c r="Z36" s="78"/>
      <c r="AA36" s="78"/>
      <c r="AB36" s="78">
        <v>33</v>
      </c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</row>
    <row r="37" spans="1:39" s="70" customFormat="1" ht="13.2" x14ac:dyDescent="0.25">
      <c r="A37" s="99" t="s">
        <v>55</v>
      </c>
      <c r="B37" s="99" t="s">
        <v>54</v>
      </c>
      <c r="C37" s="99">
        <v>159</v>
      </c>
      <c r="D37" s="99">
        <v>149</v>
      </c>
      <c r="E37" s="99">
        <v>28.2</v>
      </c>
      <c r="F37" s="99">
        <v>28.2</v>
      </c>
      <c r="G37" s="99" t="s">
        <v>20</v>
      </c>
      <c r="H37" s="67">
        <f t="shared" si="6"/>
        <v>-0.40966221523959157</v>
      </c>
      <c r="I37" s="67">
        <f t="shared" si="7"/>
        <v>0.31710561319499875</v>
      </c>
      <c r="J37" s="99">
        <v>-7.0000000000000007E-2</v>
      </c>
      <c r="K37" s="99">
        <v>0.56000000000000005</v>
      </c>
      <c r="L37" s="100">
        <v>0.56699999999999995</v>
      </c>
      <c r="M37" s="100">
        <v>0.625</v>
      </c>
      <c r="N37" s="99"/>
      <c r="O37" s="99"/>
      <c r="P37" s="100">
        <f t="shared" si="12"/>
        <v>0.59599999999999997</v>
      </c>
      <c r="Q37" s="77">
        <f>1/2.29</f>
        <v>0.4366812227074236</v>
      </c>
      <c r="R37" s="77">
        <f>1/2.33</f>
        <v>0.42918454935622319</v>
      </c>
      <c r="S37" s="99"/>
      <c r="T37" s="99"/>
      <c r="U37" s="77">
        <f t="shared" si="13"/>
        <v>0.43293288603182339</v>
      </c>
      <c r="V37" s="67">
        <f t="shared" si="10"/>
        <v>-0.62078440598227913</v>
      </c>
      <c r="W37" s="81">
        <f t="shared" ref="W37:W44" si="16">(H37*2.0061156749796)+(I37*4.69140209071324)</f>
        <v>0.66584014528090962</v>
      </c>
      <c r="X37" s="99"/>
      <c r="Y37" s="99"/>
      <c r="Z37" s="99"/>
      <c r="AA37" s="99"/>
      <c r="AB37" s="99">
        <v>18</v>
      </c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</row>
    <row r="38" spans="1:39" s="70" customFormat="1" ht="13.2" x14ac:dyDescent="0.25">
      <c r="A38" s="101" t="s">
        <v>50</v>
      </c>
      <c r="B38" s="99" t="s">
        <v>48</v>
      </c>
      <c r="C38" s="99">
        <v>169.2</v>
      </c>
      <c r="D38" s="99">
        <v>163.30000000000001</v>
      </c>
      <c r="E38" s="99">
        <v>32</v>
      </c>
      <c r="F38" s="99">
        <v>30.2</v>
      </c>
      <c r="G38" s="99" t="s">
        <v>22</v>
      </c>
      <c r="H38" s="67">
        <f t="shared" si="6"/>
        <v>-0.44897879025923026</v>
      </c>
      <c r="I38" s="67">
        <f t="shared" si="7"/>
        <v>0.47166039600197623</v>
      </c>
      <c r="J38" s="99">
        <v>-7.0000000000000007E-2</v>
      </c>
      <c r="K38" s="99">
        <v>0.76</v>
      </c>
      <c r="L38" s="100">
        <v>0.72399999999999998</v>
      </c>
      <c r="M38" s="100">
        <v>0.68799999999999994</v>
      </c>
      <c r="N38" s="99"/>
      <c r="O38" s="99"/>
      <c r="P38" s="100">
        <f t="shared" si="12"/>
        <v>0.70599999999999996</v>
      </c>
      <c r="Q38" s="77">
        <v>1.45</v>
      </c>
      <c r="R38" s="77">
        <v>1.51</v>
      </c>
      <c r="S38" s="99"/>
      <c r="T38" s="99"/>
      <c r="U38" s="77">
        <f t="shared" si="13"/>
        <v>1.48</v>
      </c>
      <c r="V38" s="67">
        <f t="shared" si="10"/>
        <v>0.29070901989757381</v>
      </c>
      <c r="W38" s="81">
        <f t="shared" si="16"/>
        <v>1.3120451790378858</v>
      </c>
      <c r="X38" s="99"/>
      <c r="Y38" s="99"/>
      <c r="Z38" s="99"/>
      <c r="AA38" s="99"/>
      <c r="AB38" s="99">
        <v>21</v>
      </c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</row>
    <row r="39" spans="1:39" s="70" customFormat="1" ht="13.2" x14ac:dyDescent="0.25">
      <c r="A39" s="101" t="s">
        <v>37</v>
      </c>
      <c r="B39" s="99" t="s">
        <v>35</v>
      </c>
      <c r="C39" s="99">
        <v>176.8</v>
      </c>
      <c r="D39" s="99">
        <v>162.5</v>
      </c>
      <c r="E39" s="99">
        <v>40</v>
      </c>
      <c r="F39" s="99">
        <v>34.4</v>
      </c>
      <c r="G39" s="99" t="s">
        <v>22</v>
      </c>
      <c r="H39" s="67">
        <f t="shared" si="6"/>
        <v>-0.44677926158680287</v>
      </c>
      <c r="I39" s="67">
        <f t="shared" si="7"/>
        <v>0.46934975107361382</v>
      </c>
      <c r="J39" s="99">
        <v>-7.0000000000000007E-2</v>
      </c>
      <c r="K39" s="99">
        <v>0.76</v>
      </c>
      <c r="L39" s="100">
        <v>0.51800000000000002</v>
      </c>
      <c r="M39" s="100">
        <v>0.44500000000000001</v>
      </c>
      <c r="N39" s="99"/>
      <c r="O39" s="99"/>
      <c r="P39" s="100">
        <f t="shared" si="12"/>
        <v>0.48150000000000004</v>
      </c>
      <c r="Q39" s="77">
        <f>1/1.04</f>
        <v>0.96153846153846145</v>
      </c>
      <c r="R39" s="77">
        <f>1/1.1</f>
        <v>0.90909090909090906</v>
      </c>
      <c r="S39" s="99"/>
      <c r="T39" s="99"/>
      <c r="U39" s="77">
        <f t="shared" si="13"/>
        <v>0.9353146853146852</v>
      </c>
      <c r="V39" s="67">
        <f t="shared" si="10"/>
        <v>-4.9587442926128815E-2</v>
      </c>
      <c r="W39" s="81">
        <f t="shared" si="16"/>
        <v>1.3056175235373941</v>
      </c>
      <c r="X39" s="99"/>
      <c r="Y39" s="99"/>
      <c r="Z39" s="99"/>
      <c r="AA39" s="99"/>
      <c r="AB39" s="99">
        <v>22</v>
      </c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</row>
    <row r="40" spans="1:39" s="70" customFormat="1" ht="13.2" x14ac:dyDescent="0.25">
      <c r="A40" s="75" t="s">
        <v>25</v>
      </c>
      <c r="B40" s="75" t="s">
        <v>17</v>
      </c>
      <c r="C40" s="75">
        <v>213.3</v>
      </c>
      <c r="D40" s="75">
        <v>212.2</v>
      </c>
      <c r="E40" s="75">
        <v>58.4</v>
      </c>
      <c r="F40" s="75">
        <v>57.2</v>
      </c>
      <c r="G40" s="75" t="s">
        <v>26</v>
      </c>
      <c r="H40" s="67">
        <f t="shared" si="6"/>
        <v>1.0001571091908876</v>
      </c>
      <c r="I40" s="67">
        <f t="shared" si="7"/>
        <v>0.29032037395963972</v>
      </c>
      <c r="J40" s="75">
        <v>0.12</v>
      </c>
      <c r="K40" s="75">
        <v>0.36</v>
      </c>
      <c r="L40" s="76">
        <v>0.309</v>
      </c>
      <c r="M40" s="76">
        <v>0.32300000000000001</v>
      </c>
      <c r="N40" s="75"/>
      <c r="O40" s="75"/>
      <c r="P40" s="76">
        <f t="shared" si="12"/>
        <v>0.316</v>
      </c>
      <c r="Q40" s="75">
        <f>12.88/1</f>
        <v>12.88</v>
      </c>
      <c r="R40" s="75">
        <f>12.86/1</f>
        <v>12.86</v>
      </c>
      <c r="S40" s="75"/>
      <c r="T40" s="75"/>
      <c r="U40" s="67">
        <f t="shared" si="13"/>
        <v>12.870000000000001</v>
      </c>
      <c r="V40" s="67">
        <f t="shared" si="10"/>
        <v>1.8945215671162077</v>
      </c>
      <c r="W40" s="81">
        <f t="shared" si="16"/>
        <v>3.3684404635610266</v>
      </c>
      <c r="X40" s="67">
        <f t="shared" ref="X40" si="17">(W40-1.3422)/0.9347</f>
        <v>2.1677976501134339</v>
      </c>
      <c r="Y40" s="67">
        <f t="shared" ref="Y40" si="18">EXP(X40/(0.001987203611*373.15))</f>
        <v>18.605021849755502</v>
      </c>
      <c r="Z40" s="77">
        <f>Y40/(Y40+1)</f>
        <v>0.94899266077520483</v>
      </c>
      <c r="AA40" s="67">
        <f>U40/(U40+1)</f>
        <v>0.92790194664744052</v>
      </c>
      <c r="AB40" s="75">
        <v>5</v>
      </c>
      <c r="AC40" s="75"/>
      <c r="AD40" s="67">
        <f t="shared" ref="AD40" si="19">X40-V40</f>
        <v>0.27327608299722628</v>
      </c>
      <c r="AE40" s="75"/>
      <c r="AF40" s="75"/>
      <c r="AG40" s="75"/>
      <c r="AH40" s="75"/>
      <c r="AI40" s="75"/>
      <c r="AJ40" s="75"/>
      <c r="AK40" s="75"/>
      <c r="AL40" s="75"/>
      <c r="AM40" s="75"/>
    </row>
    <row r="41" spans="1:39" s="70" customFormat="1" ht="13.2" x14ac:dyDescent="0.25">
      <c r="A41" s="99" t="s">
        <v>60</v>
      </c>
      <c r="B41" s="99" t="s">
        <v>61</v>
      </c>
      <c r="C41" s="99">
        <v>142.30000000000001</v>
      </c>
      <c r="D41" s="99">
        <v>139.1</v>
      </c>
      <c r="E41" s="99">
        <v>25.7</v>
      </c>
      <c r="F41" s="99">
        <v>25.7</v>
      </c>
      <c r="G41" s="99" t="s">
        <v>18</v>
      </c>
      <c r="H41" s="67">
        <f t="shared" si="6"/>
        <v>-0.38244304791830319</v>
      </c>
      <c r="I41" s="67">
        <f t="shared" si="7"/>
        <v>0.27489073841827233</v>
      </c>
      <c r="J41" s="99">
        <v>-7.0000000000000007E-2</v>
      </c>
      <c r="K41" s="99">
        <v>0.52</v>
      </c>
      <c r="L41" s="100">
        <v>0.52900000000000003</v>
      </c>
      <c r="M41" s="100">
        <v>0.53700000000000003</v>
      </c>
      <c r="N41" s="99"/>
      <c r="O41" s="99"/>
      <c r="P41" s="100">
        <f t="shared" si="12"/>
        <v>0.53300000000000003</v>
      </c>
      <c r="Q41" s="77">
        <f>1/2.17</f>
        <v>0.46082949308755761</v>
      </c>
      <c r="R41" s="77">
        <f>1/2.13</f>
        <v>0.46948356807511737</v>
      </c>
      <c r="S41" s="99"/>
      <c r="T41" s="99"/>
      <c r="U41" s="77">
        <f t="shared" si="13"/>
        <v>0.46515653058133749</v>
      </c>
      <c r="V41" s="67">
        <f t="shared" si="10"/>
        <v>-0.56754939329520815</v>
      </c>
      <c r="W41" s="81">
        <f t="shared" si="16"/>
        <v>0.52239799171730672</v>
      </c>
      <c r="X41" s="99"/>
      <c r="Y41" s="99"/>
      <c r="Z41" s="99"/>
      <c r="AA41" s="99"/>
      <c r="AB41" s="99">
        <v>23</v>
      </c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</row>
    <row r="42" spans="1:39" s="70" customFormat="1" ht="13.2" x14ac:dyDescent="0.25">
      <c r="A42" s="99" t="s">
        <v>34</v>
      </c>
      <c r="B42" s="99" t="s">
        <v>35</v>
      </c>
      <c r="C42" s="99">
        <v>176.8</v>
      </c>
      <c r="D42" s="99">
        <v>162.5</v>
      </c>
      <c r="E42" s="99">
        <v>40</v>
      </c>
      <c r="F42" s="99">
        <v>34.4</v>
      </c>
      <c r="G42" s="99" t="s">
        <v>18</v>
      </c>
      <c r="H42" s="67">
        <f t="shared" si="6"/>
        <v>-0.44677926158680287</v>
      </c>
      <c r="I42" s="67">
        <f t="shared" si="7"/>
        <v>0.32113404020826208</v>
      </c>
      <c r="J42" s="99">
        <v>-7.0000000000000007E-2</v>
      </c>
      <c r="K42" s="99">
        <v>0.52</v>
      </c>
      <c r="L42" s="100">
        <v>0.56599999999999995</v>
      </c>
      <c r="M42" s="100">
        <v>0.67800000000000005</v>
      </c>
      <c r="N42" s="100">
        <v>0.61399999999999999</v>
      </c>
      <c r="O42" s="99"/>
      <c r="P42" s="100">
        <f t="shared" si="12"/>
        <v>0.6193333333333334</v>
      </c>
      <c r="Q42" s="77">
        <f>1/2.86</f>
        <v>0.34965034965034969</v>
      </c>
      <c r="R42" s="77">
        <f>1/2.78</f>
        <v>0.35971223021582738</v>
      </c>
      <c r="S42" s="99">
        <f>0.38/1</f>
        <v>0.38</v>
      </c>
      <c r="T42" s="99"/>
      <c r="U42" s="77">
        <f t="shared" si="13"/>
        <v>0.36312085995539239</v>
      </c>
      <c r="V42" s="67">
        <f t="shared" si="10"/>
        <v>-0.75117935154108739</v>
      </c>
      <c r="W42" s="81">
        <f t="shared" si="16"/>
        <v>0.61027802770713402</v>
      </c>
      <c r="X42" s="99"/>
      <c r="Y42" s="99"/>
      <c r="Z42" s="99"/>
      <c r="AA42" s="102" t="s">
        <v>103</v>
      </c>
      <c r="AB42" s="99">
        <v>25</v>
      </c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</row>
    <row r="43" spans="1:39" s="70" customFormat="1" ht="13.2" x14ac:dyDescent="0.25">
      <c r="A43" s="101" t="s">
        <v>73</v>
      </c>
      <c r="B43" s="99" t="s">
        <v>48</v>
      </c>
      <c r="C43" s="99">
        <v>169.2</v>
      </c>
      <c r="D43" s="99">
        <v>163.30000000000001</v>
      </c>
      <c r="E43" s="99">
        <v>32</v>
      </c>
      <c r="F43" s="99">
        <v>30.2</v>
      </c>
      <c r="G43" s="99" t="s">
        <v>24</v>
      </c>
      <c r="H43" s="67">
        <f t="shared" si="6"/>
        <v>-0.6413982717989003</v>
      </c>
      <c r="I43" s="67">
        <f t="shared" si="7"/>
        <v>0.76955117242427706</v>
      </c>
      <c r="J43" s="99">
        <v>-0.1</v>
      </c>
      <c r="K43" s="99">
        <v>1.24</v>
      </c>
      <c r="L43" s="103">
        <v>0.19800000000000001</v>
      </c>
      <c r="M43" s="103">
        <v>0.22900000000000001</v>
      </c>
      <c r="N43" s="103"/>
      <c r="O43" s="103"/>
      <c r="P43" s="103">
        <f>AVERAGE(L43:O43)</f>
        <v>0.21350000000000002</v>
      </c>
      <c r="Q43" s="99">
        <v>3.26</v>
      </c>
      <c r="R43" s="99">
        <v>3.22</v>
      </c>
      <c r="S43" s="99"/>
      <c r="T43" s="99"/>
      <c r="U43" s="77">
        <f>AVERAGE(Q43:T43)</f>
        <v>3.24</v>
      </c>
      <c r="V43" s="67">
        <f t="shared" si="10"/>
        <v>0.87171704564628627</v>
      </c>
      <c r="W43" s="81">
        <f t="shared" si="16"/>
        <v>2.3235548522614788</v>
      </c>
      <c r="X43" s="99"/>
      <c r="Y43" s="99"/>
      <c r="Z43" s="99"/>
      <c r="AA43" s="99"/>
      <c r="AB43" s="99">
        <v>39</v>
      </c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</row>
    <row r="44" spans="1:39" s="70" customFormat="1" ht="13.2" x14ac:dyDescent="0.25">
      <c r="A44" s="99" t="s">
        <v>44</v>
      </c>
      <c r="B44" s="99" t="s">
        <v>42</v>
      </c>
      <c r="C44" s="99">
        <v>176.3</v>
      </c>
      <c r="D44" s="102">
        <v>168.2</v>
      </c>
      <c r="E44" s="99">
        <v>35.799999999999997</v>
      </c>
      <c r="F44" s="99">
        <v>32.799999999999997</v>
      </c>
      <c r="G44" s="99" t="s">
        <v>22</v>
      </c>
      <c r="H44" s="67">
        <f t="shared" si="6"/>
        <v>-0.46245090337784761</v>
      </c>
      <c r="I44" s="67">
        <f t="shared" si="7"/>
        <v>0.48581309618819596</v>
      </c>
      <c r="J44" s="99">
        <v>-7.0000000000000007E-2</v>
      </c>
      <c r="K44" s="99">
        <v>0.76</v>
      </c>
      <c r="L44" s="100">
        <v>0.74299999999999999</v>
      </c>
      <c r="M44" s="100">
        <v>0.82699999999999996</v>
      </c>
      <c r="N44" s="99"/>
      <c r="O44" s="99"/>
      <c r="P44" s="100">
        <f>AVERAGE(L44:N44)</f>
        <v>0.78499999999999992</v>
      </c>
      <c r="Q44" s="77">
        <f>1/1.17</f>
        <v>0.85470085470085477</v>
      </c>
      <c r="R44" s="77">
        <f>1/1.2</f>
        <v>0.83333333333333337</v>
      </c>
      <c r="S44" s="99"/>
      <c r="T44" s="99"/>
      <c r="U44" s="77">
        <f>AVERAGE(Q44:S44)</f>
        <v>0.84401709401709413</v>
      </c>
      <c r="V44" s="67">
        <f t="shared" si="10"/>
        <v>-0.1257496909661617</v>
      </c>
      <c r="W44" s="81">
        <f t="shared" si="16"/>
        <v>1.3514145689783983</v>
      </c>
      <c r="X44" s="99"/>
      <c r="Y44" s="99"/>
      <c r="Z44" s="99"/>
      <c r="AA44" s="99"/>
      <c r="AB44" s="99">
        <v>32</v>
      </c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</row>
  </sheetData>
  <autoFilter ref="AB1:AB14" xr:uid="{00000000-0001-0000-0100-000000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3D7C0-FC3C-4D72-91D1-FF8899321CA3}">
  <sheetPr>
    <outlinePr summaryBelow="0" summaryRight="0"/>
  </sheetPr>
  <dimension ref="A1:AM36"/>
  <sheetViews>
    <sheetView topLeftCell="B1" zoomScale="64" zoomScaleNormal="64" workbookViewId="0">
      <pane ySplit="1" topLeftCell="A2" activePane="bottomLeft" state="frozen"/>
      <selection pane="bottomLeft" activeCell="P97" sqref="P97"/>
    </sheetView>
  </sheetViews>
  <sheetFormatPr defaultColWidth="12.5546875" defaultRowHeight="15.75" customHeight="1" x14ac:dyDescent="0.25"/>
  <cols>
    <col min="1" max="1" width="22.44140625" customWidth="1"/>
    <col min="3" max="3" width="17.88671875" customWidth="1"/>
    <col min="4" max="4" width="17.33203125" customWidth="1"/>
    <col min="12" max="12" width="7" customWidth="1"/>
    <col min="13" max="13" width="8.5546875" customWidth="1"/>
    <col min="14" max="15" width="7.44140625" customWidth="1"/>
    <col min="16" max="16" width="8.88671875" customWidth="1"/>
    <col min="21" max="21" width="29.44140625" customWidth="1"/>
    <col min="23" max="23" width="31.88671875" customWidth="1"/>
    <col min="25" max="25" width="19" bestFit="1" customWidth="1"/>
    <col min="26" max="26" width="20.5546875" customWidth="1"/>
    <col min="27" max="27" width="18" customWidth="1"/>
  </cols>
  <sheetData>
    <row r="1" spans="1:39" ht="13.8" x14ac:dyDescent="0.3">
      <c r="A1" s="1" t="s">
        <v>0</v>
      </c>
      <c r="B1" s="1" t="s">
        <v>1</v>
      </c>
      <c r="C1" s="28" t="s">
        <v>99</v>
      </c>
      <c r="D1" s="28" t="s">
        <v>100</v>
      </c>
      <c r="E1" s="28" t="s">
        <v>98</v>
      </c>
      <c r="F1" s="1" t="s">
        <v>2</v>
      </c>
      <c r="G1" s="1" t="s">
        <v>3</v>
      </c>
      <c r="H1" s="1" t="s">
        <v>113</v>
      </c>
      <c r="I1" s="1" t="s">
        <v>112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45" t="s">
        <v>111</v>
      </c>
      <c r="W1" s="1"/>
      <c r="Y1" s="31" t="s">
        <v>107</v>
      </c>
      <c r="Z1" s="31" t="s">
        <v>108</v>
      </c>
      <c r="AA1" s="31" t="s">
        <v>109</v>
      </c>
    </row>
    <row r="2" spans="1:39" ht="13.2" x14ac:dyDescent="0.25">
      <c r="A2" s="2" t="s">
        <v>16</v>
      </c>
      <c r="B2" s="2" t="s">
        <v>17</v>
      </c>
      <c r="C2" s="2">
        <v>213.3</v>
      </c>
      <c r="D2" s="2">
        <v>212.2</v>
      </c>
      <c r="E2" s="2">
        <v>58.4</v>
      </c>
      <c r="F2" s="2">
        <v>102.6952862</v>
      </c>
      <c r="G2" s="2" t="s">
        <v>18</v>
      </c>
      <c r="H2" s="4">
        <f>(F2*K2)</f>
        <v>53.401548824000002</v>
      </c>
      <c r="I2" s="4">
        <f>(D2*K2)</f>
        <v>110.34399999999999</v>
      </c>
      <c r="J2" s="2">
        <v>-7.0000000000000007E-2</v>
      </c>
      <c r="K2" s="2">
        <v>0.52</v>
      </c>
      <c r="L2" s="3">
        <v>0.54600000000000004</v>
      </c>
      <c r="M2" s="3">
        <v>0.54200000000000004</v>
      </c>
      <c r="N2" s="2"/>
      <c r="O2" s="2"/>
      <c r="P2" s="3">
        <f t="shared" ref="P2:P15" si="0">AVERAGE(L2:N2)</f>
        <v>0.54400000000000004</v>
      </c>
      <c r="Q2" s="4">
        <f>1/2.13</f>
        <v>0.46948356807511737</v>
      </c>
      <c r="R2" s="4">
        <f>1/2.04</f>
        <v>0.49019607843137253</v>
      </c>
      <c r="S2" s="2"/>
      <c r="T2" s="2"/>
      <c r="U2" s="4">
        <f t="shared" ref="U2:U15" si="1">AVERAGE(Q2:S2)</f>
        <v>0.47983982325324492</v>
      </c>
      <c r="V2" s="4">
        <f>LOG(U2)</f>
        <v>-0.31890371155486019</v>
      </c>
      <c r="W2" s="4">
        <f>(H2*1.95146853256722)+(I2*4.53535688165084)</f>
        <v>604.66086186926827</v>
      </c>
      <c r="X2" s="4">
        <f>(W2-1.3422)/0.9347</f>
        <v>645.46770286644721</v>
      </c>
      <c r="Y2" s="4" t="e">
        <f>EXP(X2/(0.001987203611*373.15))</f>
        <v>#NUM!</v>
      </c>
      <c r="Z2" s="30" t="e">
        <f>Y2/(Y2+1)</f>
        <v>#NUM!</v>
      </c>
      <c r="AA2" s="4">
        <f>U2/(U2+1)</f>
        <v>0.32425118969860972</v>
      </c>
      <c r="AB2" s="2">
        <v>1</v>
      </c>
      <c r="AC2" s="2"/>
      <c r="AD2" s="4">
        <f>X2-V2</f>
        <v>645.78660657800208</v>
      </c>
      <c r="AE2" s="2"/>
      <c r="AF2" s="2"/>
      <c r="AG2" s="2"/>
      <c r="AH2" s="2"/>
      <c r="AI2" s="2"/>
      <c r="AJ2" s="2"/>
      <c r="AK2" s="2"/>
      <c r="AL2" s="2"/>
      <c r="AM2" s="2"/>
    </row>
    <row r="3" spans="1:39" ht="13.2" x14ac:dyDescent="0.25">
      <c r="A3" s="2" t="s">
        <v>19</v>
      </c>
      <c r="B3" s="2" t="s">
        <v>17</v>
      </c>
      <c r="C3" s="2">
        <v>213.3</v>
      </c>
      <c r="D3" s="2">
        <v>212.2</v>
      </c>
      <c r="E3" s="2">
        <v>58.4</v>
      </c>
      <c r="F3" s="2">
        <v>102.6952862</v>
      </c>
      <c r="G3" s="2" t="s">
        <v>20</v>
      </c>
      <c r="H3" s="4">
        <f t="shared" ref="H3:H31" si="2">(F3*K3)</f>
        <v>57.509360272000002</v>
      </c>
      <c r="I3" s="4">
        <f t="shared" ref="I3:I31" si="3">(D3*K3)</f>
        <v>118.83200000000001</v>
      </c>
      <c r="J3" s="2">
        <v>-7.0000000000000007E-2</v>
      </c>
      <c r="K3" s="2">
        <v>0.56000000000000005</v>
      </c>
      <c r="L3" s="3">
        <v>0.64400000000000002</v>
      </c>
      <c r="M3" s="3">
        <v>0.60599999999999998</v>
      </c>
      <c r="N3" s="2"/>
      <c r="O3" s="2"/>
      <c r="P3" s="3">
        <f t="shared" si="0"/>
        <v>0.625</v>
      </c>
      <c r="Q3" s="4">
        <f>1/1.93</f>
        <v>0.5181347150259068</v>
      </c>
      <c r="R3" s="4">
        <f>1/2.04</f>
        <v>0.49019607843137253</v>
      </c>
      <c r="S3" s="2"/>
      <c r="T3" s="2"/>
      <c r="U3" s="4">
        <f t="shared" si="1"/>
        <v>0.50416539672863969</v>
      </c>
      <c r="V3" s="4">
        <f t="shared" ref="V3:V31" si="4">LOG(U3)</f>
        <v>-0.29742696533453861</v>
      </c>
      <c r="W3" s="4">
        <f t="shared" ref="W3:W5" si="5">(H3*1.95146853256722)+(I3*4.53535688165084)</f>
        <v>651.17323585921201</v>
      </c>
      <c r="X3" s="4">
        <f>(W3-1.3422)/0.9347</f>
        <v>695.22952376079172</v>
      </c>
      <c r="Y3" s="4" t="e">
        <f>EXP(X3/(0.001987203611*373.15))</f>
        <v>#NUM!</v>
      </c>
      <c r="Z3" s="30" t="e">
        <f>Y3/(Y3+1)</f>
        <v>#NUM!</v>
      </c>
      <c r="AA3" s="4">
        <f>U3/(U3+1)</f>
        <v>0.33517949410691977</v>
      </c>
      <c r="AB3" s="2">
        <v>2</v>
      </c>
      <c r="AC3" s="2"/>
      <c r="AD3" s="4">
        <f>X3-V3</f>
        <v>695.5269507261263</v>
      </c>
      <c r="AE3" s="2"/>
      <c r="AF3" s="2"/>
      <c r="AG3" s="2"/>
      <c r="AH3" s="2"/>
      <c r="AI3" s="2"/>
      <c r="AJ3" s="2"/>
      <c r="AK3" s="2"/>
      <c r="AL3" s="2"/>
      <c r="AM3" s="2"/>
    </row>
    <row r="4" spans="1:39" ht="13.2" x14ac:dyDescent="0.25">
      <c r="A4" s="2" t="s">
        <v>21</v>
      </c>
      <c r="B4" s="2" t="s">
        <v>17</v>
      </c>
      <c r="C4" s="2">
        <v>213.3</v>
      </c>
      <c r="D4" s="2">
        <v>212.2</v>
      </c>
      <c r="E4" s="2">
        <v>58.4</v>
      </c>
      <c r="F4" s="2">
        <v>102.6952862</v>
      </c>
      <c r="G4" s="2" t="s">
        <v>22</v>
      </c>
      <c r="H4" s="4">
        <f t="shared" si="2"/>
        <v>78.048417512</v>
      </c>
      <c r="I4" s="4">
        <f t="shared" si="3"/>
        <v>161.27199999999999</v>
      </c>
      <c r="J4" s="2">
        <v>-7.0000000000000007E-2</v>
      </c>
      <c r="K4" s="2">
        <v>0.76</v>
      </c>
      <c r="L4" s="3">
        <v>0.59499999999999997</v>
      </c>
      <c r="M4" s="3">
        <v>0.65400000000000003</v>
      </c>
      <c r="N4" s="2"/>
      <c r="O4" s="2"/>
      <c r="P4" s="3">
        <f t="shared" si="0"/>
        <v>0.62450000000000006</v>
      </c>
      <c r="Q4" s="2">
        <f>1.23/1</f>
        <v>1.23</v>
      </c>
      <c r="R4" s="4">
        <f>1.21/1</f>
        <v>1.21</v>
      </c>
      <c r="S4" s="2"/>
      <c r="T4" s="2"/>
      <c r="U4" s="2">
        <f t="shared" si="1"/>
        <v>1.22</v>
      </c>
      <c r="V4" s="4">
        <f t="shared" si="4"/>
        <v>8.6359830674748214E-2</v>
      </c>
      <c r="W4" s="4">
        <f t="shared" si="5"/>
        <v>883.73510580893048</v>
      </c>
      <c r="X4" s="4">
        <f>(W4-1.3422)/0.9347</f>
        <v>944.03862823251359</v>
      </c>
      <c r="Y4" s="4" t="e">
        <f>EXP(X4/(0.001987203611*373.15))</f>
        <v>#NUM!</v>
      </c>
      <c r="Z4" s="30" t="e">
        <f>Y4/(Y4+1)</f>
        <v>#NUM!</v>
      </c>
      <c r="AA4" s="4">
        <f>U4/(U4+1)</f>
        <v>0.5495495495495496</v>
      </c>
      <c r="AB4" s="2">
        <v>3</v>
      </c>
      <c r="AC4" s="2"/>
      <c r="AD4" s="4">
        <f>X4-V4</f>
        <v>943.95226840183886</v>
      </c>
      <c r="AE4" s="2"/>
      <c r="AF4" s="2"/>
      <c r="AG4" s="2"/>
      <c r="AH4" s="2"/>
      <c r="AI4" s="2"/>
      <c r="AJ4" s="2"/>
      <c r="AK4" s="2"/>
      <c r="AL4" s="2"/>
      <c r="AM4" s="2"/>
    </row>
    <row r="5" spans="1:39" ht="13.2" x14ac:dyDescent="0.25">
      <c r="A5" s="2" t="s">
        <v>23</v>
      </c>
      <c r="B5" s="2" t="s">
        <v>17</v>
      </c>
      <c r="C5" s="2">
        <v>213.3</v>
      </c>
      <c r="D5" s="2">
        <v>212.2</v>
      </c>
      <c r="E5" s="2">
        <v>58.4</v>
      </c>
      <c r="F5" s="2">
        <v>102.6952862</v>
      </c>
      <c r="G5" s="2" t="s">
        <v>24</v>
      </c>
      <c r="H5" s="4">
        <f t="shared" si="2"/>
        <v>127.342154888</v>
      </c>
      <c r="I5" s="4">
        <f t="shared" si="3"/>
        <v>263.12799999999999</v>
      </c>
      <c r="J5" s="2">
        <v>-0.1</v>
      </c>
      <c r="K5" s="2">
        <v>1.24</v>
      </c>
      <c r="L5" s="3">
        <v>0.49199999999999999</v>
      </c>
      <c r="M5" s="3">
        <v>0.68</v>
      </c>
      <c r="N5" s="3">
        <v>0.48399999999999999</v>
      </c>
      <c r="O5" s="3">
        <v>0.47199999999999998</v>
      </c>
      <c r="P5" s="3">
        <f t="shared" si="0"/>
        <v>0.55200000000000005</v>
      </c>
      <c r="Q5" s="2">
        <f>12.3/1</f>
        <v>12.3</v>
      </c>
      <c r="R5" s="2">
        <f>12.51/1</f>
        <v>12.51</v>
      </c>
      <c r="S5" s="2">
        <f>11.46/1</f>
        <v>11.46</v>
      </c>
      <c r="T5" s="2">
        <f>11.43/1</f>
        <v>11.43</v>
      </c>
      <c r="U5" s="2">
        <f t="shared" si="1"/>
        <v>12.090000000000002</v>
      </c>
      <c r="V5" s="4">
        <f t="shared" si="4"/>
        <v>1.082426300860772</v>
      </c>
      <c r="W5" s="4">
        <f t="shared" si="5"/>
        <v>1441.8835936882551</v>
      </c>
      <c r="X5" s="4">
        <f>(W5-1.3422)/0.9347</f>
        <v>1541.1804789646465</v>
      </c>
      <c r="Y5" s="4" t="e">
        <f>EXP(X5/(0.001987203611*373.15))</f>
        <v>#NUM!</v>
      </c>
      <c r="Z5" s="30" t="e">
        <f>Y5/(Y5+1)</f>
        <v>#NUM!</v>
      </c>
      <c r="AA5" s="4">
        <f>U5/(U5+1)</f>
        <v>0.92360580595874719</v>
      </c>
      <c r="AB5" s="2">
        <v>4</v>
      </c>
      <c r="AC5" s="2"/>
      <c r="AD5" s="4">
        <f>X5-V5</f>
        <v>1540.0980526637857</v>
      </c>
      <c r="AE5" s="2"/>
      <c r="AF5" s="2"/>
      <c r="AG5" s="2"/>
      <c r="AH5" s="2"/>
      <c r="AI5" s="2"/>
      <c r="AJ5" s="2"/>
      <c r="AK5" s="2"/>
      <c r="AL5" s="2"/>
      <c r="AM5" s="2"/>
    </row>
    <row r="6" spans="1:39" ht="13.2" x14ac:dyDescent="0.25">
      <c r="A6" s="13" t="s">
        <v>43</v>
      </c>
      <c r="B6" s="13" t="s">
        <v>42</v>
      </c>
      <c r="C6" s="13">
        <v>176.3</v>
      </c>
      <c r="D6" s="29">
        <v>168.2</v>
      </c>
      <c r="E6" s="13">
        <v>35.799999999999997</v>
      </c>
      <c r="F6" s="13">
        <v>58.921038709999998</v>
      </c>
      <c r="G6" s="13" t="s">
        <v>20</v>
      </c>
      <c r="H6" s="4">
        <f t="shared" si="2"/>
        <v>32.9957816776</v>
      </c>
      <c r="I6" s="4">
        <f t="shared" si="3"/>
        <v>94.192000000000007</v>
      </c>
      <c r="J6" s="13">
        <v>-7.0000000000000007E-2</v>
      </c>
      <c r="K6" s="13">
        <v>0.56000000000000005</v>
      </c>
      <c r="L6" s="14">
        <v>0.85099999999999998</v>
      </c>
      <c r="M6" s="14">
        <v>0.81200000000000006</v>
      </c>
      <c r="N6" s="13"/>
      <c r="O6" s="13"/>
      <c r="P6" s="14">
        <f t="shared" si="0"/>
        <v>0.83150000000000002</v>
      </c>
      <c r="Q6" s="15">
        <f>1/2.41</f>
        <v>0.41493775933609955</v>
      </c>
      <c r="R6" s="15">
        <f>1/2.46</f>
        <v>0.4065040650406504</v>
      </c>
      <c r="S6" s="13"/>
      <c r="T6" s="13"/>
      <c r="U6" s="15">
        <f t="shared" si="1"/>
        <v>0.41072091218837498</v>
      </c>
      <c r="V6" s="4">
        <f t="shared" si="4"/>
        <v>-0.38645318412759438</v>
      </c>
      <c r="W6" s="15">
        <f>(H6*1.93341236801329)+(I6*4.39773910387027)</f>
        <v>478.02629405948664</v>
      </c>
      <c r="X6" s="13"/>
      <c r="Y6" s="13"/>
      <c r="Z6" s="13"/>
      <c r="AA6" s="13"/>
      <c r="AB6" s="13">
        <v>9</v>
      </c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</row>
    <row r="7" spans="1:39" ht="13.2" x14ac:dyDescent="0.25">
      <c r="A7" s="13" t="s">
        <v>41</v>
      </c>
      <c r="B7" s="13" t="s">
        <v>42</v>
      </c>
      <c r="C7" s="13">
        <v>176.3</v>
      </c>
      <c r="D7" s="29">
        <v>168.2</v>
      </c>
      <c r="E7" s="13">
        <v>35.799999999999997</v>
      </c>
      <c r="F7" s="13">
        <v>58.921038709999998</v>
      </c>
      <c r="G7" s="13" t="s">
        <v>18</v>
      </c>
      <c r="H7" s="4">
        <f t="shared" si="2"/>
        <v>30.638940129199998</v>
      </c>
      <c r="I7" s="4">
        <f t="shared" si="3"/>
        <v>87.463999999999999</v>
      </c>
      <c r="J7" s="13">
        <v>-7.0000000000000007E-2</v>
      </c>
      <c r="K7" s="13">
        <v>0.52</v>
      </c>
      <c r="L7" s="14">
        <v>0.79500000000000004</v>
      </c>
      <c r="M7" s="14">
        <v>0.78400000000000003</v>
      </c>
      <c r="N7" s="13"/>
      <c r="O7" s="13"/>
      <c r="P7" s="14">
        <f t="shared" si="0"/>
        <v>0.78950000000000009</v>
      </c>
      <c r="Q7" s="15">
        <f>0.37/1</f>
        <v>0.37</v>
      </c>
      <c r="R7" s="15">
        <f>0.36/1</f>
        <v>0.36</v>
      </c>
      <c r="S7" s="13"/>
      <c r="T7" s="13"/>
      <c r="U7" s="15">
        <f t="shared" si="1"/>
        <v>0.36499999999999999</v>
      </c>
      <c r="V7" s="4">
        <f t="shared" si="4"/>
        <v>-0.43770713554352531</v>
      </c>
      <c r="W7" s="15">
        <f t="shared" ref="W7:W9" si="6">(H7*1.93341236801329)+(I7*4.39773910387027)</f>
        <v>443.88155876952328</v>
      </c>
      <c r="X7" s="13"/>
      <c r="Y7" s="13"/>
      <c r="Z7" s="13"/>
      <c r="AA7" s="13"/>
      <c r="AB7" s="13">
        <v>31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</row>
    <row r="8" spans="1:39" ht="13.2" x14ac:dyDescent="0.25">
      <c r="A8" s="13" t="s">
        <v>44</v>
      </c>
      <c r="B8" s="13" t="s">
        <v>42</v>
      </c>
      <c r="C8" s="13">
        <v>176.3</v>
      </c>
      <c r="D8" s="29">
        <v>168.2</v>
      </c>
      <c r="E8" s="13">
        <v>35.799999999999997</v>
      </c>
      <c r="F8" s="13">
        <v>58.921038709999998</v>
      </c>
      <c r="G8" s="13" t="s">
        <v>22</v>
      </c>
      <c r="H8" s="4">
        <f t="shared" si="2"/>
        <v>44.7799894196</v>
      </c>
      <c r="I8" s="4">
        <f t="shared" si="3"/>
        <v>127.83199999999999</v>
      </c>
      <c r="J8" s="13">
        <v>-7.0000000000000007E-2</v>
      </c>
      <c r="K8" s="13">
        <v>0.76</v>
      </c>
      <c r="L8" s="14">
        <v>0.74299999999999999</v>
      </c>
      <c r="M8" s="14">
        <v>0.82699999999999996</v>
      </c>
      <c r="N8" s="13"/>
      <c r="O8" s="13"/>
      <c r="P8" s="14">
        <f t="shared" si="0"/>
        <v>0.78499999999999992</v>
      </c>
      <c r="Q8" s="15">
        <f>1/1.17</f>
        <v>0.85470085470085477</v>
      </c>
      <c r="R8" s="15">
        <f>1/1.2</f>
        <v>0.83333333333333337</v>
      </c>
      <c r="S8" s="13"/>
      <c r="T8" s="13"/>
      <c r="U8" s="15">
        <f t="shared" si="1"/>
        <v>0.84401709401709413</v>
      </c>
      <c r="V8" s="4">
        <f t="shared" si="4"/>
        <v>-7.3648757447663749E-2</v>
      </c>
      <c r="W8" s="15">
        <f t="shared" si="6"/>
        <v>648.74997050930324</v>
      </c>
      <c r="X8" s="13"/>
      <c r="Y8" s="13"/>
      <c r="Z8" s="13"/>
      <c r="AA8" s="13"/>
      <c r="AB8" s="13">
        <v>32</v>
      </c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1:39" ht="13.2" x14ac:dyDescent="0.25">
      <c r="A9" s="13" t="s">
        <v>45</v>
      </c>
      <c r="B9" s="13" t="s">
        <v>42</v>
      </c>
      <c r="C9" s="13">
        <v>176.3</v>
      </c>
      <c r="D9" s="29">
        <v>168.2</v>
      </c>
      <c r="E9" s="13">
        <v>35.799999999999997</v>
      </c>
      <c r="F9" s="13">
        <v>58.921038709999998</v>
      </c>
      <c r="G9" s="13" t="s">
        <v>24</v>
      </c>
      <c r="H9" s="4">
        <f t="shared" si="2"/>
        <v>73.062088000399996</v>
      </c>
      <c r="I9" s="4">
        <f t="shared" si="3"/>
        <v>208.56799999999998</v>
      </c>
      <c r="J9" s="13">
        <v>-0.1</v>
      </c>
      <c r="K9" s="13">
        <v>1.24</v>
      </c>
      <c r="L9" s="14">
        <v>0.90600000000000003</v>
      </c>
      <c r="M9" s="14">
        <v>0.86599999999999999</v>
      </c>
      <c r="N9" s="13"/>
      <c r="O9" s="13"/>
      <c r="P9" s="14">
        <f t="shared" si="0"/>
        <v>0.88600000000000001</v>
      </c>
      <c r="Q9" s="15">
        <f>7.69/1</f>
        <v>7.69</v>
      </c>
      <c r="R9" s="15">
        <f>7.69/1</f>
        <v>7.69</v>
      </c>
      <c r="S9" s="13"/>
      <c r="T9" s="13"/>
      <c r="U9" s="15">
        <f t="shared" si="1"/>
        <v>7.69</v>
      </c>
      <c r="V9" s="4">
        <f t="shared" si="4"/>
        <v>0.8859263398014311</v>
      </c>
      <c r="W9" s="15">
        <f t="shared" si="6"/>
        <v>1058.4867939888632</v>
      </c>
      <c r="X9" s="13"/>
      <c r="Y9" s="13"/>
      <c r="Z9" s="13"/>
      <c r="AA9" s="13"/>
      <c r="AB9" s="13">
        <v>41</v>
      </c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ht="13.2" x14ac:dyDescent="0.25">
      <c r="A10" s="12" t="s">
        <v>36</v>
      </c>
      <c r="B10" s="9" t="s">
        <v>35</v>
      </c>
      <c r="C10" s="9">
        <v>176.8</v>
      </c>
      <c r="D10" s="9">
        <v>162.5</v>
      </c>
      <c r="E10" s="9">
        <v>40</v>
      </c>
      <c r="F10" s="9">
        <v>61.752302610000001</v>
      </c>
      <c r="G10" s="9" t="s">
        <v>20</v>
      </c>
      <c r="H10" s="4">
        <f t="shared" si="2"/>
        <v>34.581289461600001</v>
      </c>
      <c r="I10" s="4">
        <f t="shared" si="3"/>
        <v>91.000000000000014</v>
      </c>
      <c r="J10" s="9">
        <v>-7.0000000000000007E-2</v>
      </c>
      <c r="K10" s="9">
        <v>0.56000000000000005</v>
      </c>
      <c r="L10" s="10">
        <v>0.59199999999999997</v>
      </c>
      <c r="M10" s="10">
        <v>0.62</v>
      </c>
      <c r="N10" s="9"/>
      <c r="O10" s="9"/>
      <c r="P10" s="10">
        <f t="shared" si="0"/>
        <v>0.60599999999999998</v>
      </c>
      <c r="Q10" s="11">
        <f>1/2.13</f>
        <v>0.46948356807511737</v>
      </c>
      <c r="R10" s="11">
        <f>1/2.13</f>
        <v>0.46948356807511737</v>
      </c>
      <c r="S10" s="9"/>
      <c r="T10" s="9"/>
      <c r="U10" s="11">
        <f t="shared" si="1"/>
        <v>0.46948356807511737</v>
      </c>
      <c r="V10" s="4">
        <f t="shared" si="4"/>
        <v>-0.32837960343873773</v>
      </c>
      <c r="W10" s="11">
        <f>(H10*1.94760070656381)+(I10*4.59376537994229)</f>
        <v>485.38319336404834</v>
      </c>
      <c r="X10" s="9"/>
      <c r="Y10" s="9"/>
      <c r="Z10" s="9"/>
      <c r="AA10" s="9"/>
      <c r="AB10" s="9">
        <v>12</v>
      </c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spans="1:39" ht="13.2" x14ac:dyDescent="0.25">
      <c r="A11" s="12" t="s">
        <v>38</v>
      </c>
      <c r="B11" s="9" t="s">
        <v>35</v>
      </c>
      <c r="C11" s="9">
        <v>176.8</v>
      </c>
      <c r="D11" s="9">
        <v>162.5</v>
      </c>
      <c r="E11" s="9">
        <v>40</v>
      </c>
      <c r="F11" s="9">
        <v>61.752302610000001</v>
      </c>
      <c r="G11" s="9" t="s">
        <v>24</v>
      </c>
      <c r="H11" s="4">
        <f t="shared" si="2"/>
        <v>76.572855236400002</v>
      </c>
      <c r="I11" s="4">
        <f t="shared" si="3"/>
        <v>201.5</v>
      </c>
      <c r="J11" s="9">
        <v>-0.1</v>
      </c>
      <c r="K11" s="9">
        <v>1.24</v>
      </c>
      <c r="L11" s="10">
        <v>0.27300000000000002</v>
      </c>
      <c r="M11" s="10">
        <v>0.155</v>
      </c>
      <c r="N11" s="9">
        <v>9.2999999999999999E-2</v>
      </c>
      <c r="O11" s="9"/>
      <c r="P11" s="10">
        <f t="shared" si="0"/>
        <v>0.17366666666666666</v>
      </c>
      <c r="Q11" s="11">
        <f>4.15/1</f>
        <v>4.1500000000000004</v>
      </c>
      <c r="R11" s="11">
        <v>3.63</v>
      </c>
      <c r="S11" s="9">
        <v>3.64</v>
      </c>
      <c r="T11" s="9"/>
      <c r="U11" s="11">
        <f t="shared" si="1"/>
        <v>3.8066666666666666</v>
      </c>
      <c r="V11" s="4">
        <f t="shared" si="4"/>
        <v>0.5805448491901668</v>
      </c>
      <c r="W11" s="11">
        <f t="shared" ref="W11:W13" si="7">(H11*1.94760070656381)+(I11*4.59376537994229)</f>
        <v>1074.7770710203924</v>
      </c>
      <c r="X11" s="9"/>
      <c r="Y11" s="9"/>
      <c r="Z11" s="9"/>
      <c r="AA11" s="9"/>
      <c r="AB11" s="9">
        <v>10</v>
      </c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spans="1:39" ht="13.2" x14ac:dyDescent="0.25">
      <c r="A12" s="12" t="s">
        <v>37</v>
      </c>
      <c r="B12" s="9" t="s">
        <v>35</v>
      </c>
      <c r="C12" s="9">
        <v>176.8</v>
      </c>
      <c r="D12" s="9">
        <v>162.5</v>
      </c>
      <c r="E12" s="9">
        <v>40</v>
      </c>
      <c r="F12" s="9">
        <v>61.752302610000001</v>
      </c>
      <c r="G12" s="9" t="s">
        <v>22</v>
      </c>
      <c r="H12" s="4">
        <f t="shared" si="2"/>
        <v>46.9317499836</v>
      </c>
      <c r="I12" s="4">
        <f t="shared" si="3"/>
        <v>123.5</v>
      </c>
      <c r="J12" s="9">
        <v>-7.0000000000000007E-2</v>
      </c>
      <c r="K12" s="9">
        <v>0.76</v>
      </c>
      <c r="L12" s="10">
        <v>0.51800000000000002</v>
      </c>
      <c r="M12" s="10">
        <v>0.44500000000000001</v>
      </c>
      <c r="N12" s="9"/>
      <c r="O12" s="9"/>
      <c r="P12" s="10">
        <f t="shared" si="0"/>
        <v>0.48150000000000004</v>
      </c>
      <c r="Q12" s="11">
        <f>1/1.04</f>
        <v>0.96153846153846145</v>
      </c>
      <c r="R12" s="11">
        <f>1/1.1</f>
        <v>0.90909090909090906</v>
      </c>
      <c r="S12" s="9"/>
      <c r="T12" s="9"/>
      <c r="U12" s="11">
        <f t="shared" si="1"/>
        <v>0.9353146853146852</v>
      </c>
      <c r="V12" s="4">
        <f t="shared" si="4"/>
        <v>-2.9042246771795809E-2</v>
      </c>
      <c r="W12" s="11">
        <f t="shared" si="7"/>
        <v>658.73433385120825</v>
      </c>
      <c r="X12" s="9"/>
      <c r="Y12" s="9"/>
      <c r="Z12" s="9"/>
      <c r="AA12" s="9"/>
      <c r="AB12" s="9">
        <v>22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1:39" ht="13.2" x14ac:dyDescent="0.25">
      <c r="A13" s="12" t="s">
        <v>34</v>
      </c>
      <c r="B13" s="9" t="s">
        <v>35</v>
      </c>
      <c r="C13" s="9">
        <v>176.8</v>
      </c>
      <c r="D13" s="9">
        <v>162.5</v>
      </c>
      <c r="E13" s="9">
        <v>40</v>
      </c>
      <c r="F13" s="9">
        <v>61.752302610000001</v>
      </c>
      <c r="G13" s="9" t="s">
        <v>18</v>
      </c>
      <c r="H13" s="4">
        <f t="shared" si="2"/>
        <v>32.111197357199998</v>
      </c>
      <c r="I13" s="4">
        <f t="shared" si="3"/>
        <v>84.5</v>
      </c>
      <c r="J13" s="9">
        <v>-7.0000000000000007E-2</v>
      </c>
      <c r="K13" s="9">
        <v>0.52</v>
      </c>
      <c r="L13" s="10">
        <v>0.56599999999999995</v>
      </c>
      <c r="M13" s="10">
        <v>0.67800000000000005</v>
      </c>
      <c r="N13" s="9">
        <v>0.61399999999999999</v>
      </c>
      <c r="O13" s="9"/>
      <c r="P13" s="10">
        <f t="shared" si="0"/>
        <v>0.6193333333333334</v>
      </c>
      <c r="Q13" s="11">
        <f>1/2.86</f>
        <v>0.34965034965034969</v>
      </c>
      <c r="R13" s="11">
        <f>1/2.78</f>
        <v>0.35971223021582738</v>
      </c>
      <c r="S13" s="9">
        <f>0.38/1</f>
        <v>0.38</v>
      </c>
      <c r="T13" s="9"/>
      <c r="U13" s="11">
        <f t="shared" si="1"/>
        <v>0.36312085995539239</v>
      </c>
      <c r="V13" s="4">
        <f t="shared" si="4"/>
        <v>-0.43994880175276135</v>
      </c>
      <c r="W13" s="11">
        <f t="shared" si="7"/>
        <v>450.71296526661621</v>
      </c>
      <c r="X13" s="9"/>
      <c r="Y13" s="9"/>
      <c r="Z13" s="9"/>
      <c r="AA13" s="9" t="s">
        <v>103</v>
      </c>
      <c r="AB13" s="9">
        <v>25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 spans="1:39" s="41" customFormat="1" ht="13.2" x14ac:dyDescent="0.25">
      <c r="A14" s="37" t="s">
        <v>47</v>
      </c>
      <c r="B14" s="37" t="s">
        <v>48</v>
      </c>
      <c r="C14" s="37">
        <v>169.2</v>
      </c>
      <c r="D14" s="37">
        <v>163.30000000000001</v>
      </c>
      <c r="E14" s="37">
        <v>32</v>
      </c>
      <c r="F14" s="37">
        <v>54.244799</v>
      </c>
      <c r="G14" s="37" t="s">
        <v>18</v>
      </c>
      <c r="H14" s="4">
        <f t="shared" si="2"/>
        <v>28.207295480000003</v>
      </c>
      <c r="I14" s="4">
        <f t="shared" si="3"/>
        <v>84.916000000000011</v>
      </c>
      <c r="J14" s="37">
        <v>-7.0000000000000007E-2</v>
      </c>
      <c r="K14" s="37">
        <v>0.52</v>
      </c>
      <c r="L14" s="39">
        <v>0.67700000000000005</v>
      </c>
      <c r="M14" s="39">
        <v>0.71399999999999997</v>
      </c>
      <c r="N14" s="37"/>
      <c r="O14" s="37"/>
      <c r="P14" s="39">
        <f t="shared" si="0"/>
        <v>0.69550000000000001</v>
      </c>
      <c r="Q14" s="40">
        <f>1/1.47</f>
        <v>0.68027210884353739</v>
      </c>
      <c r="R14" s="40">
        <f>1/1.52</f>
        <v>0.65789473684210531</v>
      </c>
      <c r="S14" s="37"/>
      <c r="T14" s="37"/>
      <c r="U14" s="40">
        <f t="shared" si="1"/>
        <v>0.6690834228428213</v>
      </c>
      <c r="V14" s="4">
        <f t="shared" si="4"/>
        <v>-0.17451973003250021</v>
      </c>
      <c r="W14" s="40">
        <f t="shared" ref="W14:W17" si="8">(H14*2.0233507253693)+(I14*4.79400430188682)</f>
        <v>464.16092106918541</v>
      </c>
      <c r="X14" s="37"/>
      <c r="Y14" s="37"/>
      <c r="Z14" s="37"/>
      <c r="AA14" s="37"/>
      <c r="AB14" s="37">
        <v>17</v>
      </c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</row>
    <row r="15" spans="1:39" s="41" customFormat="1" ht="13.2" x14ac:dyDescent="0.25">
      <c r="A15" s="36" t="s">
        <v>50</v>
      </c>
      <c r="B15" s="37" t="s">
        <v>48</v>
      </c>
      <c r="C15" s="37">
        <v>169.2</v>
      </c>
      <c r="D15" s="37">
        <v>163.30000000000001</v>
      </c>
      <c r="E15" s="37">
        <v>32</v>
      </c>
      <c r="F15" s="37">
        <v>54.244799</v>
      </c>
      <c r="G15" s="37" t="s">
        <v>22</v>
      </c>
      <c r="H15" s="4">
        <f t="shared" si="2"/>
        <v>41.22604724</v>
      </c>
      <c r="I15" s="4">
        <f t="shared" si="3"/>
        <v>124.108</v>
      </c>
      <c r="J15" s="37">
        <v>-7.0000000000000007E-2</v>
      </c>
      <c r="K15" s="37">
        <v>0.76</v>
      </c>
      <c r="L15" s="39">
        <v>0.72399999999999998</v>
      </c>
      <c r="M15" s="39">
        <v>0.68799999999999994</v>
      </c>
      <c r="N15" s="37"/>
      <c r="O15" s="37"/>
      <c r="P15" s="39">
        <f t="shared" si="0"/>
        <v>0.70599999999999996</v>
      </c>
      <c r="Q15" s="40">
        <v>1.45</v>
      </c>
      <c r="R15" s="40">
        <v>1.51</v>
      </c>
      <c r="S15" s="37"/>
      <c r="T15" s="37"/>
      <c r="U15" s="40">
        <f t="shared" si="1"/>
        <v>1.48</v>
      </c>
      <c r="V15" s="4">
        <f t="shared" si="4"/>
        <v>0.17026171539495738</v>
      </c>
      <c r="W15" s="40">
        <f t="shared" si="8"/>
        <v>678.38903848573239</v>
      </c>
      <c r="X15" s="37"/>
      <c r="Y15" s="37"/>
      <c r="Z15" s="37"/>
      <c r="AA15" s="37"/>
      <c r="AB15" s="37">
        <v>21</v>
      </c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</row>
    <row r="16" spans="1:39" s="41" customFormat="1" ht="13.2" x14ac:dyDescent="0.25">
      <c r="A16" s="36" t="s">
        <v>73</v>
      </c>
      <c r="B16" s="37" t="s">
        <v>48</v>
      </c>
      <c r="C16" s="37">
        <v>169.2</v>
      </c>
      <c r="D16" s="37">
        <v>163.30000000000001</v>
      </c>
      <c r="E16" s="37">
        <v>32</v>
      </c>
      <c r="F16" s="37">
        <v>54.244799</v>
      </c>
      <c r="G16" s="37" t="s">
        <v>24</v>
      </c>
      <c r="H16" s="4">
        <f t="shared" si="2"/>
        <v>67.263550760000001</v>
      </c>
      <c r="I16" s="4">
        <f t="shared" si="3"/>
        <v>202.49200000000002</v>
      </c>
      <c r="J16" s="37">
        <v>-0.1</v>
      </c>
      <c r="K16" s="37">
        <v>1.24</v>
      </c>
      <c r="L16" s="42">
        <v>0.19800000000000001</v>
      </c>
      <c r="M16" s="42">
        <v>0.22900000000000001</v>
      </c>
      <c r="N16" s="42"/>
      <c r="O16" s="42"/>
      <c r="P16" s="42">
        <f>AVERAGE(L16:O16)</f>
        <v>0.21350000000000002</v>
      </c>
      <c r="Q16" s="37">
        <v>3.26</v>
      </c>
      <c r="R16" s="37">
        <v>3.22</v>
      </c>
      <c r="S16" s="37"/>
      <c r="T16" s="37"/>
      <c r="U16" s="40">
        <f>AVERAGE(Q16:T16)</f>
        <v>3.24</v>
      </c>
      <c r="V16" s="4">
        <f t="shared" si="4"/>
        <v>0.51054501020661214</v>
      </c>
      <c r="W16" s="40">
        <f t="shared" si="8"/>
        <v>1106.8452733188267</v>
      </c>
      <c r="X16" s="37"/>
      <c r="Y16" s="37"/>
      <c r="Z16" s="37"/>
      <c r="AA16" s="37"/>
      <c r="AB16" s="37">
        <v>39</v>
      </c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</row>
    <row r="17" spans="1:39" s="41" customFormat="1" ht="13.2" x14ac:dyDescent="0.25">
      <c r="A17" s="36" t="s">
        <v>49</v>
      </c>
      <c r="B17" s="37" t="s">
        <v>48</v>
      </c>
      <c r="C17" s="37">
        <v>169.2</v>
      </c>
      <c r="D17" s="37">
        <v>163.30000000000001</v>
      </c>
      <c r="E17" s="37">
        <v>32</v>
      </c>
      <c r="F17" s="37">
        <v>54.244799</v>
      </c>
      <c r="G17" s="37" t="s">
        <v>20</v>
      </c>
      <c r="H17" s="4">
        <f t="shared" si="2"/>
        <v>30.377087440000004</v>
      </c>
      <c r="I17" s="4">
        <f t="shared" si="3"/>
        <v>91.448000000000022</v>
      </c>
      <c r="J17" s="37">
        <v>-7.0000000000000007E-2</v>
      </c>
      <c r="K17" s="37">
        <v>0.56000000000000005</v>
      </c>
      <c r="L17" s="39">
        <v>0.73</v>
      </c>
      <c r="M17" s="39">
        <v>0.69499999999999995</v>
      </c>
      <c r="N17" s="37"/>
      <c r="O17" s="37"/>
      <c r="P17" s="39">
        <f t="shared" ref="P17:P23" si="9">AVERAGE(L17:N17)</f>
        <v>0.71249999999999991</v>
      </c>
      <c r="Q17" s="40">
        <f>1/1.01</f>
        <v>0.99009900990099009</v>
      </c>
      <c r="R17" s="40">
        <f>1/1.1</f>
        <v>0.90909090909090906</v>
      </c>
      <c r="S17" s="37"/>
      <c r="T17" s="37"/>
      <c r="U17" s="40">
        <f t="shared" ref="U17:U23" si="10">AVERAGE(Q17:S17)</f>
        <v>0.94959495949594963</v>
      </c>
      <c r="V17" s="4">
        <f t="shared" si="4"/>
        <v>-2.2461599307156129E-2</v>
      </c>
      <c r="W17" s="40">
        <f t="shared" si="8"/>
        <v>499.86560730527663</v>
      </c>
      <c r="X17" s="37"/>
      <c r="Y17" s="37"/>
      <c r="Z17" s="37"/>
      <c r="AA17" s="37"/>
      <c r="AB17" s="37">
        <v>40</v>
      </c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</row>
    <row r="18" spans="1:39" ht="13.2" x14ac:dyDescent="0.25">
      <c r="A18" s="26" t="s">
        <v>69</v>
      </c>
      <c r="B18" s="23" t="s">
        <v>67</v>
      </c>
      <c r="C18" s="23">
        <v>159</v>
      </c>
      <c r="D18" s="23">
        <v>140.30000000000001</v>
      </c>
      <c r="E18" s="23">
        <v>26.6</v>
      </c>
      <c r="F18" s="23">
        <v>43.828634549999997</v>
      </c>
      <c r="G18" s="23" t="s">
        <v>22</v>
      </c>
      <c r="H18" s="4">
        <f t="shared" si="2"/>
        <v>33.309762257999999</v>
      </c>
      <c r="I18" s="4">
        <f t="shared" si="3"/>
        <v>106.62800000000001</v>
      </c>
      <c r="J18" s="23">
        <v>-7.0000000000000007E-2</v>
      </c>
      <c r="K18" s="23">
        <v>0.76</v>
      </c>
      <c r="L18" s="24">
        <v>0.505</v>
      </c>
      <c r="M18" s="24">
        <v>0.45400000000000001</v>
      </c>
      <c r="N18" s="23"/>
      <c r="O18" s="23"/>
      <c r="P18" s="24">
        <f t="shared" si="9"/>
        <v>0.47950000000000004</v>
      </c>
      <c r="Q18" s="25">
        <f>1/1.62</f>
        <v>0.61728395061728392</v>
      </c>
      <c r="R18" s="25">
        <f>1/1.66</f>
        <v>0.60240963855421692</v>
      </c>
      <c r="S18" s="23"/>
      <c r="T18" s="23"/>
      <c r="U18" s="25">
        <f t="shared" si="10"/>
        <v>0.60984679458575042</v>
      </c>
      <c r="V18" s="4">
        <f t="shared" si="4"/>
        <v>-0.21477925453498814</v>
      </c>
      <c r="W18" s="25">
        <f>(H18*1.95886755305245)+(I18*4.67415289938805)</f>
        <v>563.64498784303635</v>
      </c>
      <c r="X18" s="23"/>
      <c r="Y18" s="23"/>
      <c r="Z18" s="23"/>
      <c r="AA18" s="23"/>
      <c r="AB18" s="23">
        <v>8</v>
      </c>
      <c r="AC18" s="23"/>
      <c r="AD18" s="25" t="e">
        <f>AVERAGE(AD14:AD17)</f>
        <v>#DIV/0!</v>
      </c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ht="13.2" x14ac:dyDescent="0.25">
      <c r="A19" s="26" t="s">
        <v>68</v>
      </c>
      <c r="B19" s="23" t="s">
        <v>67</v>
      </c>
      <c r="C19" s="23">
        <v>159</v>
      </c>
      <c r="D19" s="23">
        <v>140.30000000000001</v>
      </c>
      <c r="E19" s="23">
        <v>26.6</v>
      </c>
      <c r="F19" s="23">
        <v>43.828634549999997</v>
      </c>
      <c r="G19" s="23" t="s">
        <v>20</v>
      </c>
      <c r="H19" s="4">
        <f t="shared" si="2"/>
        <v>24.544035348000001</v>
      </c>
      <c r="I19" s="4">
        <f t="shared" si="3"/>
        <v>78.568000000000012</v>
      </c>
      <c r="J19" s="23">
        <v>-7.0000000000000007E-2</v>
      </c>
      <c r="K19" s="23">
        <v>0.56000000000000005</v>
      </c>
      <c r="L19" s="24">
        <v>0.48099999999999998</v>
      </c>
      <c r="M19" s="24">
        <v>0.498</v>
      </c>
      <c r="N19" s="23"/>
      <c r="O19" s="23"/>
      <c r="P19" s="24">
        <f t="shared" si="9"/>
        <v>0.48949999999999999</v>
      </c>
      <c r="Q19" s="25">
        <f>1/1.9</f>
        <v>0.52631578947368418</v>
      </c>
      <c r="R19" s="25">
        <f>1/1.87</f>
        <v>0.53475935828876997</v>
      </c>
      <c r="S19" s="23"/>
      <c r="T19" s="23"/>
      <c r="U19" s="25">
        <f t="shared" si="10"/>
        <v>0.53053757388122702</v>
      </c>
      <c r="V19" s="4">
        <f t="shared" si="4"/>
        <v>-0.27528385294751634</v>
      </c>
      <c r="W19" s="25">
        <f t="shared" ref="W19:W20" si="11">(H19*1.95886755305245)+(I19*4.67415289938805)</f>
        <v>415.3173594632899</v>
      </c>
      <c r="X19" s="23"/>
      <c r="Y19" s="23"/>
      <c r="Z19" s="23"/>
      <c r="AA19" s="23"/>
      <c r="AB19" s="23">
        <v>26</v>
      </c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ht="13.2" x14ac:dyDescent="0.25">
      <c r="A20" s="23" t="s">
        <v>66</v>
      </c>
      <c r="B20" s="23" t="s">
        <v>67</v>
      </c>
      <c r="C20" s="23">
        <v>159</v>
      </c>
      <c r="D20" s="23">
        <v>140.30000000000001</v>
      </c>
      <c r="E20" s="23">
        <v>26.6</v>
      </c>
      <c r="F20" s="23">
        <v>43.828634549999997</v>
      </c>
      <c r="G20" s="23" t="s">
        <v>18</v>
      </c>
      <c r="H20" s="4">
        <f t="shared" si="2"/>
        <v>22.790889965999998</v>
      </c>
      <c r="I20" s="4">
        <f t="shared" si="3"/>
        <v>72.956000000000003</v>
      </c>
      <c r="J20" s="23">
        <v>-7.0000000000000007E-2</v>
      </c>
      <c r="K20" s="23">
        <v>0.52</v>
      </c>
      <c r="L20" s="24">
        <v>0.47099999999999997</v>
      </c>
      <c r="M20" s="24">
        <v>0.48899999999999999</v>
      </c>
      <c r="N20" s="23"/>
      <c r="O20" s="23"/>
      <c r="P20" s="24">
        <f t="shared" si="9"/>
        <v>0.48</v>
      </c>
      <c r="Q20" s="23">
        <f>0.5/1</f>
        <v>0.5</v>
      </c>
      <c r="R20" s="23">
        <f>0.51/1</f>
        <v>0.51</v>
      </c>
      <c r="S20" s="23"/>
      <c r="T20" s="23"/>
      <c r="U20" s="25">
        <f t="shared" si="10"/>
        <v>0.505</v>
      </c>
      <c r="V20" s="4">
        <f t="shared" si="4"/>
        <v>-0.29670862188133862</v>
      </c>
      <c r="W20" s="25">
        <f t="shared" si="11"/>
        <v>385.65183378734059</v>
      </c>
      <c r="X20" s="23"/>
      <c r="Y20" s="23"/>
      <c r="Z20" s="23"/>
      <c r="AA20" s="23"/>
      <c r="AB20" s="23">
        <v>28</v>
      </c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ht="13.2" x14ac:dyDescent="0.25">
      <c r="A21" s="20" t="s">
        <v>60</v>
      </c>
      <c r="B21" s="20" t="s">
        <v>61</v>
      </c>
      <c r="C21" s="20">
        <v>142.30000000000001</v>
      </c>
      <c r="D21" s="20">
        <v>139.1</v>
      </c>
      <c r="E21" s="20">
        <v>25.7</v>
      </c>
      <c r="F21" s="20">
        <v>46.227939820000003</v>
      </c>
      <c r="G21" s="20" t="s">
        <v>18</v>
      </c>
      <c r="H21" s="4">
        <f t="shared" si="2"/>
        <v>24.038528706400001</v>
      </c>
      <c r="I21" s="4">
        <f t="shared" si="3"/>
        <v>72.331999999999994</v>
      </c>
      <c r="J21" s="20">
        <v>-7.0000000000000007E-2</v>
      </c>
      <c r="K21" s="20">
        <v>0.52</v>
      </c>
      <c r="L21" s="21">
        <v>0.52900000000000003</v>
      </c>
      <c r="M21" s="21">
        <v>0.53700000000000003</v>
      </c>
      <c r="N21" s="20"/>
      <c r="O21" s="20"/>
      <c r="P21" s="21">
        <f t="shared" si="9"/>
        <v>0.53300000000000003</v>
      </c>
      <c r="Q21" s="20">
        <f>1/2.17</f>
        <v>0.46082949308755761</v>
      </c>
      <c r="R21" s="20">
        <f>1/2.13</f>
        <v>0.46948356807511737</v>
      </c>
      <c r="S21" s="20"/>
      <c r="T21" s="20"/>
      <c r="U21" s="22">
        <f t="shared" si="10"/>
        <v>0.46515653058133749</v>
      </c>
      <c r="V21" s="4">
        <f t="shared" si="4"/>
        <v>-0.33240087737166191</v>
      </c>
      <c r="W21" s="22">
        <f t="shared" ref="W21:W22" si="12">(H21*1.94929052566916)+(I21*4.64854508751746)</f>
        <v>383.09663952872455</v>
      </c>
      <c r="X21" s="20"/>
      <c r="Y21" s="20"/>
      <c r="Z21" s="20"/>
      <c r="AA21" s="20"/>
      <c r="AB21" s="20">
        <v>23</v>
      </c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</row>
    <row r="22" spans="1:39" ht="13.2" x14ac:dyDescent="0.25">
      <c r="A22" s="20" t="s">
        <v>63</v>
      </c>
      <c r="B22" s="20" t="s">
        <v>61</v>
      </c>
      <c r="C22" s="20">
        <v>142.30000000000001</v>
      </c>
      <c r="D22" s="20">
        <v>139.1</v>
      </c>
      <c r="E22" s="20">
        <v>25.7</v>
      </c>
      <c r="F22" s="20">
        <v>46.227939820000003</v>
      </c>
      <c r="G22" s="20" t="s">
        <v>22</v>
      </c>
      <c r="H22" s="4">
        <f t="shared" si="2"/>
        <v>35.133234263200002</v>
      </c>
      <c r="I22" s="4">
        <f t="shared" si="3"/>
        <v>105.71599999999999</v>
      </c>
      <c r="J22" s="20">
        <v>-7.0000000000000007E-2</v>
      </c>
      <c r="K22" s="20">
        <v>0.76</v>
      </c>
      <c r="L22" s="21">
        <v>0.53500000000000003</v>
      </c>
      <c r="M22" s="21">
        <v>0.49099999999999999</v>
      </c>
      <c r="N22" s="20"/>
      <c r="O22" s="20"/>
      <c r="P22" s="21">
        <f t="shared" si="9"/>
        <v>0.51300000000000001</v>
      </c>
      <c r="Q22" s="20">
        <f>1/1.74</f>
        <v>0.57471264367816088</v>
      </c>
      <c r="R22" s="20">
        <f>1/1.75</f>
        <v>0.5714285714285714</v>
      </c>
      <c r="S22" s="20"/>
      <c r="T22" s="20"/>
      <c r="U22" s="22">
        <f t="shared" si="10"/>
        <v>0.57307060755336614</v>
      </c>
      <c r="V22" s="4">
        <f t="shared" si="4"/>
        <v>-0.24179186567369548</v>
      </c>
      <c r="W22" s="22">
        <f t="shared" si="12"/>
        <v>559.91047315736671</v>
      </c>
      <c r="X22" s="20"/>
      <c r="Y22" s="20"/>
      <c r="Z22" s="20"/>
      <c r="AA22" s="20"/>
      <c r="AB22" s="20">
        <v>36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</row>
    <row r="23" spans="1:39" ht="13.2" x14ac:dyDescent="0.25">
      <c r="A23" s="20" t="s">
        <v>62</v>
      </c>
      <c r="B23" s="20" t="s">
        <v>61</v>
      </c>
      <c r="C23" s="20">
        <v>142.30000000000001</v>
      </c>
      <c r="D23" s="20">
        <v>139.1</v>
      </c>
      <c r="E23" s="20">
        <v>25.7</v>
      </c>
      <c r="F23" s="20">
        <v>46.227939820000003</v>
      </c>
      <c r="G23" s="20" t="s">
        <v>20</v>
      </c>
      <c r="H23" s="4">
        <f t="shared" si="2"/>
        <v>25.887646299200004</v>
      </c>
      <c r="I23" s="4">
        <f t="shared" si="3"/>
        <v>77.896000000000001</v>
      </c>
      <c r="J23" s="20">
        <v>-7.0000000000000007E-2</v>
      </c>
      <c r="K23" s="20">
        <v>0.56000000000000005</v>
      </c>
      <c r="L23" s="21">
        <v>0.42199999999999999</v>
      </c>
      <c r="M23" s="21">
        <v>0.40300000000000002</v>
      </c>
      <c r="N23" s="20"/>
      <c r="O23" s="20"/>
      <c r="P23" s="21">
        <f t="shared" si="9"/>
        <v>0.41249999999999998</v>
      </c>
      <c r="Q23" s="20">
        <f>1/2.01</f>
        <v>0.49751243781094534</v>
      </c>
      <c r="R23" s="20">
        <f>1/2</f>
        <v>0.5</v>
      </c>
      <c r="S23" s="20"/>
      <c r="T23" s="20"/>
      <c r="U23" s="22">
        <f t="shared" si="10"/>
        <v>0.49875621890547267</v>
      </c>
      <c r="V23" s="4">
        <f t="shared" si="4"/>
        <v>-0.30211167612826895</v>
      </c>
      <c r="W23" s="22">
        <f>(H23*1.94929052566916)+(I23*4.64854508751746)</f>
        <v>412.56561180016496</v>
      </c>
      <c r="X23" s="20"/>
      <c r="Y23" s="20"/>
      <c r="Z23" s="20"/>
      <c r="AA23" s="20"/>
      <c r="AB23" s="20">
        <v>44</v>
      </c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</row>
    <row r="24" spans="1:39" ht="13.2" x14ac:dyDescent="0.25">
      <c r="A24" s="16" t="s">
        <v>57</v>
      </c>
      <c r="B24" s="16" t="s">
        <v>54</v>
      </c>
      <c r="C24" s="16">
        <v>159</v>
      </c>
      <c r="D24" s="16">
        <v>149</v>
      </c>
      <c r="E24" s="16">
        <v>28.2</v>
      </c>
      <c r="F24" s="16">
        <v>50.688723170000003</v>
      </c>
      <c r="G24" s="16" t="s">
        <v>24</v>
      </c>
      <c r="H24" s="4">
        <f t="shared" si="2"/>
        <v>62.854016730800005</v>
      </c>
      <c r="I24" s="4">
        <f t="shared" si="3"/>
        <v>184.76</v>
      </c>
      <c r="J24" s="16">
        <v>-0.1</v>
      </c>
      <c r="K24" s="16">
        <v>1.24</v>
      </c>
      <c r="L24" s="27">
        <v>0.19</v>
      </c>
      <c r="M24" s="27">
        <v>0.16900000000000001</v>
      </c>
      <c r="N24" s="27"/>
      <c r="O24" s="27"/>
      <c r="P24" s="27">
        <f>AVERAGE(L24:O24)</f>
        <v>0.17949999999999999</v>
      </c>
      <c r="Q24" s="16">
        <v>2.4</v>
      </c>
      <c r="R24" s="16">
        <v>2.42</v>
      </c>
      <c r="S24" s="16"/>
      <c r="T24" s="16"/>
      <c r="U24" s="18">
        <f>AVERAGE(Q24:T24)</f>
        <v>2.41</v>
      </c>
      <c r="V24" s="4">
        <f t="shared" si="4"/>
        <v>0.3820170425748684</v>
      </c>
      <c r="W24" s="18">
        <f>(H24*1.95614386021232)+(I24*4.63479963587483)</f>
        <v>979.2770796418705</v>
      </c>
      <c r="X24" s="16" t="s">
        <v>0</v>
      </c>
      <c r="Y24" s="16"/>
      <c r="Z24" s="16"/>
      <c r="AA24" s="16"/>
      <c r="AB24" s="16">
        <v>20</v>
      </c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</row>
    <row r="25" spans="1:39" ht="13.2" x14ac:dyDescent="0.25">
      <c r="A25" s="16" t="s">
        <v>53</v>
      </c>
      <c r="B25" s="16" t="s">
        <v>54</v>
      </c>
      <c r="C25" s="16">
        <v>159</v>
      </c>
      <c r="D25" s="16">
        <v>149</v>
      </c>
      <c r="E25" s="16">
        <v>28.2</v>
      </c>
      <c r="F25" s="16">
        <v>50.688723170000003</v>
      </c>
      <c r="G25" s="16" t="s">
        <v>18</v>
      </c>
      <c r="H25" s="4">
        <f t="shared" si="2"/>
        <v>26.358136048400002</v>
      </c>
      <c r="I25" s="4">
        <f t="shared" si="3"/>
        <v>77.48</v>
      </c>
      <c r="J25" s="16">
        <v>-7.0000000000000007E-2</v>
      </c>
      <c r="K25" s="16">
        <v>0.52</v>
      </c>
      <c r="L25" s="17">
        <v>0.65700000000000003</v>
      </c>
      <c r="M25" s="17">
        <v>0.68899999999999995</v>
      </c>
      <c r="N25" s="16"/>
      <c r="O25" s="16"/>
      <c r="P25" s="17">
        <f t="shared" ref="P25:P31" si="13">AVERAGE(L25:N25)</f>
        <v>0.67300000000000004</v>
      </c>
      <c r="Q25" s="18">
        <f>1/2.44</f>
        <v>0.4098360655737705</v>
      </c>
      <c r="R25" s="18">
        <f>1/2.38</f>
        <v>0.42016806722689076</v>
      </c>
      <c r="S25" s="16"/>
      <c r="T25" s="16"/>
      <c r="U25" s="18">
        <f t="shared" ref="U25:U31" si="14">AVERAGE(Q25:S25)</f>
        <v>0.41500206640033066</v>
      </c>
      <c r="V25" s="4">
        <f t="shared" si="4"/>
        <v>-0.38194974082037297</v>
      </c>
      <c r="W25" s="18">
        <f t="shared" ref="W25:W27" si="15">(H25*1.95614386021232)+(I25*4.63479963587483)</f>
        <v>410.66458178530053</v>
      </c>
      <c r="X25" s="16"/>
      <c r="Y25" s="16"/>
      <c r="Z25" s="16"/>
      <c r="AA25" s="16"/>
      <c r="AB25" s="16">
        <v>29</v>
      </c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</row>
    <row r="26" spans="1:39" ht="13.2" x14ac:dyDescent="0.25">
      <c r="A26" s="16" t="s">
        <v>56</v>
      </c>
      <c r="B26" s="16" t="s">
        <v>54</v>
      </c>
      <c r="C26" s="16">
        <v>159</v>
      </c>
      <c r="D26" s="16">
        <v>149</v>
      </c>
      <c r="E26" s="16">
        <v>28.2</v>
      </c>
      <c r="F26" s="16">
        <v>50.688723170000003</v>
      </c>
      <c r="G26" s="16" t="s">
        <v>22</v>
      </c>
      <c r="H26" s="4">
        <f t="shared" si="2"/>
        <v>38.523429609200001</v>
      </c>
      <c r="I26" s="4">
        <f t="shared" si="3"/>
        <v>113.24</v>
      </c>
      <c r="J26" s="16">
        <v>-7.0000000000000007E-2</v>
      </c>
      <c r="K26" s="16">
        <v>0.76</v>
      </c>
      <c r="L26" s="17">
        <v>0.55800000000000005</v>
      </c>
      <c r="M26" s="17">
        <v>0.58099999999999996</v>
      </c>
      <c r="N26" s="16"/>
      <c r="O26" s="16"/>
      <c r="P26" s="17">
        <f t="shared" si="13"/>
        <v>0.56950000000000001</v>
      </c>
      <c r="Q26" s="19">
        <f>1/1.42</f>
        <v>0.70422535211267612</v>
      </c>
      <c r="R26" s="16">
        <f>1/1.4</f>
        <v>0.7142857142857143</v>
      </c>
      <c r="S26" s="17"/>
      <c r="T26" s="17"/>
      <c r="U26" s="19">
        <f t="shared" si="14"/>
        <v>0.70925553319919521</v>
      </c>
      <c r="V26" s="4">
        <f t="shared" si="4"/>
        <v>-0.14919726740591457</v>
      </c>
      <c r="W26" s="18">
        <f t="shared" si="15"/>
        <v>600.20208107082374</v>
      </c>
      <c r="X26" s="18"/>
      <c r="Y26" s="18"/>
      <c r="Z26" s="16"/>
      <c r="AA26" s="16"/>
      <c r="AB26" s="16">
        <v>11</v>
      </c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</row>
    <row r="27" spans="1:39" ht="13.2" x14ac:dyDescent="0.25">
      <c r="A27" s="16" t="s">
        <v>55</v>
      </c>
      <c r="B27" s="16" t="s">
        <v>54</v>
      </c>
      <c r="C27" s="16">
        <v>159</v>
      </c>
      <c r="D27" s="16">
        <v>149</v>
      </c>
      <c r="E27" s="16">
        <v>28.2</v>
      </c>
      <c r="F27" s="16">
        <v>50.688723170000003</v>
      </c>
      <c r="G27" s="16" t="s">
        <v>20</v>
      </c>
      <c r="H27" s="4">
        <f t="shared" si="2"/>
        <v>28.385684975200004</v>
      </c>
      <c r="I27" s="4">
        <f t="shared" si="3"/>
        <v>83.440000000000012</v>
      </c>
      <c r="J27" s="16">
        <v>-7.0000000000000007E-2</v>
      </c>
      <c r="K27" s="16">
        <v>0.56000000000000005</v>
      </c>
      <c r="L27" s="17">
        <v>0.56699999999999995</v>
      </c>
      <c r="M27" s="17">
        <v>0.625</v>
      </c>
      <c r="N27" s="16"/>
      <c r="O27" s="16"/>
      <c r="P27" s="17">
        <f t="shared" si="13"/>
        <v>0.59599999999999997</v>
      </c>
      <c r="Q27" s="19">
        <f>1/2.29</f>
        <v>0.4366812227074236</v>
      </c>
      <c r="R27" s="16">
        <f>1/2.33</f>
        <v>0.42918454935622319</v>
      </c>
      <c r="S27" s="17"/>
      <c r="T27" s="17"/>
      <c r="U27" s="19">
        <f t="shared" si="14"/>
        <v>0.43293288603182339</v>
      </c>
      <c r="V27" s="4">
        <f t="shared" si="4"/>
        <v>-0.36357942347376265</v>
      </c>
      <c r="W27" s="18">
        <f t="shared" si="15"/>
        <v>442.25416499955446</v>
      </c>
      <c r="X27" s="18"/>
      <c r="Y27" s="18"/>
      <c r="Z27" s="16"/>
      <c r="AA27" s="16"/>
      <c r="AB27" s="16">
        <v>18</v>
      </c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</row>
    <row r="28" spans="1:39" ht="13.2" x14ac:dyDescent="0.25">
      <c r="A28" s="5" t="s">
        <v>28</v>
      </c>
      <c r="B28" s="5" t="s">
        <v>29</v>
      </c>
      <c r="C28" s="5">
        <v>176.1</v>
      </c>
      <c r="D28" s="5">
        <v>176.1</v>
      </c>
      <c r="E28" s="5">
        <v>36.299999999999997</v>
      </c>
      <c r="F28" s="5">
        <v>65.128482829999996</v>
      </c>
      <c r="G28" s="5" t="s">
        <v>18</v>
      </c>
      <c r="H28" s="4">
        <f t="shared" si="2"/>
        <v>33.866811071599997</v>
      </c>
      <c r="I28" s="4">
        <f t="shared" si="3"/>
        <v>91.572000000000003</v>
      </c>
      <c r="J28" s="5">
        <v>-7.0000000000000007E-2</v>
      </c>
      <c r="K28" s="5">
        <v>0.52</v>
      </c>
      <c r="L28" s="6">
        <v>0.81200000000000006</v>
      </c>
      <c r="M28" s="6">
        <v>0.78900000000000003</v>
      </c>
      <c r="N28" s="5"/>
      <c r="O28" s="5"/>
      <c r="P28" s="6">
        <f t="shared" si="13"/>
        <v>0.80049999999999999</v>
      </c>
      <c r="Q28" s="7">
        <f>1/2.78</f>
        <v>0.35971223021582738</v>
      </c>
      <c r="R28" s="7">
        <f>1/2.7</f>
        <v>0.37037037037037035</v>
      </c>
      <c r="S28" s="5"/>
      <c r="T28" s="5"/>
      <c r="U28" s="7">
        <f t="shared" si="14"/>
        <v>0.36504130029309889</v>
      </c>
      <c r="V28" s="4">
        <f t="shared" si="4"/>
        <v>-0.43765799725667559</v>
      </c>
      <c r="W28" s="7">
        <f>(H28*1.93364530371663)+(I28*4.34239613221004)</f>
        <v>463.12829879919548</v>
      </c>
      <c r="X28" s="5"/>
      <c r="Y28" s="5"/>
      <c r="Z28" s="5"/>
      <c r="AA28" s="5"/>
      <c r="AB28" s="5">
        <v>16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ht="13.2" x14ac:dyDescent="0.25">
      <c r="A29" s="8" t="s">
        <v>31</v>
      </c>
      <c r="B29" s="5" t="s">
        <v>29</v>
      </c>
      <c r="C29" s="5">
        <v>176.1</v>
      </c>
      <c r="D29" s="5">
        <v>176.1</v>
      </c>
      <c r="E29" s="5">
        <v>36.299999999999997</v>
      </c>
      <c r="F29" s="5">
        <v>65.128482829999996</v>
      </c>
      <c r="G29" s="5" t="s">
        <v>22</v>
      </c>
      <c r="H29" s="4">
        <f t="shared" si="2"/>
        <v>49.497646950799997</v>
      </c>
      <c r="I29" s="4">
        <f t="shared" si="3"/>
        <v>133.83599999999998</v>
      </c>
      <c r="J29" s="5">
        <v>-7.0000000000000007E-2</v>
      </c>
      <c r="K29" s="5">
        <v>0.76</v>
      </c>
      <c r="L29" s="6">
        <v>0.79100000000000004</v>
      </c>
      <c r="M29" s="6">
        <v>0.80300000000000005</v>
      </c>
      <c r="N29" s="5"/>
      <c r="O29" s="5"/>
      <c r="P29" s="6">
        <f t="shared" si="13"/>
        <v>0.79700000000000004</v>
      </c>
      <c r="Q29" s="7">
        <f>1/1.35</f>
        <v>0.7407407407407407</v>
      </c>
      <c r="R29" s="7">
        <f>1/1.31</f>
        <v>0.76335877862595414</v>
      </c>
      <c r="S29" s="5"/>
      <c r="T29" s="5"/>
      <c r="U29" s="7">
        <f t="shared" si="14"/>
        <v>0.75204975968334742</v>
      </c>
      <c r="V29" s="4">
        <f t="shared" si="4"/>
        <v>-0.12375342318368461</v>
      </c>
      <c r="W29" s="7">
        <f t="shared" ref="W29:W31" si="16">(H29*1.93364530371663)+(I29*4.34239613221004)</f>
        <v>676.87982132190109</v>
      </c>
      <c r="X29" s="5"/>
      <c r="Y29" s="5"/>
      <c r="Z29" s="5"/>
      <c r="AA29" s="5"/>
      <c r="AB29" s="5">
        <v>43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ht="13.2" x14ac:dyDescent="0.25">
      <c r="A30" s="8" t="s">
        <v>32</v>
      </c>
      <c r="B30" s="5" t="s">
        <v>29</v>
      </c>
      <c r="C30" s="5">
        <v>176.1</v>
      </c>
      <c r="D30" s="5">
        <v>176.1</v>
      </c>
      <c r="E30" s="5">
        <v>36.299999999999997</v>
      </c>
      <c r="F30" s="5">
        <v>65.128482829999996</v>
      </c>
      <c r="G30" s="5" t="s">
        <v>24</v>
      </c>
      <c r="H30" s="4">
        <f t="shared" si="2"/>
        <v>80.759318709199988</v>
      </c>
      <c r="I30" s="4">
        <f t="shared" si="3"/>
        <v>218.364</v>
      </c>
      <c r="J30" s="5">
        <v>-0.1</v>
      </c>
      <c r="K30" s="5">
        <v>1.24</v>
      </c>
      <c r="L30" s="6">
        <v>0.91</v>
      </c>
      <c r="M30" s="6">
        <v>0.83</v>
      </c>
      <c r="N30" s="5"/>
      <c r="O30" s="5"/>
      <c r="P30" s="6">
        <f t="shared" si="13"/>
        <v>0.87</v>
      </c>
      <c r="Q30" s="7">
        <f>10.48/1</f>
        <v>10.48</v>
      </c>
      <c r="R30" s="7">
        <f>10.56/1</f>
        <v>10.56</v>
      </c>
      <c r="S30" s="5"/>
      <c r="T30" s="5"/>
      <c r="U30" s="7">
        <f t="shared" si="14"/>
        <v>10.52</v>
      </c>
      <c r="V30" s="4">
        <f t="shared" si="4"/>
        <v>1.0220157398177203</v>
      </c>
      <c r="W30" s="7">
        <f t="shared" si="16"/>
        <v>1104.3828663673123</v>
      </c>
      <c r="X30" s="5"/>
      <c r="Y30" s="5"/>
      <c r="Z30" s="5"/>
      <c r="AA30" s="5">
        <f>U30/(U30+1)</f>
        <v>0.91319444444444442</v>
      </c>
      <c r="AB30" s="5">
        <v>13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ht="13.2" x14ac:dyDescent="0.25">
      <c r="A31" s="8" t="s">
        <v>30</v>
      </c>
      <c r="B31" s="5" t="s">
        <v>29</v>
      </c>
      <c r="C31" s="5">
        <v>176.1</v>
      </c>
      <c r="D31" s="5">
        <v>176.1</v>
      </c>
      <c r="E31" s="5">
        <v>36.299999999999997</v>
      </c>
      <c r="F31" s="5">
        <v>65.128482829999996</v>
      </c>
      <c r="G31" s="5" t="s">
        <v>20</v>
      </c>
      <c r="H31" s="4">
        <f t="shared" si="2"/>
        <v>36.471950384800003</v>
      </c>
      <c r="I31" s="4">
        <f t="shared" si="3"/>
        <v>98.616</v>
      </c>
      <c r="J31" s="5">
        <v>-7.0000000000000007E-2</v>
      </c>
      <c r="K31" s="5">
        <v>0.56000000000000005</v>
      </c>
      <c r="L31" s="6">
        <v>0.86499999999999999</v>
      </c>
      <c r="M31" s="6">
        <v>0.89100000000000001</v>
      </c>
      <c r="N31" s="5"/>
      <c r="O31" s="5"/>
      <c r="P31" s="6">
        <f t="shared" si="13"/>
        <v>0.878</v>
      </c>
      <c r="Q31" s="7">
        <f>1/2.57</f>
        <v>0.38910505836575876</v>
      </c>
      <c r="R31" s="7">
        <f>1/2.54</f>
        <v>0.39370078740157477</v>
      </c>
      <c r="S31" s="5"/>
      <c r="T31" s="5"/>
      <c r="U31" s="7">
        <f t="shared" si="14"/>
        <v>0.39140292288366674</v>
      </c>
      <c r="V31" s="4">
        <f t="shared" si="4"/>
        <v>-0.40737593548050111</v>
      </c>
      <c r="W31" s="7">
        <f t="shared" si="16"/>
        <v>498.75355255297978</v>
      </c>
      <c r="X31" s="5"/>
      <c r="Y31" s="5"/>
      <c r="Z31" s="5"/>
      <c r="AA31" s="5"/>
      <c r="AB31" s="5">
        <v>14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5" spans="21:23" ht="15.75" customHeight="1" x14ac:dyDescent="0.25">
      <c r="U35" s="144" t="s">
        <v>110</v>
      </c>
    </row>
    <row r="36" spans="21:23" ht="15.75" customHeight="1" x14ac:dyDescent="0.25">
      <c r="U36">
        <f>1.95146853256722/25.46</f>
        <v>7.6648410548594656E-2</v>
      </c>
      <c r="W36">
        <f>4.53535688165084/263.13</f>
        <v>1.7236183185690875E-2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96C8-CB8C-438A-8BE8-4C3661F914C5}">
  <sheetPr>
    <outlinePr summaryBelow="0" summaryRight="0"/>
  </sheetPr>
  <dimension ref="A1:AO49"/>
  <sheetViews>
    <sheetView zoomScale="84" zoomScaleNormal="84" workbookViewId="0">
      <pane ySplit="1" topLeftCell="A36" activePane="bottomLeft" state="frozen"/>
      <selection pane="bottomLeft" activeCell="Z101" sqref="Z101"/>
    </sheetView>
  </sheetViews>
  <sheetFormatPr defaultColWidth="12.5546875" defaultRowHeight="15.75" customHeight="1" x14ac:dyDescent="0.25"/>
  <cols>
    <col min="1" max="1" width="22.44140625" customWidth="1"/>
    <col min="3" max="3" width="17.88671875" customWidth="1"/>
    <col min="4" max="4" width="17.33203125" customWidth="1"/>
    <col min="14" max="14" width="7" customWidth="1"/>
    <col min="15" max="15" width="8.5546875" customWidth="1"/>
    <col min="16" max="17" width="7.44140625" customWidth="1"/>
    <col min="18" max="18" width="8.88671875" customWidth="1"/>
    <col min="23" max="23" width="29.44140625" customWidth="1"/>
    <col min="25" max="25" width="31.88671875" customWidth="1"/>
    <col min="27" max="27" width="19" bestFit="1" customWidth="1"/>
    <col min="28" max="28" width="20.5546875" customWidth="1"/>
    <col min="29" max="29" width="18" customWidth="1"/>
  </cols>
  <sheetData>
    <row r="1" spans="1:41" ht="13.8" x14ac:dyDescent="0.3">
      <c r="A1" s="1" t="s">
        <v>0</v>
      </c>
      <c r="B1" s="1" t="s">
        <v>1</v>
      </c>
      <c r="C1" s="28" t="s">
        <v>99</v>
      </c>
      <c r="D1" s="28" t="s">
        <v>100</v>
      </c>
      <c r="E1" s="28" t="s">
        <v>98</v>
      </c>
      <c r="F1" s="1" t="s">
        <v>2</v>
      </c>
      <c r="G1" s="1" t="s">
        <v>3</v>
      </c>
      <c r="H1" s="1" t="s">
        <v>116</v>
      </c>
      <c r="I1" s="1" t="s">
        <v>115</v>
      </c>
      <c r="J1" s="28" t="s">
        <v>105</v>
      </c>
      <c r="K1" s="1" t="s">
        <v>4</v>
      </c>
      <c r="L1" s="1" t="s">
        <v>114</v>
      </c>
      <c r="M1" s="1"/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35" t="s">
        <v>106</v>
      </c>
      <c r="Y1" s="1"/>
      <c r="AA1" s="31" t="s">
        <v>107</v>
      </c>
      <c r="AB1" s="31" t="s">
        <v>108</v>
      </c>
      <c r="AC1" s="31" t="s">
        <v>109</v>
      </c>
    </row>
    <row r="2" spans="1:41" ht="13.2" x14ac:dyDescent="0.25">
      <c r="A2" s="2" t="s">
        <v>16</v>
      </c>
      <c r="B2" s="2" t="s">
        <v>17</v>
      </c>
      <c r="C2" s="2">
        <v>213.3</v>
      </c>
      <c r="D2" s="2">
        <v>212.2</v>
      </c>
      <c r="E2" s="2">
        <v>58.4</v>
      </c>
      <c r="F2" s="2">
        <v>57.2</v>
      </c>
      <c r="G2" s="2" t="s">
        <v>18</v>
      </c>
      <c r="H2" s="4">
        <f t="shared" ref="H2:H42" si="0">(D2*K2)</f>
        <v>-14.854000000000001</v>
      </c>
      <c r="I2" s="4">
        <f>D2*L2</f>
        <v>-36.073999999999998</v>
      </c>
      <c r="J2" s="4">
        <f t="shared" ref="J2:J42" si="1">(D2*M2)</f>
        <v>110.34399999999999</v>
      </c>
      <c r="K2" s="2">
        <v>-7.0000000000000007E-2</v>
      </c>
      <c r="L2" s="2">
        <v>-0.17</v>
      </c>
      <c r="M2" s="2">
        <v>0.52</v>
      </c>
      <c r="N2" s="3">
        <v>0.54600000000000004</v>
      </c>
      <c r="O2" s="3">
        <v>0.54200000000000004</v>
      </c>
      <c r="P2" s="2"/>
      <c r="Q2" s="2"/>
      <c r="R2" s="3">
        <f t="shared" ref="R2:R14" si="2">AVERAGE(N2:P2)</f>
        <v>0.54400000000000004</v>
      </c>
      <c r="S2" s="4">
        <f>1/2.13</f>
        <v>0.46948356807511737</v>
      </c>
      <c r="T2" s="4">
        <f>1/2.04</f>
        <v>0.49019607843137253</v>
      </c>
      <c r="U2" s="2"/>
      <c r="V2" s="2"/>
      <c r="W2" s="4">
        <f t="shared" ref="W2:W14" si="3">AVERAGE(S2:U2)</f>
        <v>0.47983982325324492</v>
      </c>
      <c r="X2" s="4">
        <f>LOG(W2)</f>
        <v>-0.31890371155486019</v>
      </c>
      <c r="Y2" s="4">
        <f>(H2*1.95146853256722)+(J2*4.53535688165084)</f>
        <v>471.46230616612678</v>
      </c>
      <c r="Z2" s="4">
        <f>(Y2-1.3422)/0.9347</f>
        <v>502.96363128931938</v>
      </c>
      <c r="AA2" s="4">
        <f>EXP(Z2/(0.001987203611*373.15))</f>
        <v>3.7536470469926472E+294</v>
      </c>
      <c r="AB2" s="30">
        <f>AA2/(AA2+1)</f>
        <v>1</v>
      </c>
      <c r="AC2" s="4">
        <f>W2/(W2+1)</f>
        <v>0.32425118969860972</v>
      </c>
      <c r="AD2" s="2">
        <v>1</v>
      </c>
      <c r="AE2" s="2"/>
      <c r="AF2" s="4">
        <f>Z2-X2</f>
        <v>503.28253500087425</v>
      </c>
      <c r="AG2" s="2"/>
      <c r="AH2" s="2"/>
      <c r="AI2" s="2"/>
      <c r="AJ2" s="2"/>
      <c r="AK2" s="2"/>
      <c r="AL2" s="2"/>
      <c r="AM2" s="2"/>
      <c r="AN2" s="2"/>
      <c r="AO2" s="2"/>
    </row>
    <row r="3" spans="1:41" ht="13.2" x14ac:dyDescent="0.25">
      <c r="A3" s="2" t="s">
        <v>19</v>
      </c>
      <c r="B3" s="2" t="s">
        <v>17</v>
      </c>
      <c r="C3" s="2">
        <v>213.3</v>
      </c>
      <c r="D3" s="2">
        <v>212.2</v>
      </c>
      <c r="E3" s="2">
        <v>58.4</v>
      </c>
      <c r="F3" s="2">
        <v>57.2</v>
      </c>
      <c r="G3" s="2" t="s">
        <v>20</v>
      </c>
      <c r="H3" s="4">
        <f t="shared" si="0"/>
        <v>-14.854000000000001</v>
      </c>
      <c r="I3" s="4">
        <f t="shared" ref="I3:I42" si="4">D3*L3</f>
        <v>-31.83</v>
      </c>
      <c r="J3" s="4">
        <f t="shared" si="1"/>
        <v>118.83200000000001</v>
      </c>
      <c r="K3" s="2">
        <v>-7.0000000000000007E-2</v>
      </c>
      <c r="L3" s="2">
        <v>-0.15</v>
      </c>
      <c r="M3" s="2">
        <v>0.56000000000000005</v>
      </c>
      <c r="N3" s="3">
        <v>0.64400000000000002</v>
      </c>
      <c r="O3" s="3">
        <v>0.60599999999999998</v>
      </c>
      <c r="P3" s="2"/>
      <c r="Q3" s="2"/>
      <c r="R3" s="3">
        <f t="shared" si="2"/>
        <v>0.625</v>
      </c>
      <c r="S3" s="4">
        <f>1/1.93</f>
        <v>0.5181347150259068</v>
      </c>
      <c r="T3" s="4">
        <f>1/2.04</f>
        <v>0.49019607843137253</v>
      </c>
      <c r="U3" s="2"/>
      <c r="V3" s="2"/>
      <c r="W3" s="4">
        <f t="shared" si="3"/>
        <v>0.50416539672863969</v>
      </c>
      <c r="X3" s="4">
        <f t="shared" ref="X3:X42" si="5">LOG(W3)</f>
        <v>-0.29742696533453861</v>
      </c>
      <c r="Y3" s="4">
        <f>(H3*1.95146853256722)+(J3*4.53535688165084)</f>
        <v>509.95841537757912</v>
      </c>
      <c r="Z3" s="4">
        <f>(Y3-1.3422)/0.9347</f>
        <v>544.14915521298724</v>
      </c>
      <c r="AA3" s="4" t="e">
        <f>EXP(Z3/(0.001987203611*373.15))</f>
        <v>#NUM!</v>
      </c>
      <c r="AB3" s="30" t="e">
        <f>AA3/(AA3+1)</f>
        <v>#NUM!</v>
      </c>
      <c r="AC3" s="4">
        <f>W3/(W3+1)</f>
        <v>0.33517949410691977</v>
      </c>
      <c r="AD3" s="2">
        <v>2</v>
      </c>
      <c r="AE3" s="2"/>
      <c r="AF3" s="4">
        <f>Z3-X3</f>
        <v>544.44658217832182</v>
      </c>
      <c r="AG3" s="2"/>
      <c r="AH3" s="2"/>
      <c r="AI3" s="2"/>
      <c r="AJ3" s="2"/>
      <c r="AK3" s="2"/>
      <c r="AL3" s="2"/>
      <c r="AM3" s="2"/>
      <c r="AN3" s="2"/>
      <c r="AO3" s="2"/>
    </row>
    <row r="4" spans="1:41" ht="13.2" x14ac:dyDescent="0.25">
      <c r="A4" s="2" t="s">
        <v>25</v>
      </c>
      <c r="B4" s="2" t="s">
        <v>17</v>
      </c>
      <c r="C4" s="2">
        <v>213.3</v>
      </c>
      <c r="D4" s="2">
        <v>212.2</v>
      </c>
      <c r="E4" s="2">
        <v>58.4</v>
      </c>
      <c r="F4" s="2">
        <v>57.2</v>
      </c>
      <c r="G4" s="2" t="s">
        <v>26</v>
      </c>
      <c r="H4" s="4">
        <f t="shared" si="0"/>
        <v>25.463999999999999</v>
      </c>
      <c r="I4" s="4">
        <f t="shared" si="4"/>
        <v>-57.294000000000004</v>
      </c>
      <c r="J4" s="4">
        <f t="shared" si="1"/>
        <v>76.391999999999996</v>
      </c>
      <c r="K4" s="2">
        <v>0.12</v>
      </c>
      <c r="L4" s="2">
        <v>-0.27</v>
      </c>
      <c r="M4" s="2">
        <v>0.36</v>
      </c>
      <c r="N4" s="3">
        <v>0.309</v>
      </c>
      <c r="O4" s="3">
        <v>0.32300000000000001</v>
      </c>
      <c r="P4" s="2"/>
      <c r="Q4" s="2"/>
      <c r="R4" s="3">
        <f>AVERAGE(N4:P4)</f>
        <v>0.316</v>
      </c>
      <c r="S4" s="2">
        <f>12.88/1</f>
        <v>12.88</v>
      </c>
      <c r="T4" s="2">
        <f>12.86/1</f>
        <v>12.86</v>
      </c>
      <c r="U4" s="2"/>
      <c r="V4" s="2"/>
      <c r="W4" s="4">
        <f>AVERAGE(S4:U4)</f>
        <v>12.870000000000001</v>
      </c>
      <c r="X4" s="4">
        <f t="shared" si="5"/>
        <v>1.1095785469043866</v>
      </c>
      <c r="Y4" s="4">
        <f>(H4*1.95146853256722)+(J4*4.53535688165084)</f>
        <v>396.15717761636262</v>
      </c>
      <c r="Z4" s="4">
        <f>(Y4-1.3422)/0.9347</f>
        <v>422.39753676726502</v>
      </c>
      <c r="AA4" s="4">
        <f>EXP(Z4/(0.001987203611*373.15))</f>
        <v>2.4474239829845488E+247</v>
      </c>
      <c r="AB4" s="30">
        <f>AA4/(AA4+1)</f>
        <v>1</v>
      </c>
      <c r="AC4" s="4">
        <f>W4/(W4+1)</f>
        <v>0.92790194664744052</v>
      </c>
      <c r="AD4" s="2">
        <v>5</v>
      </c>
      <c r="AE4" s="2"/>
      <c r="AF4" s="4">
        <f>Z4-X4</f>
        <v>421.28795822036062</v>
      </c>
      <c r="AG4" s="2"/>
      <c r="AH4" s="2"/>
      <c r="AI4" s="2"/>
      <c r="AJ4" s="2"/>
      <c r="AK4" s="2"/>
      <c r="AL4" s="2"/>
      <c r="AM4" s="2"/>
      <c r="AN4" s="2"/>
      <c r="AO4" s="2"/>
    </row>
    <row r="5" spans="1:41" ht="13.2" x14ac:dyDescent="0.25">
      <c r="A5" s="13" t="s">
        <v>43</v>
      </c>
      <c r="B5" s="13" t="s">
        <v>42</v>
      </c>
      <c r="C5" s="13">
        <v>176.3</v>
      </c>
      <c r="D5" s="29">
        <v>168.2</v>
      </c>
      <c r="E5" s="13">
        <v>35.799999999999997</v>
      </c>
      <c r="F5" s="13">
        <v>32.799999999999997</v>
      </c>
      <c r="G5" s="13" t="s">
        <v>20</v>
      </c>
      <c r="H5" s="4">
        <f>(D5*K5)</f>
        <v>-11.774000000000001</v>
      </c>
      <c r="I5" s="4">
        <f t="shared" si="4"/>
        <v>-25.229999999999997</v>
      </c>
      <c r="J5" s="4">
        <f>(D5*M5)</f>
        <v>94.192000000000007</v>
      </c>
      <c r="K5" s="13">
        <v>-7.0000000000000007E-2</v>
      </c>
      <c r="L5" s="13">
        <v>-0.15</v>
      </c>
      <c r="M5" s="13">
        <v>0.56000000000000005</v>
      </c>
      <c r="N5" s="14">
        <v>0.85099999999999998</v>
      </c>
      <c r="O5" s="14">
        <v>0.81200000000000006</v>
      </c>
      <c r="P5" s="13"/>
      <c r="Q5" s="13"/>
      <c r="R5" s="14">
        <f t="shared" si="2"/>
        <v>0.83150000000000002</v>
      </c>
      <c r="S5" s="15">
        <f>1/2.41</f>
        <v>0.41493775933609955</v>
      </c>
      <c r="T5" s="15">
        <f>1/2.46</f>
        <v>0.4065040650406504</v>
      </c>
      <c r="U5" s="13"/>
      <c r="V5" s="13"/>
      <c r="W5" s="15">
        <f t="shared" si="3"/>
        <v>0.41072091218837498</v>
      </c>
      <c r="X5" s="4">
        <f>LOG(W5)</f>
        <v>-0.38645318412759438</v>
      </c>
      <c r="Y5" s="15">
        <f>(H5*1.93341236801329)+(J5*4.39773910387027)</f>
        <v>391.46784445076003</v>
      </c>
      <c r="Z5" s="13"/>
      <c r="AA5" s="13"/>
      <c r="AB5" s="13"/>
      <c r="AC5" s="13"/>
      <c r="AD5" s="13">
        <v>9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13.2" x14ac:dyDescent="0.25">
      <c r="A6" s="13" t="s">
        <v>46</v>
      </c>
      <c r="B6" s="13" t="s">
        <v>42</v>
      </c>
      <c r="C6" s="13">
        <v>176.3</v>
      </c>
      <c r="D6" s="29">
        <v>168.2</v>
      </c>
      <c r="E6" s="13">
        <v>35.799999999999997</v>
      </c>
      <c r="F6" s="13">
        <v>32.799999999999997</v>
      </c>
      <c r="G6" s="13" t="s">
        <v>26</v>
      </c>
      <c r="H6" s="4">
        <f t="shared" si="0"/>
        <v>20.183999999999997</v>
      </c>
      <c r="I6" s="4">
        <f t="shared" si="4"/>
        <v>-45.414000000000001</v>
      </c>
      <c r="J6" s="4">
        <f t="shared" si="1"/>
        <v>60.551999999999992</v>
      </c>
      <c r="K6" s="13">
        <v>0.12</v>
      </c>
      <c r="L6" s="13">
        <v>-0.27</v>
      </c>
      <c r="M6" s="13">
        <v>0.36</v>
      </c>
      <c r="N6" s="14">
        <v>0.25700000000000001</v>
      </c>
      <c r="O6" s="14">
        <v>0.28599999999999998</v>
      </c>
      <c r="P6" s="13"/>
      <c r="Q6" s="13"/>
      <c r="R6" s="14">
        <f t="shared" si="2"/>
        <v>0.27149999999999996</v>
      </c>
      <c r="S6" s="15">
        <f>5.32/1</f>
        <v>5.32</v>
      </c>
      <c r="T6" s="15">
        <f>5.39/1</f>
        <v>5.39</v>
      </c>
      <c r="U6" s="13"/>
      <c r="V6" s="13"/>
      <c r="W6" s="15">
        <f t="shared" si="3"/>
        <v>5.3550000000000004</v>
      </c>
      <c r="X6" s="4">
        <f t="shared" si="5"/>
        <v>0.72875947516787443</v>
      </c>
      <c r="Y6" s="15">
        <f>(H6*1.93341236801329)+(J6*4.39773910387027)</f>
        <v>305.31589345353279</v>
      </c>
      <c r="Z6" s="13"/>
      <c r="AA6" s="13"/>
      <c r="AB6" s="13"/>
      <c r="AC6" s="13"/>
      <c r="AD6" s="13">
        <v>33</v>
      </c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</row>
    <row r="7" spans="1:41" ht="13.2" x14ac:dyDescent="0.25">
      <c r="A7" s="13" t="s">
        <v>41</v>
      </c>
      <c r="B7" s="13" t="s">
        <v>42</v>
      </c>
      <c r="C7" s="13">
        <v>176.3</v>
      </c>
      <c r="D7" s="29">
        <v>168.2</v>
      </c>
      <c r="E7" s="13">
        <v>35.799999999999997</v>
      </c>
      <c r="F7" s="13">
        <v>32.799999999999997</v>
      </c>
      <c r="G7" s="13" t="s">
        <v>18</v>
      </c>
      <c r="H7" s="4">
        <f t="shared" si="0"/>
        <v>-11.774000000000001</v>
      </c>
      <c r="I7" s="4">
        <f t="shared" si="4"/>
        <v>-28.594000000000001</v>
      </c>
      <c r="J7" s="4">
        <f t="shared" si="1"/>
        <v>87.463999999999999</v>
      </c>
      <c r="K7" s="13">
        <v>-7.0000000000000007E-2</v>
      </c>
      <c r="L7" s="13">
        <v>-0.17</v>
      </c>
      <c r="M7" s="13">
        <v>0.52</v>
      </c>
      <c r="N7" s="14">
        <v>0.79500000000000004</v>
      </c>
      <c r="O7" s="14">
        <v>0.78400000000000003</v>
      </c>
      <c r="P7" s="13"/>
      <c r="Q7" s="13"/>
      <c r="R7" s="14">
        <f t="shared" si="2"/>
        <v>0.78950000000000009</v>
      </c>
      <c r="S7" s="15">
        <f>0.37/1</f>
        <v>0.37</v>
      </c>
      <c r="T7" s="15">
        <f>0.36/1</f>
        <v>0.36</v>
      </c>
      <c r="U7" s="13"/>
      <c r="V7" s="13"/>
      <c r="W7" s="15">
        <f t="shared" si="3"/>
        <v>0.36499999999999999</v>
      </c>
      <c r="X7" s="4">
        <f t="shared" si="5"/>
        <v>-0.43770713554352531</v>
      </c>
      <c r="Y7" s="15">
        <f>(H7*1.93341236801329)+(J7*4.39773910387027)</f>
        <v>361.87985575992082</v>
      </c>
      <c r="Z7" s="13"/>
      <c r="AA7" s="13"/>
      <c r="AB7" s="13"/>
      <c r="AC7" s="13"/>
      <c r="AD7" s="13">
        <v>31</v>
      </c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 spans="1:41" ht="13.2" x14ac:dyDescent="0.25">
      <c r="A8" s="12" t="s">
        <v>36</v>
      </c>
      <c r="B8" s="9" t="s">
        <v>35</v>
      </c>
      <c r="C8" s="9">
        <v>176.8</v>
      </c>
      <c r="D8" s="9">
        <v>162.5</v>
      </c>
      <c r="E8" s="9">
        <v>40</v>
      </c>
      <c r="F8" s="9">
        <v>34.4</v>
      </c>
      <c r="G8" s="9" t="s">
        <v>20</v>
      </c>
      <c r="H8" s="4">
        <f t="shared" si="0"/>
        <v>-11.375000000000002</v>
      </c>
      <c r="I8" s="4">
        <f t="shared" si="4"/>
        <v>-24.375</v>
      </c>
      <c r="J8" s="4">
        <f t="shared" si="1"/>
        <v>91.000000000000014</v>
      </c>
      <c r="K8" s="9">
        <v>-7.0000000000000007E-2</v>
      </c>
      <c r="L8" s="9">
        <v>-0.15</v>
      </c>
      <c r="M8" s="9">
        <v>0.56000000000000005</v>
      </c>
      <c r="N8" s="10">
        <v>0.59199999999999997</v>
      </c>
      <c r="O8" s="10">
        <v>0.62</v>
      </c>
      <c r="P8" s="9"/>
      <c r="Q8" s="9"/>
      <c r="R8" s="10">
        <f t="shared" si="2"/>
        <v>0.60599999999999998</v>
      </c>
      <c r="S8" s="11">
        <f>1/2.13</f>
        <v>0.46948356807511737</v>
      </c>
      <c r="T8" s="11">
        <f>1/2.13</f>
        <v>0.46948356807511737</v>
      </c>
      <c r="U8" s="9"/>
      <c r="V8" s="9"/>
      <c r="W8" s="11">
        <f t="shared" si="3"/>
        <v>0.46948356807511737</v>
      </c>
      <c r="X8" s="4">
        <f t="shared" si="5"/>
        <v>-0.32837960343873773</v>
      </c>
      <c r="Y8" s="11">
        <f>(H8*1.94760070656381)+(J8*4.59376537994229)</f>
        <v>395.87869153758515</v>
      </c>
      <c r="Z8" s="9"/>
      <c r="AA8" s="9"/>
      <c r="AB8" s="9"/>
      <c r="AC8" s="9"/>
      <c r="AD8" s="9">
        <v>12</v>
      </c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ht="13.2" x14ac:dyDescent="0.25">
      <c r="A9" s="12" t="s">
        <v>40</v>
      </c>
      <c r="B9" s="9" t="s">
        <v>35</v>
      </c>
      <c r="C9" s="9">
        <v>176.8</v>
      </c>
      <c r="D9" s="9">
        <v>162.5</v>
      </c>
      <c r="E9" s="9">
        <v>40</v>
      </c>
      <c r="F9" s="9">
        <v>34.4</v>
      </c>
      <c r="G9" s="9" t="s">
        <v>27</v>
      </c>
      <c r="H9" s="4">
        <f t="shared" si="0"/>
        <v>9.75</v>
      </c>
      <c r="I9" s="4">
        <f t="shared" si="4"/>
        <v>-1.625</v>
      </c>
      <c r="J9" s="4">
        <f t="shared" si="1"/>
        <v>92.624999999999986</v>
      </c>
      <c r="K9" s="9">
        <v>0.06</v>
      </c>
      <c r="L9" s="9">
        <v>-0.01</v>
      </c>
      <c r="M9" s="9">
        <v>0.56999999999999995</v>
      </c>
      <c r="N9" s="10">
        <v>0.51900000000000002</v>
      </c>
      <c r="O9" s="10">
        <v>0.52700000000000002</v>
      </c>
      <c r="P9" s="9"/>
      <c r="Q9" s="9"/>
      <c r="R9" s="10">
        <f t="shared" si="2"/>
        <v>0.52300000000000002</v>
      </c>
      <c r="S9" s="11">
        <f>2.29/1</f>
        <v>2.29</v>
      </c>
      <c r="T9" s="11">
        <f>2.29/1</f>
        <v>2.29</v>
      </c>
      <c r="U9" s="9"/>
      <c r="V9" s="9"/>
      <c r="W9" s="11">
        <f t="shared" si="3"/>
        <v>2.29</v>
      </c>
      <c r="X9" s="4">
        <f t="shared" si="5"/>
        <v>0.35983548233988799</v>
      </c>
      <c r="Y9" s="11">
        <f>(H9*1.94760070656381)+(J9*4.59376537994229)</f>
        <v>444.4866252061517</v>
      </c>
      <c r="Z9" s="9"/>
      <c r="AA9" s="9"/>
      <c r="AB9" s="9"/>
      <c r="AC9" s="9"/>
      <c r="AD9" s="9">
        <v>15</v>
      </c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ht="13.2" x14ac:dyDescent="0.25">
      <c r="A10" s="12" t="s">
        <v>34</v>
      </c>
      <c r="B10" s="9" t="s">
        <v>35</v>
      </c>
      <c r="C10" s="9">
        <v>176.8</v>
      </c>
      <c r="D10" s="9">
        <v>162.5</v>
      </c>
      <c r="E10" s="9">
        <v>40</v>
      </c>
      <c r="F10" s="9">
        <v>34.4</v>
      </c>
      <c r="G10" s="9" t="s">
        <v>18</v>
      </c>
      <c r="H10" s="4">
        <f t="shared" si="0"/>
        <v>-11.375000000000002</v>
      </c>
      <c r="I10" s="4">
        <f t="shared" si="4"/>
        <v>-27.625000000000004</v>
      </c>
      <c r="J10" s="4">
        <f t="shared" si="1"/>
        <v>84.5</v>
      </c>
      <c r="K10" s="9">
        <v>-7.0000000000000007E-2</v>
      </c>
      <c r="L10" s="9">
        <v>-0.17</v>
      </c>
      <c r="M10" s="9">
        <v>0.52</v>
      </c>
      <c r="N10" s="10">
        <v>0.56599999999999995</v>
      </c>
      <c r="O10" s="10">
        <v>0.67800000000000005</v>
      </c>
      <c r="P10" s="9">
        <v>0.61399999999999999</v>
      </c>
      <c r="Q10" s="9"/>
      <c r="R10" s="10">
        <f t="shared" si="2"/>
        <v>0.6193333333333334</v>
      </c>
      <c r="S10" s="11">
        <f>1/2.86</f>
        <v>0.34965034965034969</v>
      </c>
      <c r="T10" s="11">
        <f>1/2.78</f>
        <v>0.35971223021582738</v>
      </c>
      <c r="U10" s="9">
        <f>0.38/1</f>
        <v>0.38</v>
      </c>
      <c r="V10" s="9"/>
      <c r="W10" s="11">
        <f t="shared" si="3"/>
        <v>0.36312085995539239</v>
      </c>
      <c r="X10" s="4">
        <f t="shared" si="5"/>
        <v>-0.43994880175276135</v>
      </c>
      <c r="Y10" s="11">
        <f>(H10*1.94760070656381)+(J10*4.59376537994229)</f>
        <v>366.0192165679602</v>
      </c>
      <c r="Z10" s="9"/>
      <c r="AA10" s="9"/>
      <c r="AB10" s="9"/>
      <c r="AC10" s="9" t="s">
        <v>103</v>
      </c>
      <c r="AD10" s="9">
        <v>25</v>
      </c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 ht="13.2" x14ac:dyDescent="0.25">
      <c r="A11" s="12" t="s">
        <v>39</v>
      </c>
      <c r="B11" s="9" t="s">
        <v>35</v>
      </c>
      <c r="C11" s="9">
        <v>176.8</v>
      </c>
      <c r="D11" s="9">
        <v>162.5</v>
      </c>
      <c r="E11" s="9">
        <v>40</v>
      </c>
      <c r="F11" s="9">
        <v>34.4</v>
      </c>
      <c r="G11" s="9" t="s">
        <v>26</v>
      </c>
      <c r="H11" s="4">
        <f t="shared" si="0"/>
        <v>19.5</v>
      </c>
      <c r="I11" s="4">
        <f t="shared" si="4"/>
        <v>-43.875</v>
      </c>
      <c r="J11" s="4">
        <f t="shared" si="1"/>
        <v>58.5</v>
      </c>
      <c r="K11" s="9">
        <v>0.12</v>
      </c>
      <c r="L11" s="9">
        <v>-0.27</v>
      </c>
      <c r="M11" s="9">
        <v>0.36</v>
      </c>
      <c r="N11" s="10">
        <v>0.54600000000000004</v>
      </c>
      <c r="O11" s="10">
        <v>0.47899999999999998</v>
      </c>
      <c r="P11" s="9">
        <v>0.433</v>
      </c>
      <c r="Q11" s="9"/>
      <c r="R11" s="10">
        <f t="shared" si="2"/>
        <v>0.48599999999999999</v>
      </c>
      <c r="S11" s="11">
        <f>8.84/1</f>
        <v>8.84</v>
      </c>
      <c r="T11" s="11">
        <f>9.2/1</f>
        <v>9.1999999999999993</v>
      </c>
      <c r="U11" s="9">
        <f>9.01/1</f>
        <v>9.01</v>
      </c>
      <c r="V11" s="9"/>
      <c r="W11" s="11">
        <f t="shared" si="3"/>
        <v>9.0166666666666657</v>
      </c>
      <c r="X11" s="4">
        <f t="shared" si="5"/>
        <v>0.95504601472292572</v>
      </c>
      <c r="Y11" s="11">
        <f>(H11*1.94760070656381)+(J11*4.59376537994229)</f>
        <v>306.71348850461828</v>
      </c>
      <c r="Z11" s="9"/>
      <c r="AA11" s="9"/>
      <c r="AB11" s="9"/>
      <c r="AC11" s="9"/>
      <c r="AD11" s="9">
        <v>45</v>
      </c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 s="41" customFormat="1" ht="13.2" x14ac:dyDescent="0.25">
      <c r="A12" s="36" t="s">
        <v>51</v>
      </c>
      <c r="B12" s="37" t="s">
        <v>48</v>
      </c>
      <c r="C12" s="37">
        <v>169.2</v>
      </c>
      <c r="D12" s="37">
        <v>163.30000000000001</v>
      </c>
      <c r="E12" s="37">
        <v>32</v>
      </c>
      <c r="F12" s="37">
        <v>30.2</v>
      </c>
      <c r="G12" s="37" t="s">
        <v>26</v>
      </c>
      <c r="H12" s="4">
        <f t="shared" si="0"/>
        <v>19.596</v>
      </c>
      <c r="I12" s="4">
        <f t="shared" si="4"/>
        <v>-44.091000000000008</v>
      </c>
      <c r="J12" s="4">
        <f t="shared" si="1"/>
        <v>58.788000000000004</v>
      </c>
      <c r="K12" s="37">
        <v>0.12</v>
      </c>
      <c r="L12" s="37">
        <v>-0.27</v>
      </c>
      <c r="M12" s="37">
        <v>0.36</v>
      </c>
      <c r="N12" s="39">
        <v>0.36099999999999999</v>
      </c>
      <c r="O12" s="39">
        <v>0.39500000000000002</v>
      </c>
      <c r="P12" s="37"/>
      <c r="Q12" s="37"/>
      <c r="R12" s="39">
        <f t="shared" si="2"/>
        <v>0.378</v>
      </c>
      <c r="S12" s="40">
        <f>8.6/1</f>
        <v>8.6</v>
      </c>
      <c r="T12" s="40">
        <f>8.6/1</f>
        <v>8.6</v>
      </c>
      <c r="U12" s="37"/>
      <c r="V12" s="37"/>
      <c r="W12" s="40">
        <f t="shared" si="3"/>
        <v>8.6</v>
      </c>
      <c r="X12" s="4">
        <f t="shared" si="5"/>
        <v>0.93449845124356767</v>
      </c>
      <c r="Y12" s="40">
        <f>(H12*2.0233507253693)+(J12*4.79400430188682)</f>
        <v>321.47950571365914</v>
      </c>
      <c r="Z12" s="37"/>
      <c r="AA12" s="37"/>
      <c r="AB12" s="37"/>
      <c r="AC12" s="37"/>
      <c r="AD12" s="37">
        <v>7</v>
      </c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</row>
    <row r="13" spans="1:41" s="41" customFormat="1" ht="13.2" x14ac:dyDescent="0.25">
      <c r="A13" s="37" t="s">
        <v>47</v>
      </c>
      <c r="B13" s="37" t="s">
        <v>48</v>
      </c>
      <c r="C13" s="37">
        <v>169.2</v>
      </c>
      <c r="D13" s="37">
        <v>163.30000000000001</v>
      </c>
      <c r="E13" s="37">
        <v>32</v>
      </c>
      <c r="F13" s="37">
        <v>30.2</v>
      </c>
      <c r="G13" s="37" t="s">
        <v>18</v>
      </c>
      <c r="H13" s="4">
        <f t="shared" si="0"/>
        <v>-11.431000000000003</v>
      </c>
      <c r="I13" s="4">
        <f t="shared" si="4"/>
        <v>-27.761000000000003</v>
      </c>
      <c r="J13" s="4">
        <f t="shared" si="1"/>
        <v>84.916000000000011</v>
      </c>
      <c r="K13" s="37">
        <v>-7.0000000000000007E-2</v>
      </c>
      <c r="L13" s="37">
        <v>-0.17</v>
      </c>
      <c r="M13" s="37">
        <v>0.52</v>
      </c>
      <c r="N13" s="39">
        <v>0.67700000000000005</v>
      </c>
      <c r="O13" s="39">
        <v>0.71399999999999997</v>
      </c>
      <c r="P13" s="37"/>
      <c r="Q13" s="37"/>
      <c r="R13" s="39">
        <f t="shared" si="2"/>
        <v>0.69550000000000001</v>
      </c>
      <c r="S13" s="40">
        <f>1/1.47</f>
        <v>0.68027210884353739</v>
      </c>
      <c r="T13" s="40">
        <f>1/1.52</f>
        <v>0.65789473684210531</v>
      </c>
      <c r="U13" s="37"/>
      <c r="V13" s="37"/>
      <c r="W13" s="40">
        <f t="shared" si="3"/>
        <v>0.6690834228428213</v>
      </c>
      <c r="X13" s="4">
        <f t="shared" si="5"/>
        <v>-0.17451973003250021</v>
      </c>
      <c r="Y13" s="40">
        <f>(H13*2.0233507253693)+(J13*4.79400430188682)</f>
        <v>383.95874715732475</v>
      </c>
      <c r="Z13" s="37"/>
      <c r="AA13" s="37"/>
      <c r="AB13" s="37"/>
      <c r="AC13" s="37"/>
      <c r="AD13" s="37">
        <v>17</v>
      </c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</row>
    <row r="14" spans="1:41" s="41" customFormat="1" ht="13.2" x14ac:dyDescent="0.25">
      <c r="A14" s="36" t="s">
        <v>52</v>
      </c>
      <c r="B14" s="37" t="s">
        <v>48</v>
      </c>
      <c r="C14" s="37">
        <v>169.2</v>
      </c>
      <c r="D14" s="37">
        <v>163.30000000000001</v>
      </c>
      <c r="E14" s="37">
        <v>32</v>
      </c>
      <c r="F14" s="37">
        <v>30.2</v>
      </c>
      <c r="G14" s="37" t="s">
        <v>27</v>
      </c>
      <c r="H14" s="4">
        <f t="shared" si="0"/>
        <v>9.798</v>
      </c>
      <c r="I14" s="4">
        <f t="shared" si="4"/>
        <v>-1.6330000000000002</v>
      </c>
      <c r="J14" s="4">
        <f t="shared" si="1"/>
        <v>93.081000000000003</v>
      </c>
      <c r="K14" s="37">
        <v>0.06</v>
      </c>
      <c r="L14" s="37">
        <v>-0.01</v>
      </c>
      <c r="M14" s="37">
        <v>0.56999999999999995</v>
      </c>
      <c r="N14" s="39">
        <v>0.41199999999999998</v>
      </c>
      <c r="O14" s="39">
        <v>0.49199999999999999</v>
      </c>
      <c r="P14" s="37"/>
      <c r="Q14" s="37"/>
      <c r="R14" s="39">
        <f t="shared" si="2"/>
        <v>0.45199999999999996</v>
      </c>
      <c r="S14" s="40">
        <f>2.54/1</f>
        <v>2.54</v>
      </c>
      <c r="T14" s="40">
        <f>2.54/1</f>
        <v>2.54</v>
      </c>
      <c r="U14" s="37"/>
      <c r="V14" s="37"/>
      <c r="W14" s="40">
        <f t="shared" si="3"/>
        <v>2.54</v>
      </c>
      <c r="X14" s="4">
        <f t="shared" si="5"/>
        <v>0.40483371661993806</v>
      </c>
      <c r="Y14" s="40">
        <f>(H14*2.0233507253693)+(J14*4.79400430188682)</f>
        <v>466.05550483109545</v>
      </c>
      <c r="Z14" s="37"/>
      <c r="AA14" s="37"/>
      <c r="AB14" s="37"/>
      <c r="AC14" s="37"/>
      <c r="AD14" s="37">
        <v>35</v>
      </c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</row>
    <row r="15" spans="1:41" s="41" customFormat="1" ht="13.2" x14ac:dyDescent="0.25">
      <c r="A15" s="36" t="s">
        <v>49</v>
      </c>
      <c r="B15" s="37" t="s">
        <v>48</v>
      </c>
      <c r="C15" s="37">
        <v>169.2</v>
      </c>
      <c r="D15" s="37">
        <v>163.30000000000001</v>
      </c>
      <c r="E15" s="37">
        <v>32</v>
      </c>
      <c r="F15" s="37">
        <v>30.2</v>
      </c>
      <c r="G15" s="37" t="s">
        <v>20</v>
      </c>
      <c r="H15" s="4">
        <f t="shared" si="0"/>
        <v>-11.431000000000003</v>
      </c>
      <c r="I15" s="4">
        <f t="shared" si="4"/>
        <v>-24.495000000000001</v>
      </c>
      <c r="J15" s="4">
        <f t="shared" si="1"/>
        <v>91.448000000000022</v>
      </c>
      <c r="K15" s="37">
        <v>-7.0000000000000007E-2</v>
      </c>
      <c r="L15" s="37">
        <v>-0.15</v>
      </c>
      <c r="M15" s="37">
        <v>0.56000000000000005</v>
      </c>
      <c r="N15" s="39">
        <v>0.73</v>
      </c>
      <c r="O15" s="39">
        <v>0.69499999999999995</v>
      </c>
      <c r="P15" s="37"/>
      <c r="Q15" s="37"/>
      <c r="R15" s="39">
        <f t="shared" ref="R15:R23" si="6">AVERAGE(N15:P15)</f>
        <v>0.71249999999999991</v>
      </c>
      <c r="S15" s="40">
        <f>1/1.01</f>
        <v>0.99009900990099009</v>
      </c>
      <c r="T15" s="40">
        <f>1/1.1</f>
        <v>0.90909090909090906</v>
      </c>
      <c r="U15" s="37"/>
      <c r="V15" s="37"/>
      <c r="W15" s="40">
        <f t="shared" ref="W15:W23" si="7">AVERAGE(S15:U15)</f>
        <v>0.94959495949594963</v>
      </c>
      <c r="X15" s="4">
        <f t="shared" si="5"/>
        <v>-2.2461599307156129E-2</v>
      </c>
      <c r="Y15" s="40">
        <f>(H15*2.0233507253693)+(J15*4.79400430188682)</f>
        <v>415.27318325724951</v>
      </c>
      <c r="Z15" s="37"/>
      <c r="AA15" s="37"/>
      <c r="AB15" s="37"/>
      <c r="AC15" s="37"/>
      <c r="AD15" s="37">
        <v>40</v>
      </c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</row>
    <row r="16" spans="1:41" ht="13.2" x14ac:dyDescent="0.25">
      <c r="A16" s="26" t="s">
        <v>70</v>
      </c>
      <c r="B16" s="23" t="s">
        <v>67</v>
      </c>
      <c r="C16" s="23">
        <v>159</v>
      </c>
      <c r="D16" s="23">
        <v>140.30000000000001</v>
      </c>
      <c r="E16" s="23">
        <v>26.6</v>
      </c>
      <c r="F16" s="23">
        <v>24.4</v>
      </c>
      <c r="G16" s="23" t="s">
        <v>26</v>
      </c>
      <c r="H16" s="4">
        <f t="shared" si="0"/>
        <v>16.836000000000002</v>
      </c>
      <c r="I16" s="4">
        <f t="shared" si="4"/>
        <v>-37.881000000000007</v>
      </c>
      <c r="J16" s="4">
        <f t="shared" si="1"/>
        <v>50.508000000000003</v>
      </c>
      <c r="K16" s="23">
        <v>0.12</v>
      </c>
      <c r="L16" s="23">
        <v>-0.27</v>
      </c>
      <c r="M16" s="23">
        <v>0.36</v>
      </c>
      <c r="N16" s="24">
        <v>0.39100000000000001</v>
      </c>
      <c r="O16" s="24">
        <v>0.36699999999999999</v>
      </c>
      <c r="P16" s="23"/>
      <c r="Q16" s="23"/>
      <c r="R16" s="24">
        <f t="shared" si="6"/>
        <v>0.379</v>
      </c>
      <c r="S16" s="23">
        <f>6.84/1</f>
        <v>6.84</v>
      </c>
      <c r="T16" s="23">
        <f>6.83/1</f>
        <v>6.83</v>
      </c>
      <c r="U16" s="23"/>
      <c r="V16" s="23"/>
      <c r="W16" s="25">
        <f t="shared" si="7"/>
        <v>6.835</v>
      </c>
      <c r="X16" s="4">
        <f t="shared" si="5"/>
        <v>0.8347385189038411</v>
      </c>
      <c r="Y16" s="25">
        <f>(H16*1.95886755305245)+(J16*4.67415289938805)</f>
        <v>269.06160876548267</v>
      </c>
      <c r="Z16" s="23"/>
      <c r="AA16" s="23"/>
      <c r="AB16" s="23"/>
      <c r="AC16" s="23"/>
      <c r="AD16" s="23">
        <v>19</v>
      </c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ht="13.2" x14ac:dyDescent="0.25">
      <c r="A17" s="26" t="s">
        <v>68</v>
      </c>
      <c r="B17" s="23" t="s">
        <v>67</v>
      </c>
      <c r="C17" s="23">
        <v>159</v>
      </c>
      <c r="D17" s="23">
        <v>140.30000000000001</v>
      </c>
      <c r="E17" s="23">
        <v>26.6</v>
      </c>
      <c r="F17" s="23">
        <v>24.4</v>
      </c>
      <c r="G17" s="23" t="s">
        <v>20</v>
      </c>
      <c r="H17" s="4">
        <f t="shared" si="0"/>
        <v>-9.8210000000000015</v>
      </c>
      <c r="I17" s="4">
        <f t="shared" si="4"/>
        <v>-21.045000000000002</v>
      </c>
      <c r="J17" s="4">
        <f t="shared" si="1"/>
        <v>78.568000000000012</v>
      </c>
      <c r="K17" s="23">
        <v>-7.0000000000000007E-2</v>
      </c>
      <c r="L17" s="23">
        <v>-0.15</v>
      </c>
      <c r="M17" s="23">
        <v>0.56000000000000005</v>
      </c>
      <c r="N17" s="24">
        <v>0.48099999999999998</v>
      </c>
      <c r="O17" s="24">
        <v>0.498</v>
      </c>
      <c r="P17" s="23"/>
      <c r="Q17" s="23"/>
      <c r="R17" s="24">
        <f t="shared" si="6"/>
        <v>0.48949999999999999</v>
      </c>
      <c r="S17" s="25">
        <f>1/1.9</f>
        <v>0.52631578947368418</v>
      </c>
      <c r="T17" s="25">
        <f>1/1.87</f>
        <v>0.53475935828876997</v>
      </c>
      <c r="U17" s="23"/>
      <c r="V17" s="23"/>
      <c r="W17" s="25">
        <f t="shared" si="7"/>
        <v>0.53053757388122702</v>
      </c>
      <c r="X17" s="4">
        <f t="shared" si="5"/>
        <v>-0.27528385294751634</v>
      </c>
      <c r="Y17" s="25">
        <f>(H17*1.95886755305245)+(J17*4.67415289938805)</f>
        <v>348.00080676059218</v>
      </c>
      <c r="Z17" s="23"/>
      <c r="AA17" s="23"/>
      <c r="AB17" s="23"/>
      <c r="AC17" s="23"/>
      <c r="AD17" s="23">
        <v>26</v>
      </c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ht="13.2" x14ac:dyDescent="0.25">
      <c r="A18" s="23" t="s">
        <v>66</v>
      </c>
      <c r="B18" s="23" t="s">
        <v>67</v>
      </c>
      <c r="C18" s="23">
        <v>159</v>
      </c>
      <c r="D18" s="23">
        <v>140.30000000000001</v>
      </c>
      <c r="E18" s="23">
        <v>26.6</v>
      </c>
      <c r="F18" s="23">
        <v>24.4</v>
      </c>
      <c r="G18" s="23" t="s">
        <v>18</v>
      </c>
      <c r="H18" s="4">
        <f t="shared" si="0"/>
        <v>-9.8210000000000015</v>
      </c>
      <c r="I18" s="4">
        <f t="shared" si="4"/>
        <v>-23.851000000000003</v>
      </c>
      <c r="J18" s="4">
        <f t="shared" si="1"/>
        <v>72.956000000000003</v>
      </c>
      <c r="K18" s="23">
        <v>-7.0000000000000007E-2</v>
      </c>
      <c r="L18" s="23">
        <v>-0.17</v>
      </c>
      <c r="M18" s="23">
        <v>0.52</v>
      </c>
      <c r="N18" s="24">
        <v>0.47099999999999997</v>
      </c>
      <c r="O18" s="24">
        <v>0.48899999999999999</v>
      </c>
      <c r="P18" s="23"/>
      <c r="Q18" s="23"/>
      <c r="R18" s="24">
        <f t="shared" si="6"/>
        <v>0.48</v>
      </c>
      <c r="S18" s="23">
        <f>0.5/1</f>
        <v>0.5</v>
      </c>
      <c r="T18" s="23">
        <f>0.51/1</f>
        <v>0.51</v>
      </c>
      <c r="U18" s="23"/>
      <c r="V18" s="23"/>
      <c r="W18" s="25">
        <f t="shared" si="7"/>
        <v>0.505</v>
      </c>
      <c r="X18" s="4">
        <f t="shared" si="5"/>
        <v>-0.29670862188133862</v>
      </c>
      <c r="Y18" s="25">
        <f>(H18*1.95886755305245)+(J18*4.67415289938805)</f>
        <v>321.76946068922643</v>
      </c>
      <c r="Z18" s="23"/>
      <c r="AA18" s="23"/>
      <c r="AB18" s="23"/>
      <c r="AC18" s="23"/>
      <c r="AD18" s="23">
        <v>28</v>
      </c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ht="13.2" x14ac:dyDescent="0.25">
      <c r="A19" s="26" t="s">
        <v>71</v>
      </c>
      <c r="B19" s="23" t="s">
        <v>67</v>
      </c>
      <c r="C19" s="23">
        <v>159</v>
      </c>
      <c r="D19" s="23">
        <v>140.30000000000001</v>
      </c>
      <c r="E19" s="23">
        <v>26.6</v>
      </c>
      <c r="F19" s="23">
        <v>24.4</v>
      </c>
      <c r="G19" s="23" t="s">
        <v>27</v>
      </c>
      <c r="H19" s="4">
        <f t="shared" si="0"/>
        <v>8.418000000000001</v>
      </c>
      <c r="I19" s="4">
        <f t="shared" si="4"/>
        <v>-1.4030000000000002</v>
      </c>
      <c r="J19" s="4">
        <f t="shared" si="1"/>
        <v>79.971000000000004</v>
      </c>
      <c r="K19" s="23">
        <v>0.06</v>
      </c>
      <c r="L19" s="23">
        <v>-0.01</v>
      </c>
      <c r="M19" s="23">
        <v>0.56999999999999995</v>
      </c>
      <c r="N19" s="24">
        <v>0.52400000000000002</v>
      </c>
      <c r="O19" s="24">
        <v>0.42499999999999999</v>
      </c>
      <c r="P19" s="24">
        <v>0.40300000000000002</v>
      </c>
      <c r="Q19" s="24"/>
      <c r="R19" s="24">
        <f t="shared" si="6"/>
        <v>0.45066666666666672</v>
      </c>
      <c r="S19" s="23">
        <f>1.88/1</f>
        <v>1.88</v>
      </c>
      <c r="T19" s="23">
        <f>1.83/1</f>
        <v>1.83</v>
      </c>
      <c r="U19" s="23">
        <f>1.8/1</f>
        <v>1.8</v>
      </c>
      <c r="V19" s="23"/>
      <c r="W19" s="25">
        <f t="shared" si="7"/>
        <v>1.8366666666666667</v>
      </c>
      <c r="X19" s="4">
        <f t="shared" si="5"/>
        <v>0.26403034413212262</v>
      </c>
      <c r="Y19" s="25">
        <f>(H19*1.95886755305245)+(J19*4.67415289938805)</f>
        <v>390.28642857855726</v>
      </c>
      <c r="Z19" s="23"/>
      <c r="AA19" s="23"/>
      <c r="AB19" s="23"/>
      <c r="AC19" s="23"/>
      <c r="AD19" s="23">
        <v>30</v>
      </c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</row>
    <row r="20" spans="1:41" ht="13.2" x14ac:dyDescent="0.25">
      <c r="A20" s="20" t="s">
        <v>65</v>
      </c>
      <c r="B20" s="20" t="s">
        <v>61</v>
      </c>
      <c r="C20" s="20">
        <v>142.30000000000001</v>
      </c>
      <c r="D20" s="20">
        <v>139.1</v>
      </c>
      <c r="E20" s="20">
        <v>25.7</v>
      </c>
      <c r="F20" s="20">
        <v>25.7</v>
      </c>
      <c r="G20" s="20" t="s">
        <v>27</v>
      </c>
      <c r="H20" s="4">
        <f t="shared" si="0"/>
        <v>8.3460000000000001</v>
      </c>
      <c r="I20" s="4">
        <f t="shared" si="4"/>
        <v>-1.391</v>
      </c>
      <c r="J20" s="4">
        <f t="shared" si="1"/>
        <v>79.286999999999992</v>
      </c>
      <c r="K20" s="20">
        <v>0.06</v>
      </c>
      <c r="L20" s="20">
        <v>-0.01</v>
      </c>
      <c r="M20" s="20">
        <v>0.56999999999999995</v>
      </c>
      <c r="N20" s="21">
        <v>0.54400000000000004</v>
      </c>
      <c r="O20" s="21">
        <v>0.59199999999999997</v>
      </c>
      <c r="P20" s="20"/>
      <c r="Q20" s="20"/>
      <c r="R20" s="21">
        <f t="shared" si="6"/>
        <v>0.56800000000000006</v>
      </c>
      <c r="S20" s="20">
        <f>2.15/1</f>
        <v>2.15</v>
      </c>
      <c r="T20" s="20">
        <f>2.13/1</f>
        <v>2.13</v>
      </c>
      <c r="U20" s="20"/>
      <c r="V20" s="20"/>
      <c r="W20" s="22">
        <f t="shared" si="7"/>
        <v>2.1399999999999997</v>
      </c>
      <c r="X20" s="4">
        <f t="shared" si="5"/>
        <v>0.33041377334919075</v>
      </c>
      <c r="Y20" s="22">
        <f>(H20*1.94929052566916)+(J20*4.64854508751746)</f>
        <v>384.83797308123167</v>
      </c>
      <c r="Z20" s="20"/>
      <c r="AA20" s="20"/>
      <c r="AB20" s="20"/>
      <c r="AC20" s="20"/>
      <c r="AD20" s="20">
        <v>42</v>
      </c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</row>
    <row r="21" spans="1:41" ht="13.2" x14ac:dyDescent="0.25">
      <c r="A21" s="20" t="s">
        <v>60</v>
      </c>
      <c r="B21" s="20" t="s">
        <v>61</v>
      </c>
      <c r="C21" s="20">
        <v>142.30000000000001</v>
      </c>
      <c r="D21" s="20">
        <v>139.1</v>
      </c>
      <c r="E21" s="20">
        <v>25.7</v>
      </c>
      <c r="F21" s="20">
        <v>25.7</v>
      </c>
      <c r="G21" s="20" t="s">
        <v>18</v>
      </c>
      <c r="H21" s="4">
        <f t="shared" si="0"/>
        <v>-9.7370000000000001</v>
      </c>
      <c r="I21" s="4">
        <f t="shared" si="4"/>
        <v>-23.647000000000002</v>
      </c>
      <c r="J21" s="4">
        <f t="shared" si="1"/>
        <v>72.331999999999994</v>
      </c>
      <c r="K21" s="20">
        <v>-7.0000000000000007E-2</v>
      </c>
      <c r="L21" s="20">
        <v>-0.17</v>
      </c>
      <c r="M21" s="20">
        <v>0.52</v>
      </c>
      <c r="N21" s="21">
        <v>0.52900000000000003</v>
      </c>
      <c r="O21" s="21">
        <v>0.53700000000000003</v>
      </c>
      <c r="P21" s="20"/>
      <c r="Q21" s="20"/>
      <c r="R21" s="21">
        <f t="shared" si="6"/>
        <v>0.53300000000000003</v>
      </c>
      <c r="S21" s="20">
        <f>1/2.17</f>
        <v>0.46082949308755761</v>
      </c>
      <c r="T21" s="20">
        <f>1/2.13</f>
        <v>0.46948356807511737</v>
      </c>
      <c r="U21" s="20"/>
      <c r="V21" s="20"/>
      <c r="W21" s="22">
        <f t="shared" si="7"/>
        <v>0.46515653058133749</v>
      </c>
      <c r="X21" s="4">
        <f t="shared" si="5"/>
        <v>-0.33240087737166191</v>
      </c>
      <c r="Y21" s="22">
        <f>(H21*1.94929052566916)+(J21*4.64854508751746)</f>
        <v>317.25832142187232</v>
      </c>
      <c r="Z21" s="20"/>
      <c r="AA21" s="20"/>
      <c r="AB21" s="20"/>
      <c r="AC21" s="20"/>
      <c r="AD21" s="20">
        <v>23</v>
      </c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</row>
    <row r="22" spans="1:41" ht="13.2" x14ac:dyDescent="0.25">
      <c r="A22" s="20" t="s">
        <v>64</v>
      </c>
      <c r="B22" s="20" t="s">
        <v>61</v>
      </c>
      <c r="C22" s="20">
        <v>142.30000000000001</v>
      </c>
      <c r="D22" s="20">
        <v>139.1</v>
      </c>
      <c r="E22" s="20">
        <v>25.7</v>
      </c>
      <c r="F22" s="20">
        <v>25.7</v>
      </c>
      <c r="G22" s="20" t="s">
        <v>26</v>
      </c>
      <c r="H22" s="4">
        <f t="shared" si="0"/>
        <v>16.692</v>
      </c>
      <c r="I22" s="4">
        <f t="shared" si="4"/>
        <v>-37.557000000000002</v>
      </c>
      <c r="J22" s="4">
        <f t="shared" si="1"/>
        <v>50.075999999999993</v>
      </c>
      <c r="K22" s="20">
        <v>0.12</v>
      </c>
      <c r="L22" s="20">
        <v>-0.27</v>
      </c>
      <c r="M22" s="20">
        <v>0.36</v>
      </c>
      <c r="N22" s="21">
        <v>0.373</v>
      </c>
      <c r="O22" s="21">
        <v>0.28799999999999998</v>
      </c>
      <c r="P22" s="20"/>
      <c r="Q22" s="20"/>
      <c r="R22" s="21">
        <f t="shared" si="6"/>
        <v>0.33050000000000002</v>
      </c>
      <c r="S22" s="20">
        <f>6.12/1</f>
        <v>6.12</v>
      </c>
      <c r="T22" s="20">
        <f>6.14/1</f>
        <v>6.14</v>
      </c>
      <c r="U22" s="20"/>
      <c r="V22" s="20"/>
      <c r="W22" s="22">
        <f t="shared" si="7"/>
        <v>6.13</v>
      </c>
      <c r="X22" s="4">
        <f t="shared" si="5"/>
        <v>0.78746047451841505</v>
      </c>
      <c r="Y22" s="22">
        <f>(H22*1.94929052566916)+(J22*4.64854508751746)</f>
        <v>265.31810125699394</v>
      </c>
      <c r="Z22" s="20"/>
      <c r="AA22" s="20"/>
      <c r="AB22" s="20"/>
      <c r="AC22" s="20"/>
      <c r="AD22" s="20">
        <v>37</v>
      </c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</row>
    <row r="23" spans="1:41" ht="13.2" x14ac:dyDescent="0.25">
      <c r="A23" s="20" t="s">
        <v>62</v>
      </c>
      <c r="B23" s="20" t="s">
        <v>61</v>
      </c>
      <c r="C23" s="20">
        <v>142.30000000000001</v>
      </c>
      <c r="D23" s="20">
        <v>139.1</v>
      </c>
      <c r="E23" s="20">
        <v>25.7</v>
      </c>
      <c r="F23" s="20">
        <v>25.7</v>
      </c>
      <c r="G23" s="20" t="s">
        <v>20</v>
      </c>
      <c r="H23" s="4">
        <f t="shared" si="0"/>
        <v>-9.7370000000000001</v>
      </c>
      <c r="I23" s="4">
        <f t="shared" si="4"/>
        <v>-20.864999999999998</v>
      </c>
      <c r="J23" s="4">
        <f t="shared" si="1"/>
        <v>77.896000000000001</v>
      </c>
      <c r="K23" s="20">
        <v>-7.0000000000000007E-2</v>
      </c>
      <c r="L23" s="20">
        <v>-0.15</v>
      </c>
      <c r="M23" s="20">
        <v>0.56000000000000005</v>
      </c>
      <c r="N23" s="21">
        <v>0.42199999999999999</v>
      </c>
      <c r="O23" s="21">
        <v>0.40300000000000002</v>
      </c>
      <c r="P23" s="20"/>
      <c r="Q23" s="20"/>
      <c r="R23" s="21">
        <f t="shared" si="6"/>
        <v>0.41249999999999998</v>
      </c>
      <c r="S23" s="20">
        <f>1/2.01</f>
        <v>0.49751243781094534</v>
      </c>
      <c r="T23" s="20">
        <f>1/2</f>
        <v>0.5</v>
      </c>
      <c r="U23" s="20"/>
      <c r="V23" s="20"/>
      <c r="W23" s="22">
        <f t="shared" si="7"/>
        <v>0.49875621890547267</v>
      </c>
      <c r="X23" s="4">
        <f t="shared" si="5"/>
        <v>-0.30211167612826895</v>
      </c>
      <c r="Y23" s="22">
        <f>(H23*1.94929052566916)+(J23*4.64854508751746)</f>
        <v>343.12282628881951</v>
      </c>
      <c r="Z23" s="20"/>
      <c r="AA23" s="20"/>
      <c r="AB23" s="20"/>
      <c r="AC23" s="20"/>
      <c r="AD23" s="20">
        <v>44</v>
      </c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</row>
    <row r="24" spans="1:41" ht="13.2" x14ac:dyDescent="0.25">
      <c r="A24" s="16" t="s">
        <v>58</v>
      </c>
      <c r="B24" s="16" t="s">
        <v>54</v>
      </c>
      <c r="C24" s="16">
        <v>159</v>
      </c>
      <c r="D24" s="16">
        <v>149</v>
      </c>
      <c r="E24" s="16">
        <v>28.2</v>
      </c>
      <c r="F24" s="16">
        <v>28.2</v>
      </c>
      <c r="G24" s="16" t="s">
        <v>26</v>
      </c>
      <c r="H24" s="4">
        <f t="shared" si="0"/>
        <v>17.88</v>
      </c>
      <c r="I24" s="4">
        <f t="shared" si="4"/>
        <v>-40.230000000000004</v>
      </c>
      <c r="J24" s="4">
        <f t="shared" si="1"/>
        <v>53.64</v>
      </c>
      <c r="K24" s="16">
        <v>0.12</v>
      </c>
      <c r="L24" s="16">
        <v>-0.27</v>
      </c>
      <c r="M24" s="16">
        <v>0.36</v>
      </c>
      <c r="N24" s="17">
        <v>0.42099999999999999</v>
      </c>
      <c r="O24" s="17">
        <v>0.42499999999999999</v>
      </c>
      <c r="P24" s="16"/>
      <c r="Q24" s="16"/>
      <c r="R24" s="17">
        <f t="shared" ref="R24:R30" si="8">AVERAGE(N24:P24)</f>
        <v>0.42299999999999999</v>
      </c>
      <c r="S24" s="16">
        <f>5.66/1</f>
        <v>5.66</v>
      </c>
      <c r="T24" s="16">
        <f>5.66/1</f>
        <v>5.66</v>
      </c>
      <c r="U24" s="16"/>
      <c r="V24" s="16"/>
      <c r="W24" s="18">
        <f t="shared" ref="W24:W30" si="9">AVERAGE(S24:U24)</f>
        <v>5.66</v>
      </c>
      <c r="X24" s="4">
        <f t="shared" si="5"/>
        <v>0.75281643118827146</v>
      </c>
      <c r="Y24" s="18">
        <f>(H24*1.95614386021232)+(J24*4.63479963587483)</f>
        <v>283.58650468892216</v>
      </c>
      <c r="Z24" s="16"/>
      <c r="AA24" s="16"/>
      <c r="AB24" s="16"/>
      <c r="AC24" s="16"/>
      <c r="AD24" s="16">
        <v>27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</row>
    <row r="25" spans="1:41" ht="13.2" x14ac:dyDescent="0.25">
      <c r="A25" s="16" t="s">
        <v>53</v>
      </c>
      <c r="B25" s="16" t="s">
        <v>54</v>
      </c>
      <c r="C25" s="16">
        <v>159</v>
      </c>
      <c r="D25" s="16">
        <v>149</v>
      </c>
      <c r="E25" s="16">
        <v>28.2</v>
      </c>
      <c r="F25" s="16">
        <v>28.2</v>
      </c>
      <c r="G25" s="16" t="s">
        <v>18</v>
      </c>
      <c r="H25" s="4">
        <f t="shared" si="0"/>
        <v>-10.430000000000001</v>
      </c>
      <c r="I25" s="4">
        <f t="shared" si="4"/>
        <v>-25.330000000000002</v>
      </c>
      <c r="J25" s="4">
        <f t="shared" si="1"/>
        <v>77.48</v>
      </c>
      <c r="K25" s="16">
        <v>-7.0000000000000007E-2</v>
      </c>
      <c r="L25" s="16">
        <v>-0.17</v>
      </c>
      <c r="M25" s="16">
        <v>0.52</v>
      </c>
      <c r="N25" s="17">
        <v>0.65700000000000003</v>
      </c>
      <c r="O25" s="17">
        <v>0.68899999999999995</v>
      </c>
      <c r="P25" s="16"/>
      <c r="Q25" s="16"/>
      <c r="R25" s="17">
        <f t="shared" si="8"/>
        <v>0.67300000000000004</v>
      </c>
      <c r="S25" s="18">
        <f>1/2.44</f>
        <v>0.4098360655737705</v>
      </c>
      <c r="T25" s="18">
        <f>1/2.38</f>
        <v>0.42016806722689076</v>
      </c>
      <c r="U25" s="16"/>
      <c r="V25" s="16"/>
      <c r="W25" s="18">
        <f t="shared" si="9"/>
        <v>0.41500206640033066</v>
      </c>
      <c r="X25" s="4">
        <f t="shared" si="5"/>
        <v>-0.38194974082037297</v>
      </c>
      <c r="Y25" s="18">
        <f>(H25*1.95614386021232)+(J25*4.63479963587483)</f>
        <v>338.70169532556736</v>
      </c>
      <c r="Z25" s="16"/>
      <c r="AA25" s="16"/>
      <c r="AB25" s="16"/>
      <c r="AC25" s="16"/>
      <c r="AD25" s="16">
        <v>29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</row>
    <row r="26" spans="1:41" ht="13.2" x14ac:dyDescent="0.25">
      <c r="A26" s="16" t="s">
        <v>59</v>
      </c>
      <c r="B26" s="16" t="s">
        <v>54</v>
      </c>
      <c r="C26" s="16">
        <v>159</v>
      </c>
      <c r="D26" s="16">
        <v>149</v>
      </c>
      <c r="E26" s="16">
        <v>28.2</v>
      </c>
      <c r="F26" s="16">
        <v>28.2</v>
      </c>
      <c r="G26" s="16" t="s">
        <v>27</v>
      </c>
      <c r="H26" s="4">
        <f t="shared" si="0"/>
        <v>8.94</v>
      </c>
      <c r="I26" s="4">
        <f t="shared" si="4"/>
        <v>-1.49</v>
      </c>
      <c r="J26" s="4">
        <f t="shared" si="1"/>
        <v>84.929999999999993</v>
      </c>
      <c r="K26" s="16">
        <v>0.06</v>
      </c>
      <c r="L26" s="16">
        <v>-0.01</v>
      </c>
      <c r="M26" s="16">
        <v>0.56999999999999995</v>
      </c>
      <c r="N26" s="17">
        <v>0.501</v>
      </c>
      <c r="O26" s="17">
        <v>0.48399999999999999</v>
      </c>
      <c r="P26" s="16"/>
      <c r="Q26" s="16"/>
      <c r="R26" s="17">
        <f t="shared" si="8"/>
        <v>0.49249999999999999</v>
      </c>
      <c r="S26" s="19">
        <f>2.28/1</f>
        <v>2.2799999999999998</v>
      </c>
      <c r="T26" s="16">
        <f>2.2/1</f>
        <v>2.2000000000000002</v>
      </c>
      <c r="U26" s="17"/>
      <c r="V26" s="17"/>
      <c r="W26" s="19">
        <f t="shared" si="9"/>
        <v>2.2400000000000002</v>
      </c>
      <c r="X26" s="4">
        <f t="shared" si="5"/>
        <v>0.35024801833416286</v>
      </c>
      <c r="Y26" s="18">
        <f>(H26*1.95614386021232)+(J26*4.63479963587483)</f>
        <v>411.12145918514744</v>
      </c>
      <c r="Z26" s="18"/>
      <c r="AA26" s="18"/>
      <c r="AB26" s="16"/>
      <c r="AC26" s="16"/>
      <c r="AD26" s="16">
        <v>38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</row>
    <row r="27" spans="1:41" ht="13.2" x14ac:dyDescent="0.25">
      <c r="A27" s="16" t="s">
        <v>55</v>
      </c>
      <c r="B27" s="16" t="s">
        <v>54</v>
      </c>
      <c r="C27" s="16">
        <v>159</v>
      </c>
      <c r="D27" s="16">
        <v>149</v>
      </c>
      <c r="E27" s="16">
        <v>28.2</v>
      </c>
      <c r="F27" s="16">
        <v>28.2</v>
      </c>
      <c r="G27" s="16" t="s">
        <v>20</v>
      </c>
      <c r="H27" s="4">
        <f t="shared" si="0"/>
        <v>-10.430000000000001</v>
      </c>
      <c r="I27" s="4">
        <f t="shared" si="4"/>
        <v>-22.349999999999998</v>
      </c>
      <c r="J27" s="4">
        <f t="shared" si="1"/>
        <v>83.440000000000012</v>
      </c>
      <c r="K27" s="16">
        <v>-7.0000000000000007E-2</v>
      </c>
      <c r="L27" s="16">
        <v>-0.15</v>
      </c>
      <c r="M27" s="16">
        <v>0.56000000000000005</v>
      </c>
      <c r="N27" s="17">
        <v>0.56699999999999995</v>
      </c>
      <c r="O27" s="17">
        <v>0.625</v>
      </c>
      <c r="P27" s="16"/>
      <c r="Q27" s="16"/>
      <c r="R27" s="17">
        <f t="shared" si="8"/>
        <v>0.59599999999999997</v>
      </c>
      <c r="S27" s="19">
        <f>1/2.29</f>
        <v>0.4366812227074236</v>
      </c>
      <c r="T27" s="16">
        <f>1/2.33</f>
        <v>0.42918454935622319</v>
      </c>
      <c r="U27" s="17"/>
      <c r="V27" s="17"/>
      <c r="W27" s="19">
        <f t="shared" si="9"/>
        <v>0.43293288603182339</v>
      </c>
      <c r="X27" s="4">
        <f t="shared" si="5"/>
        <v>-0.36357942347376265</v>
      </c>
      <c r="Y27" s="18">
        <f>(H27*1.95614386021232)+(J27*4.63479963587483)</f>
        <v>366.32510115538139</v>
      </c>
      <c r="Z27" s="18"/>
      <c r="AA27" s="18"/>
      <c r="AB27" s="16"/>
      <c r="AC27" s="16"/>
      <c r="AD27" s="16">
        <v>18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</row>
    <row r="28" spans="1:41" ht="13.2" x14ac:dyDescent="0.25">
      <c r="A28" s="5" t="s">
        <v>28</v>
      </c>
      <c r="B28" s="5" t="s">
        <v>29</v>
      </c>
      <c r="C28" s="5">
        <v>176.1</v>
      </c>
      <c r="D28" s="5">
        <v>176.1</v>
      </c>
      <c r="E28" s="5">
        <v>36.299999999999997</v>
      </c>
      <c r="F28" s="5">
        <v>36.299999999999997</v>
      </c>
      <c r="G28" s="5" t="s">
        <v>18</v>
      </c>
      <c r="H28" s="4">
        <f t="shared" si="0"/>
        <v>-12.327</v>
      </c>
      <c r="I28" s="4">
        <f t="shared" si="4"/>
        <v>-29.937000000000001</v>
      </c>
      <c r="J28" s="4">
        <f t="shared" si="1"/>
        <v>91.572000000000003</v>
      </c>
      <c r="K28" s="5">
        <v>-7.0000000000000007E-2</v>
      </c>
      <c r="L28" s="5">
        <v>-0.17</v>
      </c>
      <c r="M28" s="5">
        <v>0.52</v>
      </c>
      <c r="N28" s="6">
        <v>0.81200000000000006</v>
      </c>
      <c r="O28" s="6">
        <v>0.78900000000000003</v>
      </c>
      <c r="P28" s="5"/>
      <c r="Q28" s="5"/>
      <c r="R28" s="6">
        <f t="shared" si="8"/>
        <v>0.80049999999999999</v>
      </c>
      <c r="S28" s="7">
        <f>1/2.78</f>
        <v>0.35971223021582738</v>
      </c>
      <c r="T28" s="7">
        <f>1/2.7</f>
        <v>0.37037037037037035</v>
      </c>
      <c r="U28" s="5"/>
      <c r="V28" s="5"/>
      <c r="W28" s="7">
        <f t="shared" si="9"/>
        <v>0.36504130029309889</v>
      </c>
      <c r="X28" s="4">
        <f t="shared" si="5"/>
        <v>-0.43765799725667559</v>
      </c>
      <c r="Y28" s="7">
        <f>(H28*1.93364530371663)+(J28*4.34239613221004)</f>
        <v>373.80585295982291</v>
      </c>
      <c r="Z28" s="5"/>
      <c r="AA28" s="5"/>
      <c r="AB28" s="5"/>
      <c r="AC28" s="5"/>
      <c r="AD28" s="5">
        <v>16</v>
      </c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1:41" ht="13.2" x14ac:dyDescent="0.25">
      <c r="A29" s="8" t="s">
        <v>33</v>
      </c>
      <c r="B29" s="5" t="s">
        <v>29</v>
      </c>
      <c r="C29" s="5">
        <v>176.1</v>
      </c>
      <c r="D29" s="5">
        <v>176.1</v>
      </c>
      <c r="E29" s="5">
        <v>36.299999999999997</v>
      </c>
      <c r="F29" s="5">
        <v>36.299999999999997</v>
      </c>
      <c r="G29" s="5" t="s">
        <v>26</v>
      </c>
      <c r="H29" s="4">
        <f t="shared" si="0"/>
        <v>21.131999999999998</v>
      </c>
      <c r="I29" s="4">
        <f t="shared" si="4"/>
        <v>-47.547000000000004</v>
      </c>
      <c r="J29" s="4">
        <f t="shared" si="1"/>
        <v>63.395999999999994</v>
      </c>
      <c r="K29" s="5">
        <v>0.12</v>
      </c>
      <c r="L29" s="5">
        <v>-0.27</v>
      </c>
      <c r="M29" s="5">
        <v>0.36</v>
      </c>
      <c r="N29" s="6">
        <v>0.3</v>
      </c>
      <c r="O29" s="6">
        <v>0.29699999999999999</v>
      </c>
      <c r="P29" s="5"/>
      <c r="Q29" s="5"/>
      <c r="R29" s="6">
        <f t="shared" si="8"/>
        <v>0.29849999999999999</v>
      </c>
      <c r="S29" s="5">
        <f>5.28/1</f>
        <v>5.28</v>
      </c>
      <c r="T29" s="5">
        <f>5.2/1</f>
        <v>5.2</v>
      </c>
      <c r="U29" s="5"/>
      <c r="V29" s="5"/>
      <c r="W29" s="5">
        <f t="shared" si="9"/>
        <v>5.24</v>
      </c>
      <c r="X29" s="4">
        <f t="shared" si="5"/>
        <v>0.71933128698372661</v>
      </c>
      <c r="Y29" s="7">
        <f>(H29*1.93364530371663)+(J29*4.34239613221004)</f>
        <v>316.1523377557275</v>
      </c>
      <c r="Z29" s="5"/>
      <c r="AA29" s="5"/>
      <c r="AB29" s="5"/>
      <c r="AC29" s="5">
        <f>W29/(W29+1)</f>
        <v>0.83974358974358976</v>
      </c>
      <c r="AD29" s="5">
        <v>34</v>
      </c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1:41" ht="13.2" x14ac:dyDescent="0.25">
      <c r="A30" s="8" t="s">
        <v>30</v>
      </c>
      <c r="B30" s="5" t="s">
        <v>29</v>
      </c>
      <c r="C30" s="5">
        <v>176.1</v>
      </c>
      <c r="D30" s="5">
        <v>176.1</v>
      </c>
      <c r="E30" s="5">
        <v>36.299999999999997</v>
      </c>
      <c r="F30" s="5">
        <v>36.299999999999997</v>
      </c>
      <c r="G30" s="5" t="s">
        <v>20</v>
      </c>
      <c r="H30" s="4">
        <f t="shared" si="0"/>
        <v>-12.327</v>
      </c>
      <c r="I30" s="4">
        <f t="shared" si="4"/>
        <v>-26.414999999999999</v>
      </c>
      <c r="J30" s="4">
        <f t="shared" si="1"/>
        <v>98.616</v>
      </c>
      <c r="K30" s="5">
        <v>-7.0000000000000007E-2</v>
      </c>
      <c r="L30" s="5">
        <v>-0.15</v>
      </c>
      <c r="M30" s="5">
        <v>0.56000000000000005</v>
      </c>
      <c r="N30" s="6">
        <v>0.86499999999999999</v>
      </c>
      <c r="O30" s="6">
        <v>0.89100000000000001</v>
      </c>
      <c r="P30" s="5"/>
      <c r="Q30" s="5"/>
      <c r="R30" s="6">
        <f t="shared" si="8"/>
        <v>0.878</v>
      </c>
      <c r="S30" s="7">
        <f>1/2.57</f>
        <v>0.38910505836575876</v>
      </c>
      <c r="T30" s="7">
        <f>1/2.54</f>
        <v>0.39370078740157477</v>
      </c>
      <c r="U30" s="5"/>
      <c r="V30" s="5"/>
      <c r="W30" s="7">
        <f t="shared" si="9"/>
        <v>0.39140292288366674</v>
      </c>
      <c r="X30" s="4">
        <f t="shared" si="5"/>
        <v>-0.40737593548050111</v>
      </c>
      <c r="Y30" s="7">
        <f>(H30*1.93364530371663)+(J30*4.34239613221004)</f>
        <v>404.39369131511046</v>
      </c>
      <c r="Z30" s="5"/>
      <c r="AA30" s="5"/>
      <c r="AB30" s="5"/>
      <c r="AC30" s="5"/>
      <c r="AD30" s="5">
        <v>14</v>
      </c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1:41" s="70" customFormat="1" ht="13.2" x14ac:dyDescent="0.25">
      <c r="A31" s="78" t="s">
        <v>44</v>
      </c>
      <c r="B31" s="78" t="s">
        <v>42</v>
      </c>
      <c r="C31" s="78">
        <v>176.3</v>
      </c>
      <c r="D31" s="79">
        <v>168.2</v>
      </c>
      <c r="E31" s="78">
        <v>35.799999999999997</v>
      </c>
      <c r="F31" s="78">
        <v>32.799999999999997</v>
      </c>
      <c r="G31" s="78" t="s">
        <v>22</v>
      </c>
      <c r="H31" s="4">
        <f t="shared" si="0"/>
        <v>-11.774000000000001</v>
      </c>
      <c r="I31" s="4">
        <f t="shared" si="4"/>
        <v>-25.229999999999997</v>
      </c>
      <c r="J31" s="4">
        <f t="shared" si="1"/>
        <v>127.83199999999999</v>
      </c>
      <c r="K31" s="78">
        <v>-7.0000000000000007E-2</v>
      </c>
      <c r="L31" s="78">
        <v>-0.15</v>
      </c>
      <c r="M31" s="78">
        <v>0.76</v>
      </c>
      <c r="N31" s="80">
        <v>0.74299999999999999</v>
      </c>
      <c r="O31" s="80">
        <v>0.82699999999999996</v>
      </c>
      <c r="P31" s="78"/>
      <c r="Q31" s="78"/>
      <c r="R31" s="80">
        <f>AVERAGE(N31:P31)</f>
        <v>0.78499999999999992</v>
      </c>
      <c r="S31" s="81">
        <f>1/1.17</f>
        <v>0.85470085470085477</v>
      </c>
      <c r="T31" s="81">
        <f>1/1.2</f>
        <v>0.83333333333333337</v>
      </c>
      <c r="U31" s="78"/>
      <c r="V31" s="78"/>
      <c r="W31" s="81">
        <f>AVERAGE(S31:U31)</f>
        <v>0.84401709401709413</v>
      </c>
      <c r="X31" s="4">
        <f t="shared" si="5"/>
        <v>-7.3648757447663749E-2</v>
      </c>
      <c r="Y31" s="81">
        <f>(H31*1.93341236801329)+(J31*4.39773910387027)</f>
        <v>539.40778790495585</v>
      </c>
      <c r="Z31" s="78"/>
      <c r="AA31" s="78"/>
      <c r="AB31" s="78"/>
      <c r="AC31" s="78"/>
      <c r="AD31" s="78">
        <v>32</v>
      </c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</row>
    <row r="32" spans="1:41" s="70" customFormat="1" ht="13.2" x14ac:dyDescent="0.25">
      <c r="A32" s="78" t="s">
        <v>45</v>
      </c>
      <c r="B32" s="78" t="s">
        <v>42</v>
      </c>
      <c r="C32" s="78">
        <v>176.3</v>
      </c>
      <c r="D32" s="79">
        <v>168.2</v>
      </c>
      <c r="E32" s="78">
        <v>35.799999999999997</v>
      </c>
      <c r="F32" s="78">
        <v>32.799999999999997</v>
      </c>
      <c r="G32" s="78" t="s">
        <v>24</v>
      </c>
      <c r="H32" s="4">
        <f t="shared" si="0"/>
        <v>-16.82</v>
      </c>
      <c r="I32" s="4">
        <f t="shared" si="4"/>
        <v>-33.64</v>
      </c>
      <c r="J32" s="4">
        <f t="shared" si="1"/>
        <v>208.56799999999998</v>
      </c>
      <c r="K32" s="78">
        <v>-0.1</v>
      </c>
      <c r="L32" s="78">
        <v>-0.2</v>
      </c>
      <c r="M32" s="78">
        <v>1.24</v>
      </c>
      <c r="N32" s="80">
        <v>0.90600000000000003</v>
      </c>
      <c r="O32" s="80">
        <v>0.86599999999999999</v>
      </c>
      <c r="P32" s="78"/>
      <c r="Q32" s="78"/>
      <c r="R32" s="80">
        <f>AVERAGE(N32:P32)</f>
        <v>0.88600000000000001</v>
      </c>
      <c r="S32" s="81">
        <f>7.69/1</f>
        <v>7.69</v>
      </c>
      <c r="T32" s="81">
        <f>7.69/1</f>
        <v>7.69</v>
      </c>
      <c r="U32" s="78"/>
      <c r="V32" s="78"/>
      <c r="W32" s="81">
        <f>AVERAGE(S32:U32)</f>
        <v>7.69</v>
      </c>
      <c r="X32" s="4">
        <f t="shared" si="5"/>
        <v>0.8859263398014311</v>
      </c>
      <c r="Y32" s="81">
        <f>(H32*1.93341236801329)+(J32*4.39773910387027)</f>
        <v>884.70765338603087</v>
      </c>
      <c r="Z32" s="78"/>
      <c r="AA32" s="78"/>
      <c r="AB32" s="78"/>
      <c r="AC32" s="78"/>
      <c r="AD32" s="78">
        <v>41</v>
      </c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</row>
    <row r="33" spans="1:41" s="70" customFormat="1" ht="13.2" x14ac:dyDescent="0.25">
      <c r="A33" s="146" t="s">
        <v>37</v>
      </c>
      <c r="B33" s="147" t="s">
        <v>35</v>
      </c>
      <c r="C33" s="147">
        <v>176.8</v>
      </c>
      <c r="D33" s="147">
        <v>162.5</v>
      </c>
      <c r="E33" s="147">
        <v>40</v>
      </c>
      <c r="F33" s="147">
        <v>34.4</v>
      </c>
      <c r="G33" s="147" t="s">
        <v>22</v>
      </c>
      <c r="H33" s="4">
        <f t="shared" si="0"/>
        <v>-11.375000000000002</v>
      </c>
      <c r="I33" s="4">
        <f t="shared" si="4"/>
        <v>-24.375</v>
      </c>
      <c r="J33" s="4">
        <f t="shared" si="1"/>
        <v>123.5</v>
      </c>
      <c r="K33" s="147">
        <v>-7.0000000000000007E-2</v>
      </c>
      <c r="L33" s="147">
        <v>-0.15</v>
      </c>
      <c r="M33" s="147">
        <v>0.76</v>
      </c>
      <c r="N33" s="148">
        <v>0.51800000000000002</v>
      </c>
      <c r="O33" s="148">
        <v>0.44500000000000001</v>
      </c>
      <c r="P33" s="147"/>
      <c r="Q33" s="147"/>
      <c r="R33" s="148">
        <f>AVERAGE(N33:P33)</f>
        <v>0.48150000000000004</v>
      </c>
      <c r="S33" s="149">
        <f>1/1.04</f>
        <v>0.96153846153846145</v>
      </c>
      <c r="T33" s="149">
        <f>1/1.1</f>
        <v>0.90909090909090906</v>
      </c>
      <c r="U33" s="147"/>
      <c r="V33" s="147"/>
      <c r="W33" s="149">
        <f>AVERAGE(S33:U33)</f>
        <v>0.9353146853146852</v>
      </c>
      <c r="X33" s="4">
        <f t="shared" si="5"/>
        <v>-2.9042246771795809E-2</v>
      </c>
      <c r="Y33" s="149">
        <f>(H33*1.94760070656381)+(J33*4.59376537994229)</f>
        <v>545.17606638570953</v>
      </c>
      <c r="Z33" s="147"/>
      <c r="AA33" s="147"/>
      <c r="AB33" s="147"/>
      <c r="AC33" s="147"/>
      <c r="AD33" s="147">
        <v>22</v>
      </c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  <c r="AO33" s="147"/>
    </row>
    <row r="34" spans="1:41" s="70" customFormat="1" ht="13.2" x14ac:dyDescent="0.25">
      <c r="A34" s="146" t="s">
        <v>38</v>
      </c>
      <c r="B34" s="147" t="s">
        <v>35</v>
      </c>
      <c r="C34" s="147">
        <v>176.8</v>
      </c>
      <c r="D34" s="147">
        <v>162.5</v>
      </c>
      <c r="E34" s="147">
        <v>40</v>
      </c>
      <c r="F34" s="147">
        <v>34.4</v>
      </c>
      <c r="G34" s="147" t="s">
        <v>24</v>
      </c>
      <c r="H34" s="4">
        <f t="shared" si="0"/>
        <v>-16.25</v>
      </c>
      <c r="I34" s="4">
        <f t="shared" si="4"/>
        <v>-32.5</v>
      </c>
      <c r="J34" s="4">
        <f t="shared" si="1"/>
        <v>201.5</v>
      </c>
      <c r="K34" s="147">
        <v>-0.1</v>
      </c>
      <c r="L34" s="78">
        <v>-0.2</v>
      </c>
      <c r="M34" s="78">
        <v>1.24</v>
      </c>
      <c r="N34" s="148">
        <v>0.27300000000000002</v>
      </c>
      <c r="O34" s="148">
        <v>0.155</v>
      </c>
      <c r="P34" s="147">
        <v>9.2999999999999999E-2</v>
      </c>
      <c r="Q34" s="147"/>
      <c r="R34" s="148">
        <f>AVERAGE(N34:P34)</f>
        <v>0.17366666666666666</v>
      </c>
      <c r="S34" s="149">
        <f>4.15/1</f>
        <v>4.1500000000000004</v>
      </c>
      <c r="T34" s="149">
        <v>3.63</v>
      </c>
      <c r="U34" s="147">
        <v>3.64</v>
      </c>
      <c r="V34" s="147"/>
      <c r="W34" s="149">
        <f>AVERAGE(S34:U34)</f>
        <v>3.8066666666666666</v>
      </c>
      <c r="X34" s="4">
        <f t="shared" si="5"/>
        <v>0.5805448491901668</v>
      </c>
      <c r="Y34" s="149">
        <f>(H34*1.94760070656381)+(J34*4.59376537994229)</f>
        <v>893.9952125767096</v>
      </c>
      <c r="Z34" s="147"/>
      <c r="AA34" s="147"/>
      <c r="AB34" s="147"/>
      <c r="AC34" s="147"/>
      <c r="AD34" s="147">
        <v>10</v>
      </c>
      <c r="AE34" s="147"/>
      <c r="AF34" s="147"/>
      <c r="AG34" s="147"/>
      <c r="AH34" s="147"/>
      <c r="AI34" s="147"/>
      <c r="AJ34" s="147"/>
      <c r="AK34" s="147"/>
      <c r="AL34" s="147"/>
      <c r="AM34" s="147"/>
      <c r="AN34" s="147"/>
      <c r="AO34" s="147"/>
    </row>
    <row r="35" spans="1:41" s="70" customFormat="1" ht="13.2" x14ac:dyDescent="0.25">
      <c r="A35" s="101" t="s">
        <v>73</v>
      </c>
      <c r="B35" s="99" t="s">
        <v>48</v>
      </c>
      <c r="C35" s="99">
        <v>169.2</v>
      </c>
      <c r="D35" s="99">
        <v>163.30000000000001</v>
      </c>
      <c r="E35" s="99">
        <v>32</v>
      </c>
      <c r="F35" s="99">
        <v>30.2</v>
      </c>
      <c r="G35" s="99" t="s">
        <v>24</v>
      </c>
      <c r="H35" s="4">
        <f t="shared" si="0"/>
        <v>-16.330000000000002</v>
      </c>
      <c r="I35" s="4">
        <f t="shared" si="4"/>
        <v>-32.660000000000004</v>
      </c>
      <c r="J35" s="4">
        <f t="shared" si="1"/>
        <v>202.49200000000002</v>
      </c>
      <c r="K35" s="99">
        <v>-0.1</v>
      </c>
      <c r="L35" s="78">
        <v>-0.2</v>
      </c>
      <c r="M35" s="78">
        <v>1.24</v>
      </c>
      <c r="N35" s="103">
        <v>0.19800000000000001</v>
      </c>
      <c r="O35" s="103">
        <v>0.22900000000000001</v>
      </c>
      <c r="P35" s="103"/>
      <c r="Q35" s="103"/>
      <c r="R35" s="103">
        <f>AVERAGE(N35:Q35)</f>
        <v>0.21350000000000002</v>
      </c>
      <c r="S35" s="99">
        <v>3.26</v>
      </c>
      <c r="T35" s="99">
        <v>3.22</v>
      </c>
      <c r="U35" s="99"/>
      <c r="V35" s="99"/>
      <c r="W35" s="77">
        <f>AVERAGE(S35:V35)</f>
        <v>3.24</v>
      </c>
      <c r="X35" s="4">
        <f t="shared" si="5"/>
        <v>0.51054501020661214</v>
      </c>
      <c r="Y35" s="77">
        <f>(H35*2.0233507253693)+(J35*4.79400430188682)</f>
        <v>937.70620175238537</v>
      </c>
      <c r="Z35" s="99"/>
      <c r="AA35" s="99"/>
      <c r="AB35" s="99"/>
      <c r="AC35" s="99"/>
      <c r="AD35" s="99">
        <v>39</v>
      </c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</row>
    <row r="36" spans="1:41" s="70" customFormat="1" ht="13.2" x14ac:dyDescent="0.25">
      <c r="A36" s="101" t="s">
        <v>50</v>
      </c>
      <c r="B36" s="99" t="s">
        <v>48</v>
      </c>
      <c r="C36" s="99">
        <v>169.2</v>
      </c>
      <c r="D36" s="99">
        <v>163.30000000000001</v>
      </c>
      <c r="E36" s="99">
        <v>32</v>
      </c>
      <c r="F36" s="99">
        <v>30.2</v>
      </c>
      <c r="G36" s="99" t="s">
        <v>22</v>
      </c>
      <c r="H36" s="4">
        <f t="shared" si="0"/>
        <v>-11.431000000000003</v>
      </c>
      <c r="I36" s="4">
        <f t="shared" si="4"/>
        <v>-24.495000000000001</v>
      </c>
      <c r="J36" s="4">
        <f t="shared" si="1"/>
        <v>124.108</v>
      </c>
      <c r="K36" s="99">
        <v>-7.0000000000000007E-2</v>
      </c>
      <c r="L36" s="99">
        <v>-0.15</v>
      </c>
      <c r="M36" s="99">
        <v>0.76</v>
      </c>
      <c r="N36" s="100">
        <v>0.72399999999999998</v>
      </c>
      <c r="O36" s="100">
        <v>0.68799999999999994</v>
      </c>
      <c r="P36" s="99"/>
      <c r="Q36" s="99"/>
      <c r="R36" s="100">
        <f>AVERAGE(N36:P36)</f>
        <v>0.70599999999999996</v>
      </c>
      <c r="S36" s="77">
        <v>1.45</v>
      </c>
      <c r="T36" s="77">
        <v>1.51</v>
      </c>
      <c r="U36" s="99"/>
      <c r="V36" s="99"/>
      <c r="W36" s="77">
        <f>AVERAGE(S36:U36)</f>
        <v>1.48</v>
      </c>
      <c r="X36" s="4">
        <f t="shared" si="5"/>
        <v>0.17026171539495738</v>
      </c>
      <c r="Y36" s="77">
        <f>(H36*2.0233507253693)+(J36*4.79400430188682)</f>
        <v>571.84536375687298</v>
      </c>
      <c r="Z36" s="99"/>
      <c r="AA36" s="99"/>
      <c r="AB36" s="99"/>
      <c r="AC36" s="99"/>
      <c r="AD36" s="99">
        <v>21</v>
      </c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</row>
    <row r="37" spans="1:41" s="70" customFormat="1" ht="13.2" x14ac:dyDescent="0.25">
      <c r="A37" s="74" t="s">
        <v>69</v>
      </c>
      <c r="B37" s="71" t="s">
        <v>67</v>
      </c>
      <c r="C37" s="71">
        <v>159</v>
      </c>
      <c r="D37" s="71">
        <v>140.30000000000001</v>
      </c>
      <c r="E37" s="71">
        <v>26.6</v>
      </c>
      <c r="F37" s="71">
        <v>24.4</v>
      </c>
      <c r="G37" s="71" t="s">
        <v>22</v>
      </c>
      <c r="H37" s="4">
        <f t="shared" si="0"/>
        <v>-9.8210000000000015</v>
      </c>
      <c r="I37" s="4">
        <f t="shared" si="4"/>
        <v>-21.045000000000002</v>
      </c>
      <c r="J37" s="4">
        <f t="shared" si="1"/>
        <v>106.62800000000001</v>
      </c>
      <c r="K37" s="71">
        <v>-7.0000000000000007E-2</v>
      </c>
      <c r="L37" s="71">
        <v>-0.15</v>
      </c>
      <c r="M37" s="71">
        <v>0.76</v>
      </c>
      <c r="N37" s="72">
        <v>0.505</v>
      </c>
      <c r="O37" s="72">
        <v>0.45400000000000001</v>
      </c>
      <c r="P37" s="71"/>
      <c r="Q37" s="71"/>
      <c r="R37" s="72">
        <f>AVERAGE(N37:P37)</f>
        <v>0.47950000000000004</v>
      </c>
      <c r="S37" s="73">
        <f>1/1.62</f>
        <v>0.61728395061728392</v>
      </c>
      <c r="T37" s="73">
        <f>1/1.66</f>
        <v>0.60240963855421692</v>
      </c>
      <c r="U37" s="71"/>
      <c r="V37" s="71"/>
      <c r="W37" s="73">
        <f>AVERAGE(S37:U37)</f>
        <v>0.60984679458575042</v>
      </c>
      <c r="X37" s="4">
        <f t="shared" si="5"/>
        <v>-0.21477925453498814</v>
      </c>
      <c r="Y37" s="73">
        <f>(H37*1.95886755305245)+(J37*4.67415289938805)</f>
        <v>479.15753711742087</v>
      </c>
      <c r="Z37" s="71"/>
      <c r="AA37" s="71"/>
      <c r="AB37" s="71"/>
      <c r="AC37" s="71"/>
      <c r="AD37" s="71">
        <v>8</v>
      </c>
      <c r="AE37" s="71"/>
      <c r="AF37" s="73" t="e">
        <f>AVERAGE(AF13:AF15)</f>
        <v>#DIV/0!</v>
      </c>
      <c r="AG37" s="71"/>
      <c r="AH37" s="71"/>
      <c r="AI37" s="71"/>
      <c r="AJ37" s="71"/>
      <c r="AK37" s="71"/>
      <c r="AL37" s="71"/>
      <c r="AM37" s="71"/>
      <c r="AN37" s="71"/>
      <c r="AO37" s="71"/>
    </row>
    <row r="38" spans="1:41" s="70" customFormat="1" ht="13.2" x14ac:dyDescent="0.25">
      <c r="A38" s="150" t="s">
        <v>63</v>
      </c>
      <c r="B38" s="150" t="s">
        <v>61</v>
      </c>
      <c r="C38" s="150">
        <v>142.30000000000001</v>
      </c>
      <c r="D38" s="150">
        <v>139.1</v>
      </c>
      <c r="E38" s="150">
        <v>25.7</v>
      </c>
      <c r="F38" s="150">
        <v>25.7</v>
      </c>
      <c r="G38" s="150" t="s">
        <v>22</v>
      </c>
      <c r="H38" s="4">
        <f t="shared" si="0"/>
        <v>-9.7370000000000001</v>
      </c>
      <c r="I38" s="4">
        <f t="shared" si="4"/>
        <v>-20.864999999999998</v>
      </c>
      <c r="J38" s="4">
        <f t="shared" si="1"/>
        <v>105.71599999999999</v>
      </c>
      <c r="K38" s="150">
        <v>-7.0000000000000007E-2</v>
      </c>
      <c r="L38" s="150">
        <v>-0.15</v>
      </c>
      <c r="M38" s="150">
        <v>0.76</v>
      </c>
      <c r="N38" s="151">
        <v>0.53500000000000003</v>
      </c>
      <c r="O38" s="151">
        <v>0.49099999999999999</v>
      </c>
      <c r="P38" s="150"/>
      <c r="Q38" s="150"/>
      <c r="R38" s="151">
        <f>AVERAGE(N38:P38)</f>
        <v>0.51300000000000001</v>
      </c>
      <c r="S38" s="150">
        <f>1/1.74</f>
        <v>0.57471264367816088</v>
      </c>
      <c r="T38" s="150">
        <f>1/1.75</f>
        <v>0.5714285714285714</v>
      </c>
      <c r="U38" s="150"/>
      <c r="V38" s="150"/>
      <c r="W38" s="152">
        <f>AVERAGE(S38:U38)</f>
        <v>0.57307060755336614</v>
      </c>
      <c r="X38" s="4">
        <f t="shared" si="5"/>
        <v>-0.24179186567369548</v>
      </c>
      <c r="Y38" s="152">
        <f>(H38*1.94929052566916)+(J38*4.64854508751746)</f>
        <v>472.44535062355521</v>
      </c>
      <c r="Z38" s="150"/>
      <c r="AA38" s="150"/>
      <c r="AB38" s="150"/>
      <c r="AC38" s="150"/>
      <c r="AD38" s="150">
        <v>36</v>
      </c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</row>
    <row r="39" spans="1:41" s="70" customFormat="1" ht="13.2" x14ac:dyDescent="0.25">
      <c r="A39" s="66" t="s">
        <v>57</v>
      </c>
      <c r="B39" s="66" t="s">
        <v>54</v>
      </c>
      <c r="C39" s="66">
        <v>159</v>
      </c>
      <c r="D39" s="66">
        <v>149</v>
      </c>
      <c r="E39" s="66">
        <v>28.2</v>
      </c>
      <c r="F39" s="66">
        <v>28.2</v>
      </c>
      <c r="G39" s="66" t="s">
        <v>24</v>
      </c>
      <c r="H39" s="4">
        <f t="shared" si="0"/>
        <v>-14.9</v>
      </c>
      <c r="I39" s="4">
        <f t="shared" si="4"/>
        <v>-29.8</v>
      </c>
      <c r="J39" s="4">
        <f t="shared" si="1"/>
        <v>184.76</v>
      </c>
      <c r="K39" s="66">
        <v>-0.1</v>
      </c>
      <c r="L39" s="78">
        <v>-0.2</v>
      </c>
      <c r="M39" s="78">
        <v>1.24</v>
      </c>
      <c r="N39" s="153">
        <v>0.19</v>
      </c>
      <c r="O39" s="153">
        <v>0.16900000000000001</v>
      </c>
      <c r="P39" s="153"/>
      <c r="Q39" s="153"/>
      <c r="R39" s="153">
        <f>AVERAGE(N39:Q39)</f>
        <v>0.17949999999999999</v>
      </c>
      <c r="S39" s="66">
        <v>2.4</v>
      </c>
      <c r="T39" s="66">
        <v>2.42</v>
      </c>
      <c r="U39" s="66"/>
      <c r="V39" s="66"/>
      <c r="W39" s="69">
        <f>AVERAGE(S39:V39)</f>
        <v>2.41</v>
      </c>
      <c r="X39" s="4">
        <f t="shared" si="5"/>
        <v>0.3820170425748684</v>
      </c>
      <c r="Y39" s="69">
        <f>(H39*1.95614386021232)+(J39*4.63479963587483)</f>
        <v>827.17903720707011</v>
      </c>
      <c r="Z39" s="66" t="s">
        <v>0</v>
      </c>
      <c r="AA39" s="66"/>
      <c r="AB39" s="66"/>
      <c r="AC39" s="66"/>
      <c r="AD39" s="66">
        <v>20</v>
      </c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</row>
    <row r="40" spans="1:41" s="70" customFormat="1" ht="13.2" x14ac:dyDescent="0.25">
      <c r="A40" s="66" t="s">
        <v>56</v>
      </c>
      <c r="B40" s="66" t="s">
        <v>54</v>
      </c>
      <c r="C40" s="66">
        <v>159</v>
      </c>
      <c r="D40" s="66">
        <v>149</v>
      </c>
      <c r="E40" s="66">
        <v>28.2</v>
      </c>
      <c r="F40" s="66">
        <v>28.2</v>
      </c>
      <c r="G40" s="66" t="s">
        <v>22</v>
      </c>
      <c r="H40" s="4">
        <f t="shared" si="0"/>
        <v>-10.430000000000001</v>
      </c>
      <c r="I40" s="4">
        <f t="shared" si="4"/>
        <v>-22.349999999999998</v>
      </c>
      <c r="J40" s="4">
        <f t="shared" si="1"/>
        <v>113.24</v>
      </c>
      <c r="K40" s="66">
        <v>-7.0000000000000007E-2</v>
      </c>
      <c r="L40" s="66">
        <v>-0.15</v>
      </c>
      <c r="M40" s="66">
        <v>0.76</v>
      </c>
      <c r="N40" s="68">
        <v>0.55800000000000005</v>
      </c>
      <c r="O40" s="68">
        <v>0.58099999999999996</v>
      </c>
      <c r="P40" s="66"/>
      <c r="Q40" s="66"/>
      <c r="R40" s="68">
        <f>AVERAGE(N40:P40)</f>
        <v>0.56950000000000001</v>
      </c>
      <c r="S40" s="85">
        <f>1/1.42</f>
        <v>0.70422535211267612</v>
      </c>
      <c r="T40" s="66">
        <f>1/1.4</f>
        <v>0.7142857142857143</v>
      </c>
      <c r="U40" s="68"/>
      <c r="V40" s="68"/>
      <c r="W40" s="85">
        <f>AVERAGE(S40:U40)</f>
        <v>0.70925553319919521</v>
      </c>
      <c r="X40" s="4">
        <f t="shared" si="5"/>
        <v>-0.14919726740591457</v>
      </c>
      <c r="Y40" s="69">
        <f>(H40*1.95614386021232)+(J40*4.63479963587483)</f>
        <v>504.44213030445121</v>
      </c>
      <c r="Z40" s="69"/>
      <c r="AA40" s="69"/>
      <c r="AB40" s="66"/>
      <c r="AC40" s="66"/>
      <c r="AD40" s="66">
        <v>11</v>
      </c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</row>
    <row r="41" spans="1:41" s="70" customFormat="1" ht="13.2" x14ac:dyDescent="0.25">
      <c r="A41" s="82" t="s">
        <v>32</v>
      </c>
      <c r="B41" s="83" t="s">
        <v>29</v>
      </c>
      <c r="C41" s="83">
        <v>176.1</v>
      </c>
      <c r="D41" s="83">
        <v>176.1</v>
      </c>
      <c r="E41" s="83">
        <v>36.299999999999997</v>
      </c>
      <c r="F41" s="83">
        <v>36.299999999999997</v>
      </c>
      <c r="G41" s="83" t="s">
        <v>24</v>
      </c>
      <c r="H41" s="4">
        <f t="shared" si="0"/>
        <v>-17.61</v>
      </c>
      <c r="I41" s="4">
        <f t="shared" si="4"/>
        <v>-35.22</v>
      </c>
      <c r="J41" s="4">
        <f t="shared" si="1"/>
        <v>218.364</v>
      </c>
      <c r="K41" s="83">
        <v>-0.1</v>
      </c>
      <c r="L41" s="83">
        <v>-0.2</v>
      </c>
      <c r="M41" s="83">
        <v>1.24</v>
      </c>
      <c r="N41" s="84">
        <v>0.91</v>
      </c>
      <c r="O41" s="84">
        <v>0.83</v>
      </c>
      <c r="P41" s="83"/>
      <c r="Q41" s="83"/>
      <c r="R41" s="84">
        <f>AVERAGE(N41:P41)</f>
        <v>0.87</v>
      </c>
      <c r="S41" s="154">
        <f>10.48/1</f>
        <v>10.48</v>
      </c>
      <c r="T41" s="154">
        <f>10.56/1</f>
        <v>10.56</v>
      </c>
      <c r="U41" s="83"/>
      <c r="V41" s="83"/>
      <c r="W41" s="154">
        <f>AVERAGE(S41:U41)</f>
        <v>10.52</v>
      </c>
      <c r="X41" s="4">
        <f t="shared" si="5"/>
        <v>1.0220157398177203</v>
      </c>
      <c r="Y41" s="154">
        <f>(H41*1.93364530371663)+(J41*4.34239613221004)</f>
        <v>914.17149521546332</v>
      </c>
      <c r="Z41" s="83"/>
      <c r="AA41" s="83"/>
      <c r="AB41" s="83"/>
      <c r="AC41" s="83">
        <f>W41/(W41+1)</f>
        <v>0.91319444444444442</v>
      </c>
      <c r="AD41" s="83">
        <v>13</v>
      </c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</row>
    <row r="42" spans="1:41" s="70" customFormat="1" ht="13.2" x14ac:dyDescent="0.25">
      <c r="A42" s="82" t="s">
        <v>31</v>
      </c>
      <c r="B42" s="83" t="s">
        <v>29</v>
      </c>
      <c r="C42" s="83">
        <v>176.1</v>
      </c>
      <c r="D42" s="83">
        <v>176.1</v>
      </c>
      <c r="E42" s="83">
        <v>36.299999999999997</v>
      </c>
      <c r="F42" s="83">
        <v>36.299999999999997</v>
      </c>
      <c r="G42" s="83" t="s">
        <v>22</v>
      </c>
      <c r="H42" s="4">
        <f t="shared" si="0"/>
        <v>-12.327</v>
      </c>
      <c r="I42" s="4">
        <f t="shared" si="4"/>
        <v>-26.414999999999999</v>
      </c>
      <c r="J42" s="4">
        <f t="shared" si="1"/>
        <v>133.83599999999998</v>
      </c>
      <c r="K42" s="83">
        <v>-7.0000000000000007E-2</v>
      </c>
      <c r="L42" s="83">
        <v>-0.15</v>
      </c>
      <c r="M42" s="83">
        <v>0.76</v>
      </c>
      <c r="N42" s="84">
        <v>0.79100000000000004</v>
      </c>
      <c r="O42" s="84">
        <v>0.80300000000000005</v>
      </c>
      <c r="P42" s="83"/>
      <c r="Q42" s="83"/>
      <c r="R42" s="84">
        <f>AVERAGE(N42:P42)</f>
        <v>0.79700000000000004</v>
      </c>
      <c r="S42" s="154">
        <f>1/1.35</f>
        <v>0.7407407407407407</v>
      </c>
      <c r="T42" s="154">
        <f>1/1.31</f>
        <v>0.76335877862595414</v>
      </c>
      <c r="U42" s="83"/>
      <c r="V42" s="83"/>
      <c r="W42" s="154">
        <f>AVERAGE(S42:U42)</f>
        <v>0.75204975968334742</v>
      </c>
      <c r="X42" s="4">
        <f t="shared" si="5"/>
        <v>-0.12375342318368461</v>
      </c>
      <c r="Y42" s="154">
        <f>(H42*1.93364530371663)+(J42*4.34239613221004)</f>
        <v>557.33288309154796</v>
      </c>
      <c r="Z42" s="83"/>
      <c r="AA42" s="83"/>
      <c r="AB42" s="83"/>
      <c r="AC42" s="83"/>
      <c r="AD42" s="83">
        <v>43</v>
      </c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</row>
    <row r="46" spans="1:41" s="70" customFormat="1" ht="13.2" x14ac:dyDescent="0.25">
      <c r="A46" s="75" t="s">
        <v>21</v>
      </c>
      <c r="B46" s="75" t="s">
        <v>17</v>
      </c>
      <c r="C46" s="75">
        <v>213.3</v>
      </c>
      <c r="D46" s="75">
        <v>212.2</v>
      </c>
      <c r="E46" s="75">
        <v>58.4</v>
      </c>
      <c r="F46" s="75">
        <v>57.2</v>
      </c>
      <c r="G46" s="75" t="s">
        <v>22</v>
      </c>
      <c r="H46" s="67">
        <f>(D46*K46)/25.46</f>
        <v>-0.58342498036135115</v>
      </c>
      <c r="I46" s="67"/>
      <c r="J46" s="4">
        <f>(D46*L46)</f>
        <v>161.27199999999999</v>
      </c>
      <c r="K46" s="75">
        <v>-7.0000000000000007E-2</v>
      </c>
      <c r="L46" s="75">
        <v>0.76</v>
      </c>
      <c r="M46" s="75"/>
      <c r="N46" s="76">
        <v>0.59499999999999997</v>
      </c>
      <c r="O46" s="76">
        <v>0.65400000000000003</v>
      </c>
      <c r="P46" s="75"/>
      <c r="Q46" s="75"/>
      <c r="R46" s="76">
        <f>AVERAGE(N46:P46)</f>
        <v>0.62450000000000006</v>
      </c>
      <c r="S46" s="75">
        <f>1.23/1</f>
        <v>1.23</v>
      </c>
      <c r="T46" s="67">
        <f>1.21/1</f>
        <v>1.21</v>
      </c>
      <c r="U46" s="75"/>
      <c r="V46" s="75"/>
      <c r="W46" s="75">
        <f>AVERAGE(S46:U46)</f>
        <v>1.22</v>
      </c>
      <c r="X46" s="4">
        <f>LOG(W46)</f>
        <v>8.6359830674748214E-2</v>
      </c>
      <c r="Y46" s="67">
        <f>(H46*1.95146853256722)+(J46*4.53535688165084)</f>
        <v>730.28753952730528</v>
      </c>
      <c r="Z46" s="67">
        <f>(Y46-1.3422)/0.9347</f>
        <v>779.87090994683354</v>
      </c>
      <c r="AA46" s="67" t="e">
        <f>EXP(Z46/(0.001987203611*373.15))</f>
        <v>#NUM!</v>
      </c>
      <c r="AB46" s="77" t="e">
        <f>AA46/(AA46+1)</f>
        <v>#NUM!</v>
      </c>
      <c r="AC46" s="67">
        <f>W46/(W46+1)</f>
        <v>0.5495495495495496</v>
      </c>
      <c r="AD46" s="75">
        <v>3</v>
      </c>
      <c r="AE46" s="75"/>
      <c r="AF46" s="67">
        <f>Z46-X46</f>
        <v>779.78455011615881</v>
      </c>
      <c r="AG46" s="75"/>
      <c r="AH46" s="75"/>
      <c r="AI46" s="75"/>
      <c r="AJ46" s="75"/>
      <c r="AK46" s="75"/>
      <c r="AL46" s="75"/>
      <c r="AM46" s="75"/>
      <c r="AN46" s="75"/>
      <c r="AO46" s="75"/>
    </row>
    <row r="47" spans="1:41" s="70" customFormat="1" ht="13.2" x14ac:dyDescent="0.25">
      <c r="A47" s="75" t="s">
        <v>23</v>
      </c>
      <c r="B47" s="75" t="s">
        <v>17</v>
      </c>
      <c r="C47" s="75">
        <v>213.3</v>
      </c>
      <c r="D47" s="75">
        <v>212.2</v>
      </c>
      <c r="E47" s="75">
        <v>58.4</v>
      </c>
      <c r="F47" s="75">
        <v>57.2</v>
      </c>
      <c r="G47" s="75" t="s">
        <v>24</v>
      </c>
      <c r="H47" s="67">
        <f>(D47*K47)/25.46</f>
        <v>-0.83346425765907295</v>
      </c>
      <c r="I47" s="67"/>
      <c r="J47" s="4">
        <f>(D47*L47)</f>
        <v>263.12799999999999</v>
      </c>
      <c r="K47" s="75">
        <v>-0.1</v>
      </c>
      <c r="L47" s="75">
        <v>1.24</v>
      </c>
      <c r="M47" s="75"/>
      <c r="N47" s="76">
        <v>0.49199999999999999</v>
      </c>
      <c r="O47" s="76">
        <v>0.68</v>
      </c>
      <c r="P47" s="76">
        <v>0.48399999999999999</v>
      </c>
      <c r="Q47" s="76">
        <v>0.47199999999999998</v>
      </c>
      <c r="R47" s="76">
        <f>AVERAGE(N47:P47)</f>
        <v>0.55200000000000005</v>
      </c>
      <c r="S47" s="75">
        <f>12.3/1</f>
        <v>12.3</v>
      </c>
      <c r="T47" s="75">
        <f>12.51/1</f>
        <v>12.51</v>
      </c>
      <c r="U47" s="75">
        <f>11.46/1</f>
        <v>11.46</v>
      </c>
      <c r="V47" s="75">
        <f>11.43/1</f>
        <v>11.43</v>
      </c>
      <c r="W47" s="75">
        <f>AVERAGE(S47:U47)</f>
        <v>12.090000000000002</v>
      </c>
      <c r="X47" s="4">
        <f>LOG(W47)</f>
        <v>1.082426300860772</v>
      </c>
      <c r="Y47" s="67">
        <f>(H47*1.95146853256722)+(J47*4.53535688165084)</f>
        <v>1191.7529062831809</v>
      </c>
      <c r="Z47" s="67">
        <f>(Y47-1.3422)/0.9347</f>
        <v>1273.5751645267796</v>
      </c>
      <c r="AA47" s="67" t="e">
        <f>EXP(Z47/(0.001987203611*373.15))</f>
        <v>#NUM!</v>
      </c>
      <c r="AB47" s="77" t="e">
        <f>AA47/(AA47+1)</f>
        <v>#NUM!</v>
      </c>
      <c r="AC47" s="67">
        <f>W47/(W47+1)</f>
        <v>0.92360580595874719</v>
      </c>
      <c r="AD47" s="75">
        <v>4</v>
      </c>
      <c r="AE47" s="75"/>
      <c r="AF47" s="67">
        <f>Z47-X47</f>
        <v>1272.4927382259189</v>
      </c>
      <c r="AG47" s="75"/>
      <c r="AH47" s="75"/>
      <c r="AI47" s="75"/>
      <c r="AJ47" s="75"/>
      <c r="AK47" s="75"/>
      <c r="AL47" s="75"/>
      <c r="AM47" s="75"/>
      <c r="AN47" s="75"/>
      <c r="AO47" s="75"/>
    </row>
    <row r="48" spans="1:41" ht="15.75" customHeight="1" x14ac:dyDescent="0.25">
      <c r="W48" s="144" t="s">
        <v>110</v>
      </c>
    </row>
    <row r="49" spans="23:25" ht="15.75" customHeight="1" x14ac:dyDescent="0.25">
      <c r="W49">
        <f>1.95146853256722/25.46</f>
        <v>7.6648410548594656E-2</v>
      </c>
      <c r="Y49">
        <f>4.53535688165084/263.13</f>
        <v>1.7236183185690875E-2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6C414-C9DC-4235-930E-C0C52BD97A9E}">
  <dimension ref="A1:I19"/>
  <sheetViews>
    <sheetView workbookViewId="0">
      <selection activeCell="B20" sqref="B20"/>
    </sheetView>
  </sheetViews>
  <sheetFormatPr defaultRowHeight="13.2" x14ac:dyDescent="0.25"/>
  <sheetData>
    <row r="1" spans="1:9" x14ac:dyDescent="0.25">
      <c r="A1" t="s">
        <v>74</v>
      </c>
    </row>
    <row r="2" spans="1:9" ht="13.8" thickBot="1" x14ac:dyDescent="0.3"/>
    <row r="3" spans="1:9" x14ac:dyDescent="0.25">
      <c r="A3" s="34" t="s">
        <v>75</v>
      </c>
      <c r="B3" s="34"/>
    </row>
    <row r="4" spans="1:9" x14ac:dyDescent="0.25">
      <c r="A4" t="s">
        <v>76</v>
      </c>
      <c r="B4">
        <v>0.9373683030861153</v>
      </c>
    </row>
    <row r="5" spans="1:9" x14ac:dyDescent="0.25">
      <c r="A5" t="s">
        <v>77</v>
      </c>
      <c r="B5">
        <v>0.87865933563054333</v>
      </c>
    </row>
    <row r="6" spans="1:9" x14ac:dyDescent="0.25">
      <c r="A6" t="s">
        <v>78</v>
      </c>
      <c r="B6">
        <v>0.86588663411796896</v>
      </c>
    </row>
    <row r="7" spans="1:9" x14ac:dyDescent="0.25">
      <c r="A7" t="s">
        <v>79</v>
      </c>
      <c r="B7">
        <v>0.32164191205843823</v>
      </c>
    </row>
    <row r="8" spans="1:9" ht="13.8" thickBot="1" x14ac:dyDescent="0.3">
      <c r="A8" s="32" t="s">
        <v>80</v>
      </c>
      <c r="B8" s="32">
        <v>22</v>
      </c>
    </row>
    <row r="10" spans="1:9" ht="13.8" thickBot="1" x14ac:dyDescent="0.3">
      <c r="A10" t="s">
        <v>81</v>
      </c>
    </row>
    <row r="11" spans="1:9" x14ac:dyDescent="0.25">
      <c r="A11" s="33"/>
      <c r="B11" s="33" t="s">
        <v>86</v>
      </c>
      <c r="C11" s="33" t="s">
        <v>87</v>
      </c>
      <c r="D11" s="33" t="s">
        <v>88</v>
      </c>
      <c r="E11" s="33" t="s">
        <v>89</v>
      </c>
      <c r="F11" s="33" t="s">
        <v>90</v>
      </c>
    </row>
    <row r="12" spans="1:9" x14ac:dyDescent="0.25">
      <c r="A12" t="s">
        <v>82</v>
      </c>
      <c r="B12">
        <v>2</v>
      </c>
      <c r="C12">
        <v>14.233543421396542</v>
      </c>
      <c r="D12">
        <v>7.1167717106982709</v>
      </c>
      <c r="E12">
        <v>68.791972846584287</v>
      </c>
      <c r="F12">
        <v>1.9863716149969112E-9</v>
      </c>
    </row>
    <row r="13" spans="1:9" x14ac:dyDescent="0.25">
      <c r="A13" t="s">
        <v>83</v>
      </c>
      <c r="B13">
        <v>19</v>
      </c>
      <c r="C13">
        <v>1.9656168722595537</v>
      </c>
      <c r="D13">
        <v>0.1034535195926081</v>
      </c>
    </row>
    <row r="14" spans="1:9" ht="13.8" thickBot="1" x14ac:dyDescent="0.3">
      <c r="A14" s="32" t="s">
        <v>84</v>
      </c>
      <c r="B14" s="32">
        <v>21</v>
      </c>
      <c r="C14" s="32">
        <v>16.199160293656096</v>
      </c>
      <c r="D14" s="32"/>
      <c r="E14" s="32"/>
      <c r="F14" s="32"/>
    </row>
    <row r="15" spans="1:9" ht="13.8" thickBot="1" x14ac:dyDescent="0.3"/>
    <row r="16" spans="1:9" x14ac:dyDescent="0.25">
      <c r="A16" s="33"/>
      <c r="B16" s="33" t="s">
        <v>91</v>
      </c>
      <c r="C16" s="33" t="s">
        <v>79</v>
      </c>
      <c r="D16" s="33" t="s">
        <v>92</v>
      </c>
      <c r="E16" s="33" t="s">
        <v>93</v>
      </c>
      <c r="F16" s="33" t="s">
        <v>94</v>
      </c>
      <c r="G16" s="33" t="s">
        <v>95</v>
      </c>
      <c r="H16" s="33" t="s">
        <v>96</v>
      </c>
      <c r="I16" s="33" t="s">
        <v>97</v>
      </c>
    </row>
    <row r="17" spans="1:9" x14ac:dyDescent="0.25">
      <c r="A17" t="s">
        <v>85</v>
      </c>
      <c r="B17">
        <v>-1.2564982624204388</v>
      </c>
      <c r="C17">
        <v>0.18617168434123893</v>
      </c>
      <c r="D17">
        <v>-6.7491373184193275</v>
      </c>
      <c r="E17">
        <v>1.8983395364441544E-6</v>
      </c>
      <c r="F17">
        <v>-1.6461600759963628</v>
      </c>
      <c r="G17">
        <v>-0.86683644884451483</v>
      </c>
      <c r="H17">
        <v>-1.6461600759963628</v>
      </c>
      <c r="I17">
        <v>-0.86683644884451483</v>
      </c>
    </row>
    <row r="18" spans="1:9" x14ac:dyDescent="0.25">
      <c r="A18" t="s">
        <v>101</v>
      </c>
      <c r="B18">
        <v>2.0227263893399301</v>
      </c>
      <c r="C18">
        <v>0.18697245947963509</v>
      </c>
      <c r="D18">
        <v>10.818311931978645</v>
      </c>
      <c r="E18">
        <v>1.4610637164401928E-9</v>
      </c>
      <c r="F18">
        <v>1.6313885341371708</v>
      </c>
      <c r="G18">
        <v>2.4140642445426894</v>
      </c>
      <c r="H18">
        <v>1.6313885341371708</v>
      </c>
      <c r="I18">
        <v>2.4140642445426894</v>
      </c>
    </row>
    <row r="19" spans="1:9" ht="13.8" thickBot="1" x14ac:dyDescent="0.3">
      <c r="A19" s="32" t="s">
        <v>102</v>
      </c>
      <c r="B19" s="32">
        <v>4.7673443749685402</v>
      </c>
      <c r="C19" s="32">
        <v>0.46450946346984229</v>
      </c>
      <c r="D19" s="32">
        <v>10.263180300691658</v>
      </c>
      <c r="E19" s="32">
        <v>3.4577538704985757E-9</v>
      </c>
      <c r="F19" s="32">
        <v>3.7951148944258586</v>
      </c>
      <c r="G19" s="32">
        <v>5.7395738555112148</v>
      </c>
      <c r="H19" s="32">
        <v>3.7951148944258586</v>
      </c>
      <c r="I19" s="32">
        <v>5.7395738555112148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6F83-1F00-4E4B-AA74-B4F5626786ED}">
  <dimension ref="A1:I19"/>
  <sheetViews>
    <sheetView workbookViewId="0">
      <selection activeCell="B17" sqref="B17"/>
    </sheetView>
  </sheetViews>
  <sheetFormatPr defaultRowHeight="13.2" x14ac:dyDescent="0.25"/>
  <cols>
    <col min="1" max="1" width="17.77734375" bestFit="1" customWidth="1"/>
    <col min="2" max="2" width="12" bestFit="1" customWidth="1"/>
    <col min="3" max="3" width="14" bestFit="1" customWidth="1"/>
    <col min="4" max="4" width="12.6640625" bestFit="1" customWidth="1"/>
    <col min="5" max="5" width="12.33203125" bestFit="1" customWidth="1"/>
    <col min="6" max="6" width="13.44140625" bestFit="1" customWidth="1"/>
    <col min="7" max="9" width="12.6640625" bestFit="1" customWidth="1"/>
  </cols>
  <sheetData>
    <row r="1" spans="1:9" x14ac:dyDescent="0.25">
      <c r="A1" t="s">
        <v>74</v>
      </c>
    </row>
    <row r="2" spans="1:9" ht="13.8" thickBot="1" x14ac:dyDescent="0.3"/>
    <row r="3" spans="1:9" x14ac:dyDescent="0.25">
      <c r="A3" s="34" t="s">
        <v>75</v>
      </c>
      <c r="B3" s="34"/>
    </row>
    <row r="4" spans="1:9" x14ac:dyDescent="0.25">
      <c r="A4" t="s">
        <v>76</v>
      </c>
      <c r="B4">
        <v>0.94715533783657935</v>
      </c>
    </row>
    <row r="5" spans="1:9" x14ac:dyDescent="0.25">
      <c r="A5" t="s">
        <v>77</v>
      </c>
      <c r="B5">
        <v>0.89710323399232483</v>
      </c>
    </row>
    <row r="6" spans="1:9" x14ac:dyDescent="0.25">
      <c r="A6" t="s">
        <v>78</v>
      </c>
      <c r="B6">
        <v>0.89122341879188638</v>
      </c>
    </row>
    <row r="7" spans="1:9" x14ac:dyDescent="0.25">
      <c r="A7" t="s">
        <v>79</v>
      </c>
      <c r="B7">
        <v>0.28630016255649166</v>
      </c>
    </row>
    <row r="8" spans="1:9" ht="13.8" thickBot="1" x14ac:dyDescent="0.3">
      <c r="A8" s="32" t="s">
        <v>80</v>
      </c>
      <c r="B8" s="32">
        <v>38</v>
      </c>
    </row>
    <row r="10" spans="1:9" ht="13.8" thickBot="1" x14ac:dyDescent="0.3">
      <c r="A10" t="s">
        <v>81</v>
      </c>
    </row>
    <row r="11" spans="1:9" x14ac:dyDescent="0.25">
      <c r="A11" s="33"/>
      <c r="B11" s="33" t="s">
        <v>86</v>
      </c>
      <c r="C11" s="33" t="s">
        <v>87</v>
      </c>
      <c r="D11" s="33" t="s">
        <v>88</v>
      </c>
      <c r="E11" s="33" t="s">
        <v>89</v>
      </c>
      <c r="F11" s="33" t="s">
        <v>90</v>
      </c>
    </row>
    <row r="12" spans="1:9" x14ac:dyDescent="0.25">
      <c r="A12" t="s">
        <v>82</v>
      </c>
      <c r="B12">
        <v>2</v>
      </c>
      <c r="C12">
        <v>25.012202178956588</v>
      </c>
      <c r="D12">
        <v>12.506101089478294</v>
      </c>
      <c r="E12">
        <v>152.57337236133029</v>
      </c>
      <c r="F12">
        <v>5.2123094706719207E-18</v>
      </c>
    </row>
    <row r="13" spans="1:9" x14ac:dyDescent="0.25">
      <c r="A13" t="s">
        <v>83</v>
      </c>
      <c r="B13">
        <v>35</v>
      </c>
      <c r="C13">
        <v>2.8688724077955738</v>
      </c>
      <c r="D13">
        <v>8.1967783079873541E-2</v>
      </c>
    </row>
    <row r="14" spans="1:9" ht="13.8" thickBot="1" x14ac:dyDescent="0.3">
      <c r="A14" s="32" t="s">
        <v>84</v>
      </c>
      <c r="B14" s="32">
        <v>37</v>
      </c>
      <c r="C14" s="32">
        <v>27.881074586752163</v>
      </c>
      <c r="D14" s="32"/>
      <c r="E14" s="32"/>
      <c r="F14" s="32"/>
    </row>
    <row r="15" spans="1:9" ht="13.8" thickBot="1" x14ac:dyDescent="0.3"/>
    <row r="16" spans="1:9" x14ac:dyDescent="0.25">
      <c r="A16" s="33"/>
      <c r="B16" s="33" t="s">
        <v>91</v>
      </c>
      <c r="C16" s="33" t="s">
        <v>79</v>
      </c>
      <c r="D16" s="33" t="s">
        <v>92</v>
      </c>
      <c r="E16" s="33" t="s">
        <v>93</v>
      </c>
      <c r="F16" s="33" t="s">
        <v>94</v>
      </c>
      <c r="G16" s="33" t="s">
        <v>95</v>
      </c>
      <c r="H16" s="33" t="s">
        <v>96</v>
      </c>
      <c r="I16" s="33" t="s">
        <v>97</v>
      </c>
    </row>
    <row r="17" spans="1:9" x14ac:dyDescent="0.25">
      <c r="A17" t="s">
        <v>85</v>
      </c>
      <c r="B17">
        <v>-1.1856972898581</v>
      </c>
      <c r="C17">
        <v>0.127866772802398</v>
      </c>
      <c r="D17">
        <v>-9.2729116710440938</v>
      </c>
      <c r="E17">
        <v>5.882577398550995E-11</v>
      </c>
      <c r="F17">
        <v>-1.4452806390840336</v>
      </c>
      <c r="G17">
        <v>-0.92611394063216634</v>
      </c>
      <c r="H17">
        <v>-1.4452806390840336</v>
      </c>
      <c r="I17">
        <v>-0.92611394063216634</v>
      </c>
    </row>
    <row r="18" spans="1:9" x14ac:dyDescent="0.25">
      <c r="A18" t="s">
        <v>101</v>
      </c>
      <c r="B18">
        <v>1.93341236801329</v>
      </c>
      <c r="C18">
        <v>0.1132460853186716</v>
      </c>
      <c r="D18">
        <v>17.072664035782974</v>
      </c>
      <c r="E18">
        <v>1.5094779383925035E-18</v>
      </c>
      <c r="F18">
        <v>1.7035105923645448</v>
      </c>
      <c r="G18">
        <v>2.1633141436620451</v>
      </c>
      <c r="H18">
        <v>1.7035105923645448</v>
      </c>
      <c r="I18">
        <v>2.1633141436620451</v>
      </c>
    </row>
    <row r="19" spans="1:9" ht="13.8" thickBot="1" x14ac:dyDescent="0.3">
      <c r="A19" s="32" t="s">
        <v>102</v>
      </c>
      <c r="B19" s="32">
        <v>4.3977391038702702</v>
      </c>
      <c r="C19" s="32">
        <v>0.32158607044490589</v>
      </c>
      <c r="D19" s="32">
        <v>13.675154206107591</v>
      </c>
      <c r="E19" s="32">
        <v>1.3230118676859497E-15</v>
      </c>
      <c r="F19" s="32">
        <v>3.7448846726451896</v>
      </c>
      <c r="G19" s="32">
        <v>5.0505935350953433</v>
      </c>
      <c r="H19" s="32">
        <v>3.7448846726451896</v>
      </c>
      <c r="I19" s="32">
        <v>5.0505935350953397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433B-2CD8-41F6-887E-C808BF4C3B37}">
  <dimension ref="A1:I19"/>
  <sheetViews>
    <sheetView workbookViewId="0">
      <selection activeCell="B20" sqref="B20"/>
    </sheetView>
  </sheetViews>
  <sheetFormatPr defaultRowHeight="13.2" x14ac:dyDescent="0.25"/>
  <sheetData>
    <row r="1" spans="1:9" x14ac:dyDescent="0.25">
      <c r="A1" t="s">
        <v>74</v>
      </c>
    </row>
    <row r="2" spans="1:9" ht="13.8" thickBot="1" x14ac:dyDescent="0.3"/>
    <row r="3" spans="1:9" x14ac:dyDescent="0.25">
      <c r="A3" s="34" t="s">
        <v>75</v>
      </c>
      <c r="B3" s="34"/>
    </row>
    <row r="4" spans="1:9" x14ac:dyDescent="0.25">
      <c r="A4" t="s">
        <v>76</v>
      </c>
      <c r="B4">
        <v>0.94950830501065375</v>
      </c>
    </row>
    <row r="5" spans="1:9" x14ac:dyDescent="0.25">
      <c r="A5" t="s">
        <v>77</v>
      </c>
      <c r="B5">
        <v>0.90156602128420471</v>
      </c>
    </row>
    <row r="6" spans="1:9" x14ac:dyDescent="0.25">
      <c r="A6" t="s">
        <v>78</v>
      </c>
      <c r="B6">
        <v>0.89577578724209916</v>
      </c>
    </row>
    <row r="7" spans="1:9" x14ac:dyDescent="0.25">
      <c r="A7" t="s">
        <v>79</v>
      </c>
      <c r="B7">
        <v>0.28531741419788453</v>
      </c>
    </row>
    <row r="8" spans="1:9" ht="13.8" thickBot="1" x14ac:dyDescent="0.3">
      <c r="A8" s="32" t="s">
        <v>80</v>
      </c>
      <c r="B8" s="32">
        <v>37</v>
      </c>
    </row>
    <row r="10" spans="1:9" ht="13.8" thickBot="1" x14ac:dyDescent="0.3">
      <c r="A10" t="s">
        <v>81</v>
      </c>
    </row>
    <row r="11" spans="1:9" x14ac:dyDescent="0.25">
      <c r="A11" s="33"/>
      <c r="B11" s="33" t="s">
        <v>86</v>
      </c>
      <c r="C11" s="33" t="s">
        <v>87</v>
      </c>
      <c r="D11" s="33" t="s">
        <v>88</v>
      </c>
      <c r="E11" s="33" t="s">
        <v>89</v>
      </c>
      <c r="F11" s="33" t="s">
        <v>90</v>
      </c>
    </row>
    <row r="12" spans="1:9" x14ac:dyDescent="0.25">
      <c r="A12" t="s">
        <v>82</v>
      </c>
      <c r="B12">
        <v>2</v>
      </c>
      <c r="C12">
        <v>25.350584172284155</v>
      </c>
      <c r="D12">
        <v>12.675292086142077</v>
      </c>
      <c r="E12">
        <v>155.70459064835185</v>
      </c>
      <c r="F12">
        <v>7.6465525060943448E-18</v>
      </c>
    </row>
    <row r="13" spans="1:9" x14ac:dyDescent="0.25">
      <c r="A13" t="s">
        <v>83</v>
      </c>
      <c r="B13">
        <v>34</v>
      </c>
      <c r="C13">
        <v>2.7678049127152846</v>
      </c>
      <c r="D13">
        <v>8.14060268445672E-2</v>
      </c>
    </row>
    <row r="14" spans="1:9" ht="13.8" thickBot="1" x14ac:dyDescent="0.3">
      <c r="A14" s="32" t="s">
        <v>84</v>
      </c>
      <c r="B14" s="32">
        <v>36</v>
      </c>
      <c r="C14" s="32">
        <v>28.118389084999439</v>
      </c>
      <c r="D14" s="32"/>
      <c r="E14" s="32"/>
      <c r="F14" s="32"/>
    </row>
    <row r="15" spans="1:9" ht="13.8" thickBot="1" x14ac:dyDescent="0.3"/>
    <row r="16" spans="1:9" x14ac:dyDescent="0.25">
      <c r="A16" s="33"/>
      <c r="B16" s="33" t="s">
        <v>91</v>
      </c>
      <c r="C16" s="33" t="s">
        <v>79</v>
      </c>
      <c r="D16" s="33" t="s">
        <v>92</v>
      </c>
      <c r="E16" s="33" t="s">
        <v>93</v>
      </c>
      <c r="F16" s="33" t="s">
        <v>94</v>
      </c>
      <c r="G16" s="33" t="s">
        <v>95</v>
      </c>
      <c r="H16" s="33" t="s">
        <v>96</v>
      </c>
      <c r="I16" s="33" t="s">
        <v>97</v>
      </c>
    </row>
    <row r="17" spans="1:9" x14ac:dyDescent="0.25">
      <c r="A17" t="s">
        <v>85</v>
      </c>
      <c r="B17">
        <v>-1.2571295843034642</v>
      </c>
      <c r="C17">
        <v>0.12733376504225055</v>
      </c>
      <c r="D17">
        <v>-9.8727119541807049</v>
      </c>
      <c r="E17">
        <v>1.6178281748414415E-11</v>
      </c>
      <c r="F17">
        <v>-1.5159029291613304</v>
      </c>
      <c r="G17">
        <v>-0.99835623944559804</v>
      </c>
      <c r="H17">
        <v>-1.5159029291613304</v>
      </c>
      <c r="I17">
        <v>-0.99835623944559804</v>
      </c>
    </row>
    <row r="18" spans="1:9" x14ac:dyDescent="0.25">
      <c r="A18" t="s">
        <v>101</v>
      </c>
      <c r="B18">
        <v>1.9476007065638099</v>
      </c>
      <c r="C18">
        <v>0.11424238508136285</v>
      </c>
      <c r="D18">
        <v>17.047969588316409</v>
      </c>
      <c r="E18">
        <v>3.14116740010776E-18</v>
      </c>
      <c r="F18">
        <v>1.7154322467508458</v>
      </c>
      <c r="G18">
        <v>2.179769166376766</v>
      </c>
      <c r="H18">
        <v>1.7154322467508458</v>
      </c>
      <c r="I18">
        <v>2.179769166376766</v>
      </c>
    </row>
    <row r="19" spans="1:9" ht="13.8" thickBot="1" x14ac:dyDescent="0.3">
      <c r="A19" s="32" t="s">
        <v>102</v>
      </c>
      <c r="B19" s="32">
        <v>4.5937653799422904</v>
      </c>
      <c r="C19" s="32">
        <v>0.31977976238697453</v>
      </c>
      <c r="D19" s="32">
        <v>14.365403694256429</v>
      </c>
      <c r="E19" s="32">
        <v>5.3026719839874573E-16</v>
      </c>
      <c r="F19" s="32">
        <v>3.9438947136404332</v>
      </c>
      <c r="G19" s="32">
        <v>5.2436360462441405</v>
      </c>
      <c r="H19" s="32">
        <v>3.9438947136404332</v>
      </c>
      <c r="I19" s="32">
        <v>5.2436360462441405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D4D9-5205-49EC-A850-2616E36C78AB}">
  <dimension ref="A1:I19"/>
  <sheetViews>
    <sheetView workbookViewId="0">
      <selection activeCell="B20" sqref="B20"/>
    </sheetView>
  </sheetViews>
  <sheetFormatPr defaultRowHeight="13.2" x14ac:dyDescent="0.25"/>
  <sheetData>
    <row r="1" spans="1:9" x14ac:dyDescent="0.25">
      <c r="A1" t="s">
        <v>74</v>
      </c>
    </row>
    <row r="2" spans="1:9" ht="13.8" thickBot="1" x14ac:dyDescent="0.3"/>
    <row r="3" spans="1:9" x14ac:dyDescent="0.25">
      <c r="A3" s="34" t="s">
        <v>75</v>
      </c>
      <c r="B3" s="34"/>
    </row>
    <row r="4" spans="1:9" x14ac:dyDescent="0.25">
      <c r="A4" t="s">
        <v>76</v>
      </c>
      <c r="B4">
        <v>0.95985025893999076</v>
      </c>
    </row>
    <row r="5" spans="1:9" x14ac:dyDescent="0.25">
      <c r="A5" t="s">
        <v>77</v>
      </c>
      <c r="B5">
        <v>0.92131251958716742</v>
      </c>
    </row>
    <row r="6" spans="1:9" x14ac:dyDescent="0.25">
      <c r="A6" t="s">
        <v>78</v>
      </c>
      <c r="B6">
        <v>0.91668384426876559</v>
      </c>
    </row>
    <row r="7" spans="1:9" x14ac:dyDescent="0.25">
      <c r="A7" t="s">
        <v>79</v>
      </c>
      <c r="B7">
        <v>0.26225440197763772</v>
      </c>
    </row>
    <row r="8" spans="1:9" ht="13.8" thickBot="1" x14ac:dyDescent="0.3">
      <c r="A8" s="32" t="s">
        <v>80</v>
      </c>
      <c r="B8" s="32">
        <v>37</v>
      </c>
    </row>
    <row r="10" spans="1:9" ht="13.8" thickBot="1" x14ac:dyDescent="0.3">
      <c r="A10" t="s">
        <v>81</v>
      </c>
    </row>
    <row r="11" spans="1:9" x14ac:dyDescent="0.25">
      <c r="A11" s="33"/>
      <c r="B11" s="33" t="s">
        <v>86</v>
      </c>
      <c r="C11" s="33" t="s">
        <v>87</v>
      </c>
      <c r="D11" s="33" t="s">
        <v>88</v>
      </c>
      <c r="E11" s="33" t="s">
        <v>89</v>
      </c>
      <c r="F11" s="33" t="s">
        <v>90</v>
      </c>
    </row>
    <row r="12" spans="1:9" x14ac:dyDescent="0.25">
      <c r="A12" t="s">
        <v>82</v>
      </c>
      <c r="B12">
        <v>2</v>
      </c>
      <c r="C12">
        <v>27.37951959743565</v>
      </c>
      <c r="D12">
        <v>13.689759798717825</v>
      </c>
      <c r="E12">
        <v>199.04453352439003</v>
      </c>
      <c r="F12">
        <v>1.699792344263968E-19</v>
      </c>
    </row>
    <row r="13" spans="1:9" x14ac:dyDescent="0.25">
      <c r="A13" t="s">
        <v>83</v>
      </c>
      <c r="B13">
        <v>34</v>
      </c>
      <c r="C13">
        <v>2.3384306261260455</v>
      </c>
      <c r="D13">
        <v>6.8777371356648395E-2</v>
      </c>
    </row>
    <row r="14" spans="1:9" ht="13.8" thickBot="1" x14ac:dyDescent="0.3">
      <c r="A14" s="32" t="s">
        <v>84</v>
      </c>
      <c r="B14" s="32">
        <v>36</v>
      </c>
      <c r="C14" s="32">
        <v>29.717950223561694</v>
      </c>
      <c r="D14" s="32"/>
      <c r="E14" s="32"/>
      <c r="F14" s="32"/>
    </row>
    <row r="15" spans="1:9" ht="13.8" thickBot="1" x14ac:dyDescent="0.3"/>
    <row r="16" spans="1:9" x14ac:dyDescent="0.25">
      <c r="A16" s="33"/>
      <c r="B16" s="33" t="s">
        <v>91</v>
      </c>
      <c r="C16" s="33" t="s">
        <v>79</v>
      </c>
      <c r="D16" s="33" t="s">
        <v>92</v>
      </c>
      <c r="E16" s="33" t="s">
        <v>93</v>
      </c>
      <c r="F16" s="33" t="s">
        <v>94</v>
      </c>
      <c r="G16" s="33" t="s">
        <v>95</v>
      </c>
      <c r="H16" s="33" t="s">
        <v>96</v>
      </c>
      <c r="I16" s="33" t="s">
        <v>97</v>
      </c>
    </row>
    <row r="17" spans="1:9" x14ac:dyDescent="0.25">
      <c r="A17" t="s">
        <v>85</v>
      </c>
      <c r="B17">
        <v>-1.3578410041473579</v>
      </c>
      <c r="C17">
        <v>0.11704338919596116</v>
      </c>
      <c r="D17">
        <v>-11.601176396848675</v>
      </c>
      <c r="E17">
        <v>2.2805439645760699E-13</v>
      </c>
      <c r="F17">
        <v>-1.5957017891927867</v>
      </c>
      <c r="G17">
        <v>-1.119980219101929</v>
      </c>
      <c r="H17">
        <v>-1.5957017891927867</v>
      </c>
      <c r="I17">
        <v>-1.119980219101929</v>
      </c>
    </row>
    <row r="18" spans="1:9" x14ac:dyDescent="0.25">
      <c r="A18" t="s">
        <v>101</v>
      </c>
      <c r="B18">
        <v>2.0233507253692999</v>
      </c>
      <c r="C18">
        <v>0.10509974781021633</v>
      </c>
      <c r="D18">
        <v>19.251718177506579</v>
      </c>
      <c r="E18">
        <v>7.3475952279446109E-20</v>
      </c>
      <c r="F18">
        <v>1.8097623399513099</v>
      </c>
      <c r="G18">
        <v>2.2369391107872882</v>
      </c>
      <c r="H18">
        <v>1.8097623399513099</v>
      </c>
      <c r="I18">
        <v>2.2369391107872882</v>
      </c>
    </row>
    <row r="19" spans="1:9" ht="13.8" thickBot="1" x14ac:dyDescent="0.3">
      <c r="A19" s="32" t="s">
        <v>102</v>
      </c>
      <c r="B19" s="32">
        <v>4.7940043018868197</v>
      </c>
      <c r="C19" s="32">
        <v>0.29418680819907034</v>
      </c>
      <c r="D19" s="32">
        <v>16.295782707710028</v>
      </c>
      <c r="E19" s="32">
        <v>1.2380486506678704E-17</v>
      </c>
      <c r="F19" s="32">
        <v>4.1961447762105513</v>
      </c>
      <c r="G19" s="32">
        <v>5.3918638275630828</v>
      </c>
      <c r="H19" s="32">
        <v>4.1961447762105513</v>
      </c>
      <c r="I19" s="32">
        <v>5.3918638275630828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Full Training + validation</vt:lpstr>
      <vt:lpstr>LOLO</vt:lpstr>
      <vt:lpstr>5-fold</vt:lpstr>
      <vt:lpstr>Isoelectronic</vt:lpstr>
      <vt:lpstr>Isosteric</vt:lpstr>
      <vt:lpstr>Training set regression</vt:lpstr>
      <vt:lpstr>Leave CataCXium A out</vt:lpstr>
      <vt:lpstr>Leave Potol out</vt:lpstr>
      <vt:lpstr>Leave PCy3 out</vt:lpstr>
      <vt:lpstr>Leave PEt3</vt:lpstr>
      <vt:lpstr>Leave PPh2Me out</vt:lpstr>
      <vt:lpstr>Leave PPh3 out</vt:lpstr>
      <vt:lpstr>Leave PtBu3 out</vt:lpstr>
      <vt:lpstr>Leave Trixie out</vt:lpstr>
      <vt:lpstr>leave split 1 out</vt:lpstr>
      <vt:lpstr>Leave split 2 out</vt:lpstr>
      <vt:lpstr>Leave split 3 out</vt:lpstr>
      <vt:lpstr>Leave split 4 out</vt:lpstr>
      <vt:lpstr>Leave split 5 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Austin Holcomb</cp:lastModifiedBy>
  <dcterms:created xsi:type="dcterms:W3CDTF">2024-01-23T23:31:13Z</dcterms:created>
  <dcterms:modified xsi:type="dcterms:W3CDTF">2024-02-12T20:15:57Z</dcterms:modified>
</cp:coreProperties>
</file>