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cc2016\Desktop\borsa\DCF\Companies\specifics\HD\"/>
    </mc:Choice>
  </mc:AlternateContent>
  <xr:revisionPtr revIDLastSave="0" documentId="13_ncr:1_{B660596E-E1CC-49F1-872F-024AD2CE17F1}" xr6:coauthVersionLast="47" xr6:coauthVersionMax="47" xr10:uidLastSave="{00000000-0000-0000-0000-000000000000}"/>
  <bookViews>
    <workbookView xWindow="-120" yWindow="-120" windowWidth="29040" windowHeight="15840" activeTab="5" xr2:uid="{00000000-000D-0000-FFFF-FFFF00000000}"/>
  </bookViews>
  <sheets>
    <sheet name="1.Openning" sheetId="1" r:id="rId1"/>
    <sheet name="2.Equity" sheetId="3" r:id="rId2"/>
    <sheet name="3.Debt" sheetId="4" r:id="rId3"/>
    <sheet name="4.WACC" sheetId="5" r:id="rId4"/>
    <sheet name="5.Story&amp;estimations" sheetId="7" r:id="rId5"/>
    <sheet name="6.DCF" sheetId="6" r:id="rId6"/>
    <sheet name="7.CONCLUSION - BUY OR SELL" sheetId="10" r:id="rId7"/>
    <sheet name="Sources" sheetId="2" r:id="rId8"/>
    <sheet name="Sheet4" sheetId="9" r:id="rId9"/>
  </sheets>
  <externalReferences>
    <externalReference r:id="rId10"/>
  </externalReferences>
  <definedNames>
    <definedName name="tgr">'6.DCF'!$D$11</definedName>
    <definedName name="wacc">'6.DCF'!$D$10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6" i="10" l="1"/>
  <c r="O130" i="6"/>
  <c r="N130" i="6"/>
  <c r="P130" i="6" s="1"/>
  <c r="Q130" i="6" s="1"/>
  <c r="J130" i="6"/>
  <c r="J132" i="6" s="1"/>
  <c r="J136" i="6" s="1"/>
  <c r="J140" i="6" s="1"/>
  <c r="K149" i="6"/>
  <c r="L149" i="6"/>
  <c r="M149" i="6"/>
  <c r="N149" i="6"/>
  <c r="O149" i="6"/>
  <c r="P149" i="6"/>
  <c r="Q149" i="6"/>
  <c r="J149" i="6"/>
  <c r="N159" i="6"/>
  <c r="Q142" i="6"/>
  <c r="P142" i="6"/>
  <c r="O142" i="6"/>
  <c r="N142" i="6"/>
  <c r="M142" i="6"/>
  <c r="L142" i="6"/>
  <c r="K142" i="6"/>
  <c r="J142" i="6"/>
  <c r="K138" i="6"/>
  <c r="L138" i="6" s="1"/>
  <c r="M138" i="6" s="1"/>
  <c r="N138" i="6" s="1"/>
  <c r="O138" i="6" s="1"/>
  <c r="P138" i="6" s="1"/>
  <c r="Q138" i="6" s="1"/>
  <c r="J138" i="6"/>
  <c r="I136" i="6"/>
  <c r="I140" i="6" s="1"/>
  <c r="N91" i="6"/>
  <c r="N85" i="6"/>
  <c r="J91" i="6"/>
  <c r="J93" i="6" s="1"/>
  <c r="N120" i="6"/>
  <c r="Q103" i="6"/>
  <c r="P103" i="6"/>
  <c r="O103" i="6"/>
  <c r="N103" i="6"/>
  <c r="M103" i="6"/>
  <c r="L103" i="6"/>
  <c r="K103" i="6"/>
  <c r="J103" i="6"/>
  <c r="J99" i="6"/>
  <c r="K99" i="6" s="1"/>
  <c r="L99" i="6" s="1"/>
  <c r="M99" i="6" s="1"/>
  <c r="N99" i="6" s="1"/>
  <c r="O99" i="6" s="1"/>
  <c r="P99" i="6" s="1"/>
  <c r="Q99" i="6" s="1"/>
  <c r="I97" i="6"/>
  <c r="I101" i="6" s="1"/>
  <c r="N82" i="6"/>
  <c r="Q65" i="6"/>
  <c r="P65" i="6"/>
  <c r="O65" i="6"/>
  <c r="N65" i="6"/>
  <c r="M65" i="6"/>
  <c r="L65" i="6"/>
  <c r="K65" i="6"/>
  <c r="J65" i="6"/>
  <c r="J61" i="6"/>
  <c r="K61" i="6" s="1"/>
  <c r="L61" i="6" s="1"/>
  <c r="M61" i="6" s="1"/>
  <c r="N61" i="6" s="1"/>
  <c r="O61" i="6" s="1"/>
  <c r="P61" i="6" s="1"/>
  <c r="Q61" i="6" s="1"/>
  <c r="I59" i="6"/>
  <c r="I63" i="6" s="1"/>
  <c r="N44" i="6"/>
  <c r="J144" i="6" l="1"/>
  <c r="J146" i="6" s="1"/>
  <c r="J148" i="6" s="1"/>
  <c r="J150" i="6" s="1"/>
  <c r="K132" i="6"/>
  <c r="J55" i="6"/>
  <c r="Q34" i="6"/>
  <c r="P34" i="6"/>
  <c r="O34" i="6"/>
  <c r="N34" i="6"/>
  <c r="M34" i="6"/>
  <c r="L34" i="6"/>
  <c r="K34" i="6"/>
  <c r="J34" i="6"/>
  <c r="K27" i="6"/>
  <c r="L27" i="6"/>
  <c r="M27" i="6"/>
  <c r="N27" i="6"/>
  <c r="O27" i="6"/>
  <c r="P27" i="6"/>
  <c r="Q27" i="6"/>
  <c r="J27" i="6"/>
  <c r="I21" i="6"/>
  <c r="I25" i="6" s="1"/>
  <c r="I15" i="6"/>
  <c r="J23" i="6"/>
  <c r="K23" i="6" s="1"/>
  <c r="L23" i="6" s="1"/>
  <c r="M23" i="6" s="1"/>
  <c r="N23" i="6" s="1"/>
  <c r="O23" i="6" s="1"/>
  <c r="P23" i="6" s="1"/>
  <c r="Q23" i="6" s="1"/>
  <c r="O292" i="7"/>
  <c r="F267" i="7"/>
  <c r="F268" i="7"/>
  <c r="F269" i="7"/>
  <c r="F270" i="7"/>
  <c r="F271" i="7"/>
  <c r="F272" i="7"/>
  <c r="F273" i="7"/>
  <c r="F274" i="7"/>
  <c r="F275" i="7"/>
  <c r="F276" i="7"/>
  <c r="F277" i="7"/>
  <c r="F278" i="7"/>
  <c r="F266" i="7"/>
  <c r="P117" i="7" a="1"/>
  <c r="P117" i="7" s="1"/>
  <c r="M251" i="7"/>
  <c r="D211" i="7"/>
  <c r="D212" i="7"/>
  <c r="D213" i="7"/>
  <c r="D214" i="7"/>
  <c r="D215" i="7"/>
  <c r="D216" i="7"/>
  <c r="D217" i="7"/>
  <c r="D218" i="7"/>
  <c r="D219" i="7"/>
  <c r="D220" i="7"/>
  <c r="D221" i="7"/>
  <c r="D222" i="7"/>
  <c r="D223" i="7"/>
  <c r="D224" i="7"/>
  <c r="D225" i="7"/>
  <c r="D210" i="7"/>
  <c r="U56" i="7" a="1"/>
  <c r="U56" i="7" s="1"/>
  <c r="K196" i="7"/>
  <c r="AA176" i="7"/>
  <c r="AA177" i="7"/>
  <c r="AA178" i="7"/>
  <c r="AA179" i="7"/>
  <c r="AA180" i="7"/>
  <c r="AA181" i="7"/>
  <c r="AA182" i="7"/>
  <c r="AA183" i="7"/>
  <c r="AA184" i="7"/>
  <c r="AA185" i="7"/>
  <c r="AA186" i="7"/>
  <c r="AA175" i="7"/>
  <c r="Z176" i="7"/>
  <c r="Z177" i="7"/>
  <c r="Z178" i="7"/>
  <c r="Z179" i="7"/>
  <c r="Z180" i="7"/>
  <c r="Z181" i="7"/>
  <c r="Z182" i="7"/>
  <c r="Z183" i="7"/>
  <c r="Z184" i="7"/>
  <c r="Z185" i="7"/>
  <c r="Z186" i="7"/>
  <c r="Z175" i="7"/>
  <c r="M60" i="7"/>
  <c r="M61" i="7"/>
  <c r="M62" i="7"/>
  <c r="M63" i="7"/>
  <c r="M64" i="7"/>
  <c r="M65" i="7"/>
  <c r="M66" i="7"/>
  <c r="M67" i="7"/>
  <c r="M68" i="7"/>
  <c r="M69" i="7"/>
  <c r="M70" i="7"/>
  <c r="M71" i="7"/>
  <c r="M72" i="7"/>
  <c r="M73" i="7"/>
  <c r="M74" i="7"/>
  <c r="B114" i="7"/>
  <c r="V146" i="7"/>
  <c r="V147" i="7" s="1"/>
  <c r="V148" i="7" s="1"/>
  <c r="V149" i="7" s="1"/>
  <c r="V150" i="7" s="1"/>
  <c r="V151" i="7" s="1"/>
  <c r="V152" i="7" s="1"/>
  <c r="V153" i="7" s="1"/>
  <c r="B115" i="7"/>
  <c r="B116" i="7"/>
  <c r="B117" i="7"/>
  <c r="B118" i="7"/>
  <c r="B119" i="7"/>
  <c r="B120" i="7"/>
  <c r="B121" i="7"/>
  <c r="B122" i="7"/>
  <c r="B123" i="7"/>
  <c r="B124" i="7"/>
  <c r="B125" i="7"/>
  <c r="B126" i="7"/>
  <c r="B127" i="7"/>
  <c r="B128" i="7"/>
  <c r="B129" i="7"/>
  <c r="S96" i="7" a="1"/>
  <c r="S96" i="7" s="1"/>
  <c r="P96" i="7" a="1"/>
  <c r="P96" i="7" s="1"/>
  <c r="B90" i="7"/>
  <c r="B79" i="7"/>
  <c r="B80" i="7"/>
  <c r="B81" i="7"/>
  <c r="B82" i="7"/>
  <c r="B83" i="7"/>
  <c r="B84" i="7"/>
  <c r="B85" i="7"/>
  <c r="B86" i="7"/>
  <c r="B87" i="7"/>
  <c r="B88" i="7"/>
  <c r="B89" i="7"/>
  <c r="B78" i="7"/>
  <c r="AE65" i="1" a="1"/>
  <c r="AE65" i="1" s="1"/>
  <c r="B2" i="6"/>
  <c r="K136" i="6" l="1"/>
  <c r="K140" i="6" s="1"/>
  <c r="L132" i="6"/>
  <c r="J15" i="6"/>
  <c r="P53" i="6"/>
  <c r="Q53" i="6" s="1"/>
  <c r="L110" i="6"/>
  <c r="L72" i="6"/>
  <c r="P72" i="6"/>
  <c r="P110" i="6"/>
  <c r="M110" i="6"/>
  <c r="M72" i="6"/>
  <c r="Q110" i="6"/>
  <c r="Q72" i="6"/>
  <c r="J72" i="6"/>
  <c r="J110" i="6"/>
  <c r="N72" i="6"/>
  <c r="N110" i="6"/>
  <c r="K72" i="6"/>
  <c r="K110" i="6"/>
  <c r="O72" i="6"/>
  <c r="O110" i="6"/>
  <c r="O91" i="6"/>
  <c r="P91" i="6" s="1"/>
  <c r="Q91" i="6" s="1"/>
  <c r="J97" i="6"/>
  <c r="J101" i="6" s="1"/>
  <c r="K93" i="6"/>
  <c r="J59" i="6"/>
  <c r="J63" i="6" s="1"/>
  <c r="K55" i="6"/>
  <c r="K15" i="6"/>
  <c r="L15" i="6" s="1"/>
  <c r="M15" i="6" s="1"/>
  <c r="N15" i="6" s="1"/>
  <c r="O15" i="6" s="1"/>
  <c r="P15" i="6" s="1"/>
  <c r="Q15" i="6" s="1"/>
  <c r="J17" i="6"/>
  <c r="C13" i="5"/>
  <c r="F15" i="5"/>
  <c r="D22" i="5" s="1"/>
  <c r="J15" i="5"/>
  <c r="D26" i="5" s="1"/>
  <c r="C15" i="5"/>
  <c r="D19" i="5" s="1"/>
  <c r="E13" i="5"/>
  <c r="F13" i="5" s="1"/>
  <c r="G13" i="5" s="1"/>
  <c r="H13" i="5" s="1"/>
  <c r="I13" i="5" s="1"/>
  <c r="J13" i="5" s="1"/>
  <c r="D13" i="5"/>
  <c r="D15" i="5" s="1"/>
  <c r="D20" i="5" s="1"/>
  <c r="E14" i="5"/>
  <c r="F14" i="5" s="1"/>
  <c r="G14" i="5" s="1"/>
  <c r="H14" i="5" s="1"/>
  <c r="I14" i="5" s="1"/>
  <c r="J14" i="5" s="1"/>
  <c r="D14" i="5"/>
  <c r="C14" i="5"/>
  <c r="J12" i="5"/>
  <c r="I12" i="5"/>
  <c r="H12" i="5"/>
  <c r="G12" i="5"/>
  <c r="F12" i="5"/>
  <c r="E12" i="5"/>
  <c r="D12" i="5"/>
  <c r="C12" i="5"/>
  <c r="J10" i="5"/>
  <c r="J11" i="5" s="1"/>
  <c r="I10" i="5"/>
  <c r="I11" i="5" s="1"/>
  <c r="H10" i="5"/>
  <c r="H11" i="5" s="1"/>
  <c r="G10" i="5"/>
  <c r="G11" i="5" s="1"/>
  <c r="F10" i="5"/>
  <c r="F11" i="5" s="1"/>
  <c r="E10" i="5"/>
  <c r="E11" i="5" s="1"/>
  <c r="D10" i="5"/>
  <c r="D11" i="5" s="1"/>
  <c r="C10" i="5"/>
  <c r="C11" i="5" s="1"/>
  <c r="C119" i="4"/>
  <c r="M116" i="4"/>
  <c r="Y116" i="4"/>
  <c r="C117" i="4"/>
  <c r="D116" i="4"/>
  <c r="E116" i="4"/>
  <c r="F116" i="4"/>
  <c r="G116" i="4"/>
  <c r="H116" i="4"/>
  <c r="I116" i="4"/>
  <c r="J116" i="4"/>
  <c r="K116" i="4"/>
  <c r="L116" i="4"/>
  <c r="N116" i="4"/>
  <c r="O116" i="4"/>
  <c r="P116" i="4"/>
  <c r="Q116" i="4"/>
  <c r="R116" i="4"/>
  <c r="S116" i="4"/>
  <c r="T116" i="4"/>
  <c r="U116" i="4"/>
  <c r="V116" i="4"/>
  <c r="W116" i="4"/>
  <c r="X116" i="4"/>
  <c r="C116" i="4"/>
  <c r="E114" i="4"/>
  <c r="F114" i="4" s="1"/>
  <c r="G114" i="4" s="1"/>
  <c r="H114" i="4" s="1"/>
  <c r="D114" i="4"/>
  <c r="C115" i="4"/>
  <c r="L115" i="4"/>
  <c r="M115" i="4" s="1"/>
  <c r="N115" i="4" s="1"/>
  <c r="O115" i="4" s="1"/>
  <c r="P115" i="4" s="1"/>
  <c r="Q115" i="4" s="1"/>
  <c r="R115" i="4" s="1"/>
  <c r="S115" i="4" s="1"/>
  <c r="T115" i="4" s="1"/>
  <c r="U115" i="4" s="1"/>
  <c r="V115" i="4" s="1"/>
  <c r="W115" i="4" s="1"/>
  <c r="X115" i="4" s="1"/>
  <c r="Y115" i="4" s="1"/>
  <c r="K115" i="4"/>
  <c r="J115" i="4"/>
  <c r="I115" i="4"/>
  <c r="H115" i="4"/>
  <c r="G115" i="4"/>
  <c r="F115" i="4"/>
  <c r="E115" i="4"/>
  <c r="D115" i="4"/>
  <c r="C109" i="4"/>
  <c r="D110" i="4"/>
  <c r="C107" i="4"/>
  <c r="D69" i="4"/>
  <c r="D70" i="4"/>
  <c r="D71" i="4"/>
  <c r="D72" i="4"/>
  <c r="D73" i="4"/>
  <c r="D74" i="4"/>
  <c r="D75" i="4"/>
  <c r="E75" i="4" s="1"/>
  <c r="H74" i="4" s="1"/>
  <c r="D68" i="4"/>
  <c r="C69" i="4"/>
  <c r="E69" i="4" s="1"/>
  <c r="H68" i="4" s="1"/>
  <c r="C70" i="4"/>
  <c r="E70" i="4" s="1"/>
  <c r="H69" i="4" s="1"/>
  <c r="C71" i="4"/>
  <c r="E71" i="4" s="1"/>
  <c r="H70" i="4" s="1"/>
  <c r="C72" i="4"/>
  <c r="E72" i="4" s="1"/>
  <c r="H71" i="4" s="1"/>
  <c r="C73" i="4"/>
  <c r="E73" i="4" s="1"/>
  <c r="H72" i="4" s="1"/>
  <c r="C74" i="4"/>
  <c r="E74" i="4" s="1"/>
  <c r="H73" i="4" s="1"/>
  <c r="C68" i="4"/>
  <c r="E68" i="4" s="1"/>
  <c r="H67" i="4" s="1"/>
  <c r="C272" i="3"/>
  <c r="L136" i="6" l="1"/>
  <c r="L140" i="6" s="1"/>
  <c r="M132" i="6"/>
  <c r="K144" i="6"/>
  <c r="K146" i="6" s="1"/>
  <c r="K148" i="6" s="1"/>
  <c r="K150" i="6" s="1"/>
  <c r="K97" i="6"/>
  <c r="K101" i="6" s="1"/>
  <c r="L93" i="6"/>
  <c r="J105" i="6"/>
  <c r="J107" i="6" s="1"/>
  <c r="J109" i="6" s="1"/>
  <c r="J111" i="6" s="1"/>
  <c r="K59" i="6"/>
  <c r="K63" i="6" s="1"/>
  <c r="L55" i="6"/>
  <c r="J67" i="6"/>
  <c r="J69" i="6" s="1"/>
  <c r="J71" i="6" s="1"/>
  <c r="J73" i="6" s="1"/>
  <c r="J21" i="6"/>
  <c r="J25" i="6" s="1"/>
  <c r="K17" i="6"/>
  <c r="I15" i="5"/>
  <c r="D25" i="5" s="1"/>
  <c r="E15" i="5"/>
  <c r="D21" i="5" s="1"/>
  <c r="H15" i="5"/>
  <c r="D24" i="5" s="1"/>
  <c r="G15" i="5"/>
  <c r="D23" i="5" s="1"/>
  <c r="I114" i="4"/>
  <c r="J114" i="4" s="1"/>
  <c r="K114" i="4" s="1"/>
  <c r="L114" i="4" s="1"/>
  <c r="M114" i="4" s="1"/>
  <c r="N114" i="4" s="1"/>
  <c r="O114" i="4" s="1"/>
  <c r="P114" i="4" s="1"/>
  <c r="Q114" i="4" s="1"/>
  <c r="R114" i="4" s="1"/>
  <c r="S114" i="4" s="1"/>
  <c r="T114" i="4" s="1"/>
  <c r="U114" i="4" s="1"/>
  <c r="V114" i="4" s="1"/>
  <c r="W114" i="4" s="1"/>
  <c r="X114" i="4" s="1"/>
  <c r="Y114" i="4" s="1"/>
  <c r="M136" i="6" l="1"/>
  <c r="M140" i="6" s="1"/>
  <c r="N132" i="6"/>
  <c r="L144" i="6"/>
  <c r="L146" i="6" s="1"/>
  <c r="L148" i="6" s="1"/>
  <c r="L150" i="6" s="1"/>
  <c r="L97" i="6"/>
  <c r="L101" i="6" s="1"/>
  <c r="M93" i="6"/>
  <c r="K105" i="6"/>
  <c r="K107" i="6" s="1"/>
  <c r="K109" i="6" s="1"/>
  <c r="K111" i="6" s="1"/>
  <c r="L59" i="6"/>
  <c r="L63" i="6" s="1"/>
  <c r="M55" i="6"/>
  <c r="K67" i="6"/>
  <c r="K69" i="6" s="1"/>
  <c r="K71" i="6" s="1"/>
  <c r="K73" i="6" s="1"/>
  <c r="J29" i="6"/>
  <c r="J31" i="6" s="1"/>
  <c r="J33" i="6" s="1"/>
  <c r="J35" i="6" s="1"/>
  <c r="L17" i="6"/>
  <c r="K21" i="6"/>
  <c r="K25" i="6" s="1"/>
  <c r="AA114" i="4"/>
  <c r="Z110" i="4"/>
  <c r="N136" i="6" l="1"/>
  <c r="N140" i="6" s="1"/>
  <c r="O132" i="6"/>
  <c r="M144" i="6"/>
  <c r="M146" i="6" s="1"/>
  <c r="M148" i="6" s="1"/>
  <c r="M150" i="6" s="1"/>
  <c r="M97" i="6"/>
  <c r="M101" i="6" s="1"/>
  <c r="N93" i="6"/>
  <c r="L105" i="6"/>
  <c r="L107" i="6" s="1"/>
  <c r="L109" i="6" s="1"/>
  <c r="L111" i="6" s="1"/>
  <c r="M59" i="6"/>
  <c r="M63" i="6" s="1"/>
  <c r="N55" i="6"/>
  <c r="L67" i="6"/>
  <c r="L69" i="6" s="1"/>
  <c r="L71" i="6" s="1"/>
  <c r="L73" i="6" s="1"/>
  <c r="K29" i="6"/>
  <c r="K31" i="6" s="1"/>
  <c r="K33" i="6" s="1"/>
  <c r="K35" i="6" s="1"/>
  <c r="M17" i="6"/>
  <c r="L21" i="6"/>
  <c r="L25" i="6" s="1"/>
  <c r="I253" i="3"/>
  <c r="I254" i="3"/>
  <c r="I255" i="3"/>
  <c r="I256" i="3"/>
  <c r="I257" i="3"/>
  <c r="I258" i="3"/>
  <c r="I259" i="3"/>
  <c r="I252" i="3"/>
  <c r="F260" i="3"/>
  <c r="F254" i="3"/>
  <c r="F255" i="3"/>
  <c r="F256" i="3"/>
  <c r="F257" i="3"/>
  <c r="F258" i="3"/>
  <c r="F259" i="3"/>
  <c r="F253" i="3"/>
  <c r="C254" i="3"/>
  <c r="C255" i="3"/>
  <c r="C256" i="3"/>
  <c r="C257" i="3"/>
  <c r="C258" i="3"/>
  <c r="C259" i="3"/>
  <c r="C253" i="3"/>
  <c r="D260" i="3"/>
  <c r="D254" i="3"/>
  <c r="D255" i="3"/>
  <c r="D256" i="3"/>
  <c r="D257" i="3"/>
  <c r="D258" i="3"/>
  <c r="D259" i="3"/>
  <c r="D253" i="3"/>
  <c r="E254" i="3"/>
  <c r="E255" i="3"/>
  <c r="E256" i="3"/>
  <c r="E257" i="3"/>
  <c r="E258" i="3"/>
  <c r="E259" i="3"/>
  <c r="E260" i="3"/>
  <c r="E253" i="3"/>
  <c r="E244" i="3"/>
  <c r="AH177" i="3"/>
  <c r="AF178" i="3"/>
  <c r="AF179" i="3"/>
  <c r="AF180" i="3"/>
  <c r="AF181" i="3"/>
  <c r="AF182" i="3"/>
  <c r="AF183" i="3"/>
  <c r="AF184" i="3"/>
  <c r="AF185" i="3"/>
  <c r="AF186" i="3"/>
  <c r="AF187" i="3"/>
  <c r="AF188" i="3"/>
  <c r="AF189" i="3"/>
  <c r="AF190" i="3"/>
  <c r="AF191" i="3"/>
  <c r="AF192" i="3"/>
  <c r="AF193" i="3"/>
  <c r="AF194" i="3"/>
  <c r="AF195" i="3"/>
  <c r="AF177" i="3"/>
  <c r="AE177" i="3"/>
  <c r="AE178" i="3"/>
  <c r="AE179" i="3"/>
  <c r="AE180" i="3"/>
  <c r="AE181" i="3"/>
  <c r="AE182" i="3"/>
  <c r="AE183" i="3"/>
  <c r="AE184" i="3"/>
  <c r="AE185" i="3"/>
  <c r="AE186" i="3"/>
  <c r="AE187" i="3"/>
  <c r="AE188" i="3"/>
  <c r="AE176" i="3"/>
  <c r="AH111" i="3"/>
  <c r="AH112" i="3"/>
  <c r="AH113" i="3"/>
  <c r="AH114" i="3"/>
  <c r="AH115" i="3"/>
  <c r="AH116" i="3"/>
  <c r="AH117" i="3"/>
  <c r="AH118" i="3"/>
  <c r="AH119" i="3"/>
  <c r="AH120" i="3"/>
  <c r="AH121" i="3"/>
  <c r="AH122" i="3"/>
  <c r="AH123" i="3"/>
  <c r="AH124" i="3"/>
  <c r="AH110" i="3"/>
  <c r="AH143" i="3"/>
  <c r="AH136" i="3"/>
  <c r="AH137" i="3"/>
  <c r="AH138" i="3"/>
  <c r="AH139" i="3"/>
  <c r="AH140" i="3"/>
  <c r="AH141" i="3"/>
  <c r="AH142" i="3"/>
  <c r="AH144" i="3"/>
  <c r="AH145" i="3"/>
  <c r="AH146" i="3"/>
  <c r="AH135" i="3"/>
  <c r="AI136" i="3"/>
  <c r="AI137" i="3"/>
  <c r="AI138" i="3"/>
  <c r="AI139" i="3"/>
  <c r="AI140" i="3"/>
  <c r="AI141" i="3"/>
  <c r="AI142" i="3"/>
  <c r="AI143" i="3"/>
  <c r="AI144" i="3"/>
  <c r="AI145" i="3"/>
  <c r="AI146" i="3"/>
  <c r="AI135" i="3"/>
  <c r="AF134" i="3" a="1"/>
  <c r="AF134" i="3" s="1"/>
  <c r="AF109" i="3" a="1"/>
  <c r="AF109" i="3" s="1"/>
  <c r="AE120" i="3"/>
  <c r="AE111" i="3"/>
  <c r="AE112" i="3"/>
  <c r="AE113" i="3"/>
  <c r="AE114" i="3"/>
  <c r="AE115" i="3"/>
  <c r="AE116" i="3"/>
  <c r="AE117" i="3"/>
  <c r="AE118" i="3"/>
  <c r="AE119" i="3"/>
  <c r="AE121" i="3"/>
  <c r="AE122" i="3"/>
  <c r="AE123" i="3"/>
  <c r="AE124" i="3"/>
  <c r="AE110" i="3"/>
  <c r="F238" i="3"/>
  <c r="E239" i="3"/>
  <c r="E240" i="3"/>
  <c r="E241" i="3"/>
  <c r="E242" i="3"/>
  <c r="E243" i="3"/>
  <c r="E238" i="3"/>
  <c r="D238" i="3"/>
  <c r="C239" i="3"/>
  <c r="C240" i="3" s="1"/>
  <c r="C241" i="3" s="1"/>
  <c r="C242" i="3" s="1"/>
  <c r="C243" i="3" s="1"/>
  <c r="C244" i="3" s="1"/>
  <c r="B101" i="3"/>
  <c r="O136" i="6" l="1"/>
  <c r="O140" i="6" s="1"/>
  <c r="P132" i="6"/>
  <c r="N144" i="6"/>
  <c r="N146" i="6" s="1"/>
  <c r="N148" i="6" s="1"/>
  <c r="N150" i="6" s="1"/>
  <c r="N97" i="6"/>
  <c r="N101" i="6" s="1"/>
  <c r="O93" i="6"/>
  <c r="M105" i="6"/>
  <c r="M107" i="6" s="1"/>
  <c r="M109" i="6" s="1"/>
  <c r="M111" i="6" s="1"/>
  <c r="N59" i="6"/>
  <c r="N63" i="6" s="1"/>
  <c r="O55" i="6"/>
  <c r="M67" i="6"/>
  <c r="M69" i="6" s="1"/>
  <c r="M71" i="6" s="1"/>
  <c r="M73" i="6" s="1"/>
  <c r="L29" i="6"/>
  <c r="L31" i="6" s="1"/>
  <c r="L33" i="6" s="1"/>
  <c r="L35" i="6" s="1"/>
  <c r="N17" i="6"/>
  <c r="M21" i="6"/>
  <c r="M25" i="6" s="1"/>
  <c r="D77" i="3"/>
  <c r="B78" i="3"/>
  <c r="C54" i="3"/>
  <c r="C55" i="3" s="1"/>
  <c r="D60" i="3"/>
  <c r="D61" i="3" s="1"/>
  <c r="D62" i="3" s="1"/>
  <c r="D63" i="3" s="1"/>
  <c r="P136" i="6" l="1"/>
  <c r="P140" i="6" s="1"/>
  <c r="Q132" i="6"/>
  <c r="Q136" i="6" s="1"/>
  <c r="Q140" i="6" s="1"/>
  <c r="O144" i="6"/>
  <c r="O146" i="6" s="1"/>
  <c r="O148" i="6" s="1"/>
  <c r="O150" i="6" s="1"/>
  <c r="O97" i="6"/>
  <c r="O101" i="6" s="1"/>
  <c r="P93" i="6"/>
  <c r="N105" i="6"/>
  <c r="N107" i="6" s="1"/>
  <c r="N109" i="6" s="1"/>
  <c r="N111" i="6" s="1"/>
  <c r="O59" i="6"/>
  <c r="O63" i="6" s="1"/>
  <c r="P55" i="6"/>
  <c r="N67" i="6"/>
  <c r="N69" i="6" s="1"/>
  <c r="N71" i="6" s="1"/>
  <c r="N73" i="6" s="1"/>
  <c r="M29" i="6"/>
  <c r="M31" i="6" s="1"/>
  <c r="M33" i="6" s="1"/>
  <c r="M35" i="6" s="1"/>
  <c r="O17" i="6"/>
  <c r="N21" i="6"/>
  <c r="N25" i="6" s="1"/>
  <c r="C56" i="3"/>
  <c r="C57" i="3" s="1"/>
  <c r="C58" i="3" s="1"/>
  <c r="Q144" i="6" l="1"/>
  <c r="Q146" i="6" s="1"/>
  <c r="Q148" i="6" s="1"/>
  <c r="Q150" i="6" s="1"/>
  <c r="N153" i="6" s="1"/>
  <c r="N154" i="6" s="1"/>
  <c r="P144" i="6"/>
  <c r="P146" i="6" s="1"/>
  <c r="P148" i="6" s="1"/>
  <c r="P150" i="6" s="1"/>
  <c r="J151" i="6" s="1"/>
  <c r="N155" i="6" s="1"/>
  <c r="N158" i="6" s="1"/>
  <c r="N160" i="6" s="1"/>
  <c r="N162" i="6" s="1"/>
  <c r="P97" i="6"/>
  <c r="P101" i="6" s="1"/>
  <c r="Q93" i="6"/>
  <c r="Q97" i="6" s="1"/>
  <c r="Q101" i="6" s="1"/>
  <c r="O105" i="6"/>
  <c r="O107" i="6" s="1"/>
  <c r="O109" i="6" s="1"/>
  <c r="O111" i="6" s="1"/>
  <c r="P59" i="6"/>
  <c r="P63" i="6" s="1"/>
  <c r="Q55" i="6"/>
  <c r="Q59" i="6" s="1"/>
  <c r="Q63" i="6" s="1"/>
  <c r="O67" i="6"/>
  <c r="O69" i="6" s="1"/>
  <c r="O71" i="6" s="1"/>
  <c r="O73" i="6" s="1"/>
  <c r="N29" i="6"/>
  <c r="N31" i="6" s="1"/>
  <c r="N33" i="6" s="1"/>
  <c r="N35" i="6" s="1"/>
  <c r="P17" i="6"/>
  <c r="O21" i="6"/>
  <c r="O25" i="6" s="1"/>
  <c r="AC67" i="1"/>
  <c r="AC68" i="1"/>
  <c r="AC69" i="1"/>
  <c r="AC70" i="1"/>
  <c r="AC71" i="1"/>
  <c r="AC72" i="1"/>
  <c r="AC73" i="1"/>
  <c r="AC74" i="1"/>
  <c r="AC75" i="1"/>
  <c r="AC76" i="1"/>
  <c r="AC77" i="1"/>
  <c r="AC78" i="1"/>
  <c r="AC79" i="1"/>
  <c r="AC80" i="1"/>
  <c r="AC66" i="1"/>
  <c r="U63" i="1"/>
  <c r="V62" i="1" s="1"/>
  <c r="Q105" i="6" l="1"/>
  <c r="Q107" i="6" s="1"/>
  <c r="Q109" i="6" s="1"/>
  <c r="Q111" i="6" s="1"/>
  <c r="N114" i="6" s="1"/>
  <c r="N115" i="6" s="1"/>
  <c r="P105" i="6"/>
  <c r="P107" i="6" s="1"/>
  <c r="P109" i="6" s="1"/>
  <c r="P111" i="6" s="1"/>
  <c r="Q67" i="6"/>
  <c r="Q69" i="6" s="1"/>
  <c r="Q71" i="6" s="1"/>
  <c r="Q73" i="6" s="1"/>
  <c r="P67" i="6"/>
  <c r="P69" i="6" s="1"/>
  <c r="P71" i="6" s="1"/>
  <c r="P73" i="6" s="1"/>
  <c r="J74" i="6" s="1"/>
  <c r="O29" i="6"/>
  <c r="O31" i="6" s="1"/>
  <c r="O33" i="6" s="1"/>
  <c r="O35" i="6" s="1"/>
  <c r="Q17" i="6"/>
  <c r="Q21" i="6" s="1"/>
  <c r="Q25" i="6" s="1"/>
  <c r="P21" i="6"/>
  <c r="P25" i="6" s="1"/>
  <c r="V61" i="1"/>
  <c r="V63" i="1" s="1"/>
  <c r="J112" i="6" l="1"/>
  <c r="N116" i="6" s="1"/>
  <c r="N119" i="6" s="1"/>
  <c r="N76" i="6"/>
  <c r="N77" i="6" s="1"/>
  <c r="N78" i="6" s="1"/>
  <c r="N81" i="6" s="1"/>
  <c r="N83" i="6" s="1"/>
  <c r="P29" i="6"/>
  <c r="P31" i="6" s="1"/>
  <c r="P33" i="6" s="1"/>
  <c r="P35" i="6" s="1"/>
  <c r="J36" i="6" s="1"/>
  <c r="Q29" i="6"/>
  <c r="Q31" i="6" s="1"/>
  <c r="Q33" i="6" s="1"/>
  <c r="N121" i="6" l="1"/>
  <c r="N123" i="6" s="1"/>
  <c r="Q35" i="6"/>
  <c r="N38" i="6" s="1"/>
  <c r="N39" i="6" s="1"/>
  <c r="N40" i="6" s="1"/>
  <c r="N43" i="6" s="1"/>
  <c r="N45" i="6" s="1"/>
  <c r="N47"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<sst xmlns="http://schemas.openxmlformats.org/spreadsheetml/2006/main" count="589" uniqueCount="421">
  <si>
    <t>Home Depot - DCF Valuation</t>
  </si>
  <si>
    <t xml:space="preserve">Date of valuation: 05/26/24 - </t>
  </si>
  <si>
    <t>assortment of building materials, home improvement products, lawn and garden products, décor products, and facilities maintenance, repair and</t>
  </si>
  <si>
    <t>from home deot fiscal 2023 10k report:</t>
  </si>
  <si>
    <r>
      <t>"The Home Depot, Inc. is the</t>
    </r>
    <r>
      <rPr>
        <b/>
        <sz val="11"/>
        <color theme="1"/>
        <rFont val="Arial"/>
        <family val="2"/>
        <scheme val="minor"/>
      </rPr>
      <t xml:space="preserve"> world’s largest home improvement retailer</t>
    </r>
    <r>
      <rPr>
        <sz val="11"/>
        <color theme="1"/>
        <rFont val="Arial"/>
        <family val="2"/>
        <scheme val="minor"/>
      </rPr>
      <t xml:space="preserve"> based on net sales for fiscal 2023. We offer our customers a wide</t>
    </r>
  </si>
  <si>
    <t>operations products. We also provide a number of services, including home improvement installation services and tool and equipment rental."</t>
  </si>
  <si>
    <t xml:space="preserve">I don’t think there is an adult in america, who never in his life heard about home depot, as they said (in their fiscal 2023 10k report), they are the world's largest home </t>
  </si>
  <si>
    <t>there is no dissagreement about the fact the home depot holds the "monopoly" about the home retailer sector.</t>
  </si>
  <si>
    <t>that graph is in time units of monthes.</t>
  </si>
  <si>
    <t xml:space="preserve">you can see that since the start, over the monthes the real estate sector grew and yeilded value to it's investors, this is due to the growth </t>
  </si>
  <si>
    <t>of the real estate in the real world, people buys houses, make kids, more human are alive, more human buy houses, this is the simple cycle</t>
  </si>
  <si>
    <t>with that being said, at 2021, the real estate market found it's peak, and was in a down trend since then.</t>
  </si>
  <si>
    <t>First, the birth rate in developed countries is smaller then 2, which means that society in developed countries is shirking.</t>
  </si>
  <si>
    <t>As we said, home depot is the world's largest home improvement retailer in the world, when people buy houses they</t>
  </si>
  <si>
    <t>buy home improvement products, so the real estate market and home retailer sector are tied one to another.</t>
  </si>
  <si>
    <t>Thus, you can also see Home Depot's decline in revenues.</t>
  </si>
  <si>
    <t>buying power of home improvement products.</t>
  </si>
  <si>
    <t>figure 1.1 - real estate sector SPDR</t>
  </si>
  <si>
    <t>figure 1.2 - home depot revenues by fiscal years</t>
  </si>
  <si>
    <t>figure 1.3 - revenues by area</t>
  </si>
  <si>
    <t>us</t>
  </si>
  <si>
    <t>outside of the us</t>
  </si>
  <si>
    <t>amount</t>
  </si>
  <si>
    <t>precent</t>
  </si>
  <si>
    <t>total</t>
  </si>
  <si>
    <t>area</t>
  </si>
  <si>
    <t xml:space="preserve">Second, which is the main problem, is that since 2021 there has been a housing crisis in the us, as you can see at figure 1.3, </t>
  </si>
  <si>
    <t>crisis that is currently going.</t>
  </si>
  <si>
    <t>As i said, the ongoing housing crisis is the absolout main reason why the real estate secor and home improvement retailer firms are</t>
  </si>
  <si>
    <t>currently losing value.</t>
  </si>
  <si>
    <t>OPENNING</t>
  </si>
  <si>
    <t>US HOUSING CRISIS</t>
  </si>
  <si>
    <t>chart 2.0 - yoy quarter growth in revenues.</t>
  </si>
  <si>
    <t>$152,669</t>
  </si>
  <si>
    <t>$157,403</t>
  </si>
  <si>
    <t>$151,157</t>
  </si>
  <si>
    <t>$132,110</t>
  </si>
  <si>
    <t>$110,225</t>
  </si>
  <si>
    <t>$108,203</t>
  </si>
  <si>
    <t>$100,904</t>
  </si>
  <si>
    <t>$94,595</t>
  </si>
  <si>
    <t>$88,519</t>
  </si>
  <si>
    <t>$83,176</t>
  </si>
  <si>
    <t>$78,812</t>
  </si>
  <si>
    <t>$74,754</t>
  </si>
  <si>
    <t>$70,395</t>
  </si>
  <si>
    <t>$67,997</t>
  </si>
  <si>
    <t>$66,176</t>
  </si>
  <si>
    <t>$71,288</t>
  </si>
  <si>
    <t>% chg</t>
  </si>
  <si>
    <t>As i said, the us is in deep housing crisis that causes Home Depot to be stagnant in growth, as can be seen in chart 2.0</t>
  </si>
  <si>
    <t>*you can see in 2021-2022 that hd actually had an outstanding growth in those years, this is because first, the real estate market has</t>
  </si>
  <si>
    <t>some delay with its financial preformence and second, when people understood that housing is just going to get more expensive, there</t>
  </si>
  <si>
    <t>was a mini rush for housing.</t>
  </si>
  <si>
    <t xml:space="preserve"> it had it's mini trends, for example at the 2008 crisis, but overall it kept rising in a steady pace, like a linear regression. </t>
  </si>
  <si>
    <t>but that changed at 2021, as you can see, at 2021 and 2022, there was a surge in the prices of houses,</t>
  </si>
  <si>
    <t xml:space="preserve"> a surge that hasn’t been seen ever.</t>
  </si>
  <si>
    <t>the extreme rise in prices is not Proportional to the change in avrage salary,</t>
  </si>
  <si>
    <t xml:space="preserve"> thus causing the inabilty of people to buy houses, which is the current housing crisis.</t>
  </si>
  <si>
    <t>for the last 50 years, the average sale price of houses was slowly rising,</t>
  </si>
  <si>
    <t>this raio, as it says, measure the raio between houses that are on sales to houses that sold,</t>
  </si>
  <si>
    <t>in a fixed economy, that ratio is about 5, when there is an ongoing crisis in the economy, people are trying to get more</t>
  </si>
  <si>
    <r>
      <t xml:space="preserve">money by selling their houses, but mostly </t>
    </r>
    <r>
      <rPr>
        <b/>
        <sz val="11"/>
        <color theme="1"/>
        <rFont val="Arial"/>
        <family val="2"/>
        <scheme val="minor"/>
      </rPr>
      <t>stop buying houses.</t>
    </r>
  </si>
  <si>
    <t>the most important information that we can take from this data, is that people stopped buying houses,this sudden</t>
  </si>
  <si>
    <t>stop isnt a normal part in the life cycle of the economy, but is at highes that represents deep economy crisises.</t>
  </si>
  <si>
    <t>this crisis also takes shape in the houses for sale to houses sold raio.</t>
  </si>
  <si>
    <t>those outcomes can be traced to the mortgage rate in the us.</t>
  </si>
  <si>
    <t>the mortgage rate is the interest rate charged for a home loan, to put things simple, when the mortgage rate is</t>
  </si>
  <si>
    <t>high, people need to pay higher interest on their loan to buy a house.</t>
  </si>
  <si>
    <t>house loan.</t>
  </si>
  <si>
    <t>when the mortgage rate is high, buying a house isnt as attractive as it was because you need to pay higher interest on the</t>
  </si>
  <si>
    <t>thus, high mortgage rate cause the buying power of houses to weaken.</t>
  </si>
  <si>
    <t>in 2021, there was an extreme surge in the mortgage rate, which causes the start of an housing crisis.</t>
  </si>
  <si>
    <t>worst then that, the high rate doesn’t seem to go down, but to stay high and stable.</t>
  </si>
  <si>
    <t xml:space="preserve">mortgage and interest rate </t>
  </si>
  <si>
    <t>the reason that the mortgage rate is that high, is because the interest rate is high, as in the graph, both are moving</t>
  </si>
  <si>
    <t xml:space="preserve">together, and it's to be expected that when the interest rate's will get lower, the mortgage rate will follow as well, which </t>
  </si>
  <si>
    <t>will ease on the housing crisis.</t>
  </si>
  <si>
    <t>doing so will as I said, ease the crisis, but it is still a deep crisis that would not be fixed that easily.</t>
  </si>
  <si>
    <t>CONCLUSION</t>
  </si>
  <si>
    <t>There is an onging housing crisis in the us, people cant efford buying a house, but rather rent a place that already has house products, causing firms like home deopt to see</t>
  </si>
  <si>
    <t>negative growth In revenues.</t>
  </si>
  <si>
    <t>this crisis is tied to the high interest rate, but is deeper in the economy then just the interest rate.</t>
  </si>
  <si>
    <t>lowering the interest rate will ease the crisis and cause home depot to see again positive growth.</t>
  </si>
  <si>
    <t>the crisis is yet to find It's peak and it doesn’t seem like its going anywhere in the near time.</t>
  </si>
  <si>
    <t xml:space="preserve">if lowering interest rates wouldn’t be sudden, but steady, and will last a long period, it's to be expected that the housing crisis will ease and ease, and home depot will slowly but surley </t>
  </si>
  <si>
    <t>see again growth rates like it have seen in the past.</t>
  </si>
  <si>
    <t>improvement retailer based on sales, their biggest advantage comes from the fact that "HOME DEPOT" itself is such a big brand that it attracts the castumers, and the numbers can just speak by themselves.</t>
  </si>
  <si>
    <r>
      <t xml:space="preserve">with that being said, at the time of writing this, (05/26/24) ,the whole </t>
    </r>
    <r>
      <rPr>
        <b/>
        <sz val="11"/>
        <color theme="1"/>
        <rFont val="Arial"/>
        <family val="2"/>
        <scheme val="minor"/>
      </rPr>
      <t xml:space="preserve">real estate </t>
    </r>
    <r>
      <rPr>
        <sz val="11"/>
        <color theme="1"/>
        <rFont val="Arial"/>
        <family val="2"/>
        <scheme val="minor"/>
      </rPr>
      <t>sector is in dicline because of deep economic problems that doesn’t seem to go anywhere in the short term.</t>
    </r>
  </si>
  <si>
    <t>as you can see in figure 1.1, the graph is of the Real Estate sector of the s&amp;p500, which represents the real estate sector as a whole.</t>
  </si>
  <si>
    <t>the should cause a growing real estate market.</t>
  </si>
  <si>
    <t>the onging house crisis can be traced to 2 deep problems in the economy and society as a whole.</t>
  </si>
  <si>
    <t>shorking society means less humans, less humans means less adults, less adults mean less real estate customers and weaker</t>
  </si>
  <si>
    <t>homedepot's most revenues come from the US (92%), thus, home depot's financial preformence is tied hand to hand with the housing</t>
  </si>
  <si>
    <t>to have a sense of what is up to come in the future, first we need to have a sense of what is currently going on in the housing and the real estate crisis.</t>
  </si>
  <si>
    <t>in 2021, the raio surged to highes that only been sen in crisises like the one in2008.</t>
  </si>
  <si>
    <t>and, the current value of the ratio doesn’t seem to go down, but seems to stay stable, whichh is a really bad sign.</t>
  </si>
  <si>
    <t>Also, there isnt seem to be a trend, but the current situation seems to stay stable, meaning that the real estate market</t>
  </si>
  <si>
    <t>will keep having difficulty to yeild any value to it's investors.</t>
  </si>
  <si>
    <t>this causes a deep economic problem in the housing market, and this crisis doesn’t seem to go anywhere.</t>
  </si>
  <si>
    <t xml:space="preserve">with that being said, from my opinion, that housing crisis is too severe to be fixed by only lowering interest rates. </t>
  </si>
  <si>
    <t>for the short term, home depot will keep to suffer from negative growth, but when interest rate go down, will see somewhat of a "rebound" in growth in revenues.</t>
  </si>
  <si>
    <t>COST &amp; VALUE OF EQUITY</t>
  </si>
  <si>
    <t>Home depot is a grown company, as we already discussed, home depot is the world’s largest home improvement retailer based on net sales.</t>
  </si>
  <si>
    <t>Market share of leading retail e-commerce companies in the United States in 2023</t>
  </si>
  <si>
    <t>thus, home depot is a maature company, that already takes a large portion from the market, to be specific, home depot holds</t>
  </si>
  <si>
    <r>
      <t xml:space="preserve">a market share of 1.9% from the retail </t>
    </r>
    <r>
      <rPr>
        <b/>
        <sz val="11"/>
        <color theme="1"/>
        <rFont val="Arial"/>
        <family val="2"/>
        <scheme val="minor"/>
      </rPr>
      <t>e-commerce</t>
    </r>
    <r>
      <rPr>
        <sz val="11"/>
        <color theme="1"/>
        <rFont val="Arial"/>
        <family val="2"/>
        <scheme val="minor"/>
      </rPr>
      <t>, which is a wonderful sign, that home depot is succeding in making a turn from</t>
    </r>
  </si>
  <si>
    <t>Do it yourself to Do it for me.</t>
  </si>
  <si>
    <t>because home depot is such a large company, we expect cost of equity close to the avrage sector.</t>
  </si>
  <si>
    <t>cost of equity = risk free rate + beta*equity risk premium</t>
  </si>
  <si>
    <t>risk free rate</t>
  </si>
  <si>
    <t>the risk free rate represents the rate of return in a risk free investment.</t>
  </si>
  <si>
    <t>we can see that the the risk free rate is on the rise and is in an up trend, to estimate to future rate, we would believe that the risk free rate</t>
  </si>
  <si>
    <t>is going to go back to its averages within the years</t>
  </si>
  <si>
    <t>we would consider the 30 years us bond as a risk free investment because the us is the biggest and most powerful country in the wrorld, thus has the least default risk.</t>
  </si>
  <si>
    <t>year</t>
  </si>
  <si>
    <t>rf</t>
  </si>
  <si>
    <t>current</t>
  </si>
  <si>
    <t>housing crisis will last about 3-6 years.</t>
  </si>
  <si>
    <r>
      <t xml:space="preserve">from one side, home depot is a grown company, on the other hand, there is an onging housing crisis that effect home depot, i will use a </t>
    </r>
    <r>
      <rPr>
        <b/>
        <sz val="11"/>
        <color theme="1"/>
        <rFont val="Arial"/>
        <family val="2"/>
        <scheme val="minor"/>
      </rPr>
      <t>7 years model</t>
    </r>
    <r>
      <rPr>
        <sz val="11"/>
        <color theme="1"/>
        <rFont val="Arial"/>
        <family val="2"/>
        <scheme val="minor"/>
      </rPr>
      <t xml:space="preserve"> to value home depot, because I believe that the</t>
    </r>
  </si>
  <si>
    <t>story</t>
  </si>
  <si>
    <t>inflation keeps being stable, intrest rates doesn’t change much, bond yeild keep rising</t>
  </si>
  <si>
    <t>inflation chills, interest rates getting low, bond yeilds lower too</t>
  </si>
  <si>
    <t>average year chg</t>
  </si>
  <si>
    <t>bond yeild getting lower by average year chg, and get closer to historical averages</t>
  </si>
  <si>
    <t>equity risk premium</t>
  </si>
  <si>
    <t>equity risk premium represents the the yeild investors require for the riskiness of the equity market</t>
  </si>
  <si>
    <t xml:space="preserve">we can see that "latley" (since 2008) the equity risk premium is between the 4.1% to the 6% </t>
  </si>
  <si>
    <t>with that being said, its plausible that in the next 5 years, the market will be less riskier, as the war in the middle east is currently active.</t>
  </si>
  <si>
    <r>
      <t xml:space="preserve">as an estimate, we would use the last </t>
    </r>
    <r>
      <rPr>
        <b/>
        <sz val="11"/>
        <color theme="1"/>
        <rFont val="Arial"/>
        <family val="2"/>
        <scheme val="minor"/>
      </rPr>
      <t>10 years average</t>
    </r>
  </si>
  <si>
    <t>current erp: 4.15%</t>
  </si>
  <si>
    <t>historical avg: 4.24%</t>
  </si>
  <si>
    <t>5 years avg: 4.93%</t>
  </si>
  <si>
    <t>avg =</t>
  </si>
  <si>
    <t>avg :</t>
  </si>
  <si>
    <t>erp</t>
  </si>
  <si>
    <t>equity risk premium represents the premium investors "ask" to invest in the non risk free</t>
  </si>
  <si>
    <t>equity of the us, I believe that because of the ongoing and upcoming war in the middle east,</t>
  </si>
  <si>
    <t>for the next two year there will be a raise in the erp because the market is riskier, after two</t>
  </si>
  <si>
    <t>years, the erp will move back to it's historical average.</t>
  </si>
  <si>
    <t>2026</t>
  </si>
  <si>
    <t>2027</t>
  </si>
  <si>
    <t>beta (relative risk measure)</t>
  </si>
  <si>
    <t>beta is a relative risk measure to the market, as we discussed, home depot is a big company which owns a big portion of the retail e commerce market.</t>
  </si>
  <si>
    <t xml:space="preserve">second, home improvement products are esstentail for a basic living. </t>
  </si>
  <si>
    <t>thus, home depot should have a beta that close to 1.</t>
  </si>
  <si>
    <t>fred</t>
  </si>
  <si>
    <t>statista</t>
  </si>
  <si>
    <t>tradingview</t>
  </si>
  <si>
    <t>yahoo finance api</t>
  </si>
  <si>
    <t>sources:</t>
  </si>
  <si>
    <t>unlevered beta</t>
  </si>
  <si>
    <t>the avearge unlevered beta for retail and home improvement retail sector</t>
  </si>
  <si>
    <t>home depot is getting bigger, although it's growth is about 0 to negative, the whole sector is shrinking, so home depot's cut from the home improvement retailer is still the same if not getting bigger</t>
  </si>
  <si>
    <t>revenues grow, home depot getting bigger, thus beta getting smaller</t>
  </si>
  <si>
    <t>tax rate</t>
  </si>
  <si>
    <t>de ratio</t>
  </si>
  <si>
    <t>unlvrd beta</t>
  </si>
  <si>
    <t>levered beta</t>
  </si>
  <si>
    <t>$76,530</t>
  </si>
  <si>
    <t>$76,445</t>
  </si>
  <si>
    <t>$71,876</t>
  </si>
  <si>
    <t>$70,581</t>
  </si>
  <si>
    <t>$51,236</t>
  </si>
  <si>
    <t>$44,003</t>
  </si>
  <si>
    <t>$44,529</t>
  </si>
  <si>
    <t>$42,966</t>
  </si>
  <si>
    <t>$41,973</t>
  </si>
  <si>
    <t>$39,946</t>
  </si>
  <si>
    <t>$40,518</t>
  </si>
  <si>
    <t>$41,084</t>
  </si>
  <si>
    <t>$40,125</t>
  </si>
  <si>
    <t>$40,877</t>
  </si>
  <si>
    <t>$41,164</t>
  </si>
  <si>
    <t>home depot total assets</t>
  </si>
  <si>
    <t>when it comes to home depot's assets, its gettingh rough, because of the ongoing crisis, home depot had a hard time gainning any assets, and right now it seems like its stagnnant, with last year growth of 0.1%!</t>
  </si>
  <si>
    <t>at 2021, we see the total assets grow in 35%, that because home depot raise more debt, and that because of the housing crisis, so we expect this to be a one time growth, with that being said, every now and then home depot grow in either cash or inventory.</t>
  </si>
  <si>
    <t>as we discussed, I don’t see an end to the housing crisis and the near 4 years, thus, I don’t see home depot's total assets growing that much, to hd's total assets to grow, hd needs to have more stores and to branch out, but with the current crisis its just isnt plausible.</t>
  </si>
  <si>
    <t>second, as we already showed, home depot is shifting torwards e commerce, thus lowering it's needs in assets and lowering it's total assets.</t>
  </si>
  <si>
    <t>to conclude, In the near 4 years home depot wont have much growth in total assets, but stay stagnant, then for the next 3 years we will see some slow growth.</t>
  </si>
  <si>
    <t>$75,486</t>
  </si>
  <si>
    <t>$74,883</t>
  </si>
  <si>
    <t>$73,572</t>
  </si>
  <si>
    <t>$67,282</t>
  </si>
  <si>
    <t>$54,352</t>
  </si>
  <si>
    <t>$45,881</t>
  </si>
  <si>
    <t>$43,075</t>
  </si>
  <si>
    <t>$38,633</t>
  </si>
  <si>
    <t>$35,657</t>
  </si>
  <si>
    <t>$30,624</t>
  </si>
  <si>
    <t>$27,996</t>
  </si>
  <si>
    <t>$23,307</t>
  </si>
  <si>
    <t>$22,620</t>
  </si>
  <si>
    <t>total liabilities</t>
  </si>
  <si>
    <t>total assets</t>
  </si>
  <si>
    <t xml:space="preserve"> % chg</t>
  </si>
  <si>
    <t>$ chg</t>
  </si>
  <si>
    <t>taking about total liabilities, home depot raised a lot of debt as 2020 to 2022, which is a good sign, when a company gets larger and has more exccesive returns and cash flows, it feels free to raise more debt for investing in different projects.</t>
  </si>
  <si>
    <t>with that being said, because home depot has been in decline for the last 2 years, she didn’t manage to convert those debt to assets, on the other hand, I don’t see home depot gainning much debt in the upcoming years, but I do see her gainning assets, beacuse of 2 reasons:</t>
  </si>
  <si>
    <t>1. she already has a big debt burden on her back, a logical thing to do is to not gain more debt.</t>
  </si>
  <si>
    <t>2. second, in my story, home depot manages to see growth, thus managing to invest in stores ect, thus gainning assets.</t>
  </si>
  <si>
    <t>we can see that what I said, at least in the last 2 years, is true, in fiscal years 2023 2024 home depot raised small amount of debt, in fact so small its &amp;chg and $chg is less then the one in 2013!</t>
  </si>
  <si>
    <t>shareholder's equity = total assets - total liabilities</t>
  </si>
  <si>
    <t>assets</t>
  </si>
  <si>
    <t>liab</t>
  </si>
  <si>
    <t>shr eq</t>
  </si>
  <si>
    <t>quarterly</t>
  </si>
  <si>
    <t>shareholders equity</t>
  </si>
  <si>
    <t>to conclude in shareholders equity, I think that for the next 4 years home depot isnt going to raise a lot of debt, and isnt going to see much growth In assets, thus shareholders equity going to almost stay stagnant</t>
  </si>
  <si>
    <t>chg %</t>
  </si>
  <si>
    <t>thereafter</t>
  </si>
  <si>
    <t>beta</t>
  </si>
  <si>
    <t>cost of equity</t>
  </si>
  <si>
    <t>market value of equity</t>
  </si>
  <si>
    <t>current price:</t>
  </si>
  <si>
    <t>shares</t>
  </si>
  <si>
    <t>market value of equity =</t>
  </si>
  <si>
    <t>*in mill</t>
  </si>
  <si>
    <t>Cost Of Debt</t>
  </si>
  <si>
    <t>cost of debt = rf + x*country default risk + company default risk</t>
  </si>
  <si>
    <t xml:space="preserve">cost of debt = rf+company default risk </t>
  </si>
  <si>
    <t xml:space="preserve">there is handfull of ways to calculate a default risk for a company, but fortunately, companies like amazon </t>
  </si>
  <si>
    <t>raise money by issuing bonds, and those bonds are being rated by official rating companies, that rating is the default risk for the copmany issuing the bond.</t>
  </si>
  <si>
    <r>
      <rPr>
        <b/>
        <sz val="11"/>
        <color theme="1"/>
        <rFont val="Arial"/>
        <family val="2"/>
        <scheme val="minor"/>
      </rPr>
      <t xml:space="preserve">x = 0; </t>
    </r>
    <r>
      <rPr>
        <sz val="11"/>
        <color theme="1"/>
        <rFont val="Arial"/>
        <family val="2"/>
        <scheme val="minor"/>
      </rPr>
      <t>home depot is a us company and as we discussed, the usa has default risk 0f 0%</t>
    </r>
  </si>
  <si>
    <t>fitch, a rating company rated Home Depot's 'A', convering to a default risk of 1% within 5 years, and default risk of 2.7% within 10 years.</t>
  </si>
  <si>
    <t>rating</t>
  </si>
  <si>
    <t>for the last decade, the rating for home depot was A, so we will assume it will stay like that.</t>
  </si>
  <si>
    <t>A</t>
  </si>
  <si>
    <t>default risk</t>
  </si>
  <si>
    <t>cost of debt</t>
  </si>
  <si>
    <t>Home Depot Cost Of Debt</t>
  </si>
  <si>
    <t>converting book value of debt to present value of debt</t>
  </si>
  <si>
    <t>to caluclate the cost of capital (wacc) we need to know how much equity and debt we have, we want to use the market vakue of equity and debt, to know what the market asses as the value, and not the</t>
  </si>
  <si>
    <t>book value.</t>
  </si>
  <si>
    <t>to convert the debt to it's present value, we would treat it like a bond, where the cupon rate is the interest expense, and the discount rate is the cost of debt.</t>
  </si>
  <si>
    <t>principal</t>
  </si>
  <si>
    <t>to convert thereafter to amount of years:</t>
  </si>
  <si>
    <t>average</t>
  </si>
  <si>
    <t>thereafter:</t>
  </si>
  <si>
    <t>thereafter/average =</t>
  </si>
  <si>
    <t>we would round up to 18 years</t>
  </si>
  <si>
    <t>annual interest ex</t>
  </si>
  <si>
    <t>present value</t>
  </si>
  <si>
    <t>total debt</t>
  </si>
  <si>
    <t>sum</t>
  </si>
  <si>
    <t>wacc calculation</t>
  </si>
  <si>
    <t>therafter</t>
  </si>
  <si>
    <t>wacc</t>
  </si>
  <si>
    <t>afte r tax cod</t>
  </si>
  <si>
    <t>market val debt</t>
  </si>
  <si>
    <t>market val equity</t>
  </si>
  <si>
    <t>x</t>
  </si>
  <si>
    <t>Shares</t>
  </si>
  <si>
    <t>Equity Value</t>
  </si>
  <si>
    <t>- Debt</t>
  </si>
  <si>
    <t>+ Cash</t>
  </si>
  <si>
    <t>Enterprise Value</t>
  </si>
  <si>
    <t>Present Value of Terminal Value</t>
  </si>
  <si>
    <t>Terminal Value</t>
  </si>
  <si>
    <t>EBIT</t>
  </si>
  <si>
    <t>DCF</t>
  </si>
  <si>
    <t>Terminal Growth rate</t>
  </si>
  <si>
    <t>WACC</t>
  </si>
  <si>
    <t>Valuation Assumptions</t>
  </si>
  <si>
    <t>Assumptions</t>
  </si>
  <si>
    <t>Today's Share Price</t>
  </si>
  <si>
    <t>Date</t>
  </si>
  <si>
    <t>EBIT*(1-tax rate) - ((cap ex - depreciation) + chg in non cash wc) = FCFF</t>
  </si>
  <si>
    <t>current year:</t>
  </si>
  <si>
    <t>Implied Share Price</t>
  </si>
  <si>
    <t>Ticker</t>
  </si>
  <si>
    <t>HD</t>
  </si>
  <si>
    <t>first, to give life to a valuation, there need to be a story behind it, if there isnt a story behind a valuation, its lifeless and cannot be trusted.</t>
  </si>
  <si>
    <t>Home Depot - my story</t>
  </si>
  <si>
    <t xml:space="preserve">In interviews, ted acknowledge that and boreadly speaks about a year of moderation after that high growth, with that being said, he says he does not know if this moderation phase will continue through out 2024, but as we can see from the current growth, it does. </t>
  </si>
  <si>
    <t>at the Openning of this valuation, we also discussed about that macros, and how the current housing crisis causes home depot to see non to negative growth, combinning both reasons (post pandemic growth&amp;housing crisis) we understand why this period of</t>
  </si>
  <si>
    <t>moderation is extending to 2024.</t>
  </si>
  <si>
    <t>as about the CEO himseslf, ted seems to be more of an analytic guy, he doesn’t seem to have vision for the future of home depot, but I don’t think it’s a bad sign at all;</t>
  </si>
  <si>
    <t>first, home depot is a mature company, if we don’t consider future acqusitions, mature companies are already settled in, home depot is already settled in, home depot is a simple retail company with a simple model, it doesn’t need a CEO with an insane vision for</t>
  </si>
  <si>
    <t>the future, but a ceo who expect and aims to an average growth, a CEO who will run the copmany in an operative way.</t>
  </si>
  <si>
    <t xml:space="preserve">home depot is an old style company, seeing it brench out to different sectors like amazon brenched out with it's AWS, is just not realistic, don’t get me wrong, I want to see home depot evolve with the </t>
  </si>
  <si>
    <t>technology, and get stronger in the e-commerce sector, but I don’t expect seeing it take big risk-projects or invest a lot in big long term projects.</t>
  </si>
  <si>
    <t>With all that being said, I think its critical to see home depot evovle in the e-commerce buisness, one BIG weakness that home depot has, is that society isnt the same as it used to be, "back in the days" people build their own houses, fixed problem in the house or car by</t>
  </si>
  <si>
    <t xml:space="preserve">themselves, and just overall were Do It Yourself kind of people, but these days, people want that job to be done for them, we don’t see the same enthusiasm to build something like it was in the past. </t>
  </si>
  <si>
    <t>if home depot won't adapt to the society new way of living, it will lose customers and growth, there is a slow but sure shift from DIY(do it your self) to DIFM (do it for me).</t>
  </si>
  <si>
    <t xml:space="preserve"> where he was responsible for store and online merchandising departments, merchandising strategy, marketing and vendor management and in-store environment, this is a great sign that ted is fimilier with that e-commerce world, </t>
  </si>
  <si>
    <t>We need to see home depot evolve and adapt this new change and invest in the e-commerce buisness, and likley it does, before ted tecker become the CEO, Ted served as chief merchant and executive vice president of merchandising for more than six years,</t>
  </si>
  <si>
    <t xml:space="preserve">and know to shift the company torwards being more accessible through the phone. </t>
  </si>
  <si>
    <t xml:space="preserve">I can also say that by reading the last annual repot of home depot (fiscal 2024), there where more mentions about the e-commerce and it's vision for the future, then in the annual report their biggest competitor, LOWES. </t>
  </si>
  <si>
    <t>Home Depot - thoughts about the future</t>
  </si>
  <si>
    <t>I think that the housing crisis is the biggest thing that holds the home retiail sector from seeing growth, thus, I believe that as the crisis will ease, we will see growth rates coming back to "normal terms".</t>
  </si>
  <si>
    <t xml:space="preserve">As we discussed in the openning, I belive the housing crisis can be traced back to inflation and high interest rates, I belive that by the organic economy cycle, within 2 years we would see interest rate get low, and within 2 more years we would see </t>
  </si>
  <si>
    <t>a significant easing in the housing crisis.</t>
  </si>
  <si>
    <t>in the mean time, I think home depot will make the right decisions to seem more attractive to customers, with it's shifting in e-commerce, causing home depot to experience more then the avrage growth rate in the sector.</t>
  </si>
  <si>
    <t>As ted tecker said himself, the post - pandemic caused home depot high growth, which after the high growth caused a period of moderation. I belive this post high growth moderation will ease with time.</t>
  </si>
  <si>
    <t>they find home depot the most attractive because of the overall brand, the atmosphere and most important the ability to buy products withing the touch of your phone.</t>
  </si>
  <si>
    <t>as the housing crisis ease, home depot "bounces back" to normal growth, and keeps being to biggest brand for home rerail products.</t>
  </si>
  <si>
    <t>I think the biggest thing you can take from this story, is that home depot' growth is much more reliable on the macro economics then on the copmany itself.</t>
  </si>
  <si>
    <r>
      <rPr>
        <b/>
        <sz val="11"/>
        <color theme="1"/>
        <rFont val="Arial"/>
        <family val="2"/>
        <scheme val="minor"/>
      </rPr>
      <t>To conclude my story</t>
    </r>
    <r>
      <rPr>
        <sz val="11"/>
        <color theme="1"/>
        <rFont val="Arial"/>
        <family val="2"/>
        <scheme val="minor"/>
      </rPr>
      <t>, with the ongoing housing crisis, home depot having a hard time to experience any growth, after 2 years interest rate seems to get low, and the housing crisis seems to ease, as customers buy houses and get to the point of buying home products,</t>
    </r>
  </si>
  <si>
    <t xml:space="preserve">because of that, I would like to check in my DCF 3 scenarios; </t>
  </si>
  <si>
    <t>and the third one is my story.</t>
  </si>
  <si>
    <t>the first one is most optimistic and unrealistic one, and its that right now, ie the next quarter, home depot will see growth just as if there is no crisis at all, and everything is normal.</t>
  </si>
  <si>
    <t>the second one is sthe most pasimistic, and is that the housing crisis will continue for 6 years, and only after that home depot will experience really low growth.</t>
  </si>
  <si>
    <t>revenues</t>
  </si>
  <si>
    <t>operating margins</t>
  </si>
  <si>
    <t>EBIT*(1-t)</t>
  </si>
  <si>
    <t>Reinvestment</t>
  </si>
  <si>
    <t>FCFF</t>
  </si>
  <si>
    <t>Revenues</t>
  </si>
  <si>
    <t>Operating margin</t>
  </si>
  <si>
    <t>Terminal value = FCFF terminal year / (cost of capital stable - growth stable)</t>
  </si>
  <si>
    <t>reinvestment = (revenues year 2 - revenues year 1) / sales to capital</t>
  </si>
  <si>
    <t>FCFF terminal year = (after tax EBIT terminal year * (1-Reinvestment rate terminal)) / (cost of capital stable - growth stable)</t>
  </si>
  <si>
    <t>reinvetment rate terminal = stable growth rate / stable return on capital                   *if by your philosophy in after the company fully get stable, everything she invests returns, then return on capital = cost of capital</t>
  </si>
  <si>
    <t>operating income</t>
  </si>
  <si>
    <t>income taxes</t>
  </si>
  <si>
    <t>pretax income</t>
  </si>
  <si>
    <t>effective tax rate</t>
  </si>
  <si>
    <t>The data</t>
  </si>
  <si>
    <t>estimations</t>
  </si>
  <si>
    <t>lets starts with the easies one, effective tax rate, home depot is a mature copmany with big markets share, pays an effective tax rate of 24%</t>
  </si>
  <si>
    <t>Story&amp;estimations</t>
  </si>
  <si>
    <t>there is a reason that most value investors says that the cash is the king, at the end of the day, if you mess a DCF valuation up, its not because of the discount rate, but because you messed up in the cash flows.</t>
  </si>
  <si>
    <t>the CEO of home depot, ted decker, turned in at 2022, at that time, the post - corona pandemic made the home retail consumer power much stronger, which caused home depot to experience outstanding growth rates.</t>
  </si>
  <si>
    <t>Overall, I think ted decker is a good ceo and on the bottom line the company knows to shift itself torwards the e-commerce world and generally its in the right direction.</t>
  </si>
  <si>
    <t>Home Depot total liabilities</t>
  </si>
  <si>
    <t>at the chart that presents total libalities $ chg, we can see that at 2020 &amp; 2021, home depot took a lot of new fresh debt, that explains why at 2021&amp;2022 we can see a ginificant jump in the growth,</t>
  </si>
  <si>
    <t>when discussion on "normal terms" we allready talked about the fact that home depot is a mature company, with a big market share, and should aim for a moderate growth rate, and that’s what we can see that happened between 2013-2019</t>
  </si>
  <si>
    <t>growth in revenues</t>
  </si>
  <si>
    <t>at 2013 to 2019, we can see home depot having normal and expected rates of growth, and as a mature thing I think that what we should expect</t>
  </si>
  <si>
    <t>from home depot in the future.</t>
  </si>
  <si>
    <t>average =</t>
  </si>
  <si>
    <t xml:space="preserve"> margins</t>
  </si>
  <si>
    <t>gross profit</t>
  </si>
  <si>
    <t>gross margins</t>
  </si>
  <si>
    <t xml:space="preserve">LOWE'S gross margins </t>
  </si>
  <si>
    <t>FASTENAL gross margins</t>
  </si>
  <si>
    <t>home depot's gross margins isnt that bad considering it's competitors margins, it seems that after experiencing a lost in efficiency and thus a lost in gross margins, the margins get stable at around 32%.</t>
  </si>
  <si>
    <t>its impressive to see that home depot managed to maintain stable operating margins, conisdering the industry average at about 14%, and the fact that</t>
  </si>
  <si>
    <t>home depot is a grown company, I belive home depot will maintain those 14% operating margins.</t>
  </si>
  <si>
    <t>we can see that before 2017, home depot managed to get more efficient, and after 2016 maintained a stable margins, which can be explained by the fact that home depot</t>
  </si>
  <si>
    <t>become a grown company, and managed to get industry average margins.</t>
  </si>
  <si>
    <t>cutting out the period of getting efficient and becoming a grown company, and cutting out corona and post corona periods,</t>
  </si>
  <si>
    <t xml:space="preserve">yeild us an average of </t>
  </si>
  <si>
    <t>margins, wich come hand to hand with the average industry margins.</t>
  </si>
  <si>
    <t xml:space="preserve">I will take a more pasimstic rouite and conclude future margins as </t>
  </si>
  <si>
    <t>reinvestment</t>
  </si>
  <si>
    <t>bv equity</t>
  </si>
  <si>
    <t>cash</t>
  </si>
  <si>
    <t>bv debt</t>
  </si>
  <si>
    <t>sales to invested capital</t>
  </si>
  <si>
    <t>sales to capital ratio = sales/(BV of equity + BV of debt - cash)</t>
  </si>
  <si>
    <t>the sales to capital ratio measures how many dollars a firm can generate for 1 dollar of reinvestment</t>
  </si>
  <si>
    <t>again, before 2017, we saw home depot getting more efficient, but then after become a mature company, having about the same value</t>
  </si>
  <si>
    <t>for sales to capital ratio.</t>
  </si>
  <si>
    <t>home depot has not raised a lot of debt In 2023 so I don’t expect a surge in revenues, which will make the STC higher.</t>
  </si>
  <si>
    <t>generally speaking, home depot is a grown company which sould maintain the STC values that she has In the last year.</t>
  </si>
  <si>
    <t xml:space="preserve">the average since 2017 to today is </t>
  </si>
  <si>
    <t>terminal</t>
  </si>
  <si>
    <t>Growth rate</t>
  </si>
  <si>
    <t>Operating margins</t>
  </si>
  <si>
    <t>Tax rate</t>
  </si>
  <si>
    <t>EBIT after tax</t>
  </si>
  <si>
    <t>fiscal 2024</t>
  </si>
  <si>
    <t>scenario 1: home depot right now jumps back to normal buisness, normal growth, no crisis.</t>
  </si>
  <si>
    <t>Sales to capital ratio</t>
  </si>
  <si>
    <t>chg in revenues</t>
  </si>
  <si>
    <t>Present Value of FCFF</t>
  </si>
  <si>
    <t>Unlevered FCFF</t>
  </si>
  <si>
    <t>TOTAL =</t>
  </si>
  <si>
    <t>stable growth rate =</t>
  </si>
  <si>
    <t>current price</t>
  </si>
  <si>
    <t>% gain (loss)</t>
  </si>
  <si>
    <t>scenerio 3 - my story</t>
  </si>
  <si>
    <t>Fair Share Price</t>
  </si>
  <si>
    <t>Fair value by analyst estimates</t>
  </si>
  <si>
    <t>scenario 2 - home depot doesn’t manage to achieve growth for the next 4 years.</t>
  </si>
  <si>
    <t>Conclusion</t>
  </si>
  <si>
    <t>So, is HomeDeopt's stock buy or sell?</t>
  </si>
  <si>
    <t>as we discussed, home depot is being effect by the housing crisis in the us, which does take a toll on it's growth.</t>
  </si>
  <si>
    <t>in our optimstic valuation, home depot is undervalued by about 30%.</t>
  </si>
  <si>
    <t xml:space="preserve">in our pasimistic valuation, home depot is over valued by about 20% </t>
  </si>
  <si>
    <t>By analysists estimations, home depot is fair valued.</t>
  </si>
  <si>
    <t>and by my story, home depot is undervalued by about 20%.</t>
  </si>
  <si>
    <t>so what do we can conclude from that?</t>
  </si>
  <si>
    <t>its not a surprise that grown companies such as home depot, come to be undervalued by about 20%, which isnt really worth investing, but tends</t>
  </si>
  <si>
    <t>more to be a swing.</t>
  </si>
  <si>
    <t>its worth.</t>
  </si>
  <si>
    <t>before concluding and tying up this valuation, I want to speak about plausible reasons why im awfully wrong in this valuation.</t>
  </si>
  <si>
    <t>it’s a small company in the e-commerce retail industry.</t>
  </si>
  <si>
    <t xml:space="preserve">there is a really possible and plausible route that home depot will shift itself to be more and more close torwards the general e-commerce retail </t>
  </si>
  <si>
    <t>industry, and from that, she can experience major growth rates.</t>
  </si>
  <si>
    <t>as I said, in this valuation I hadn't really gave that route much of an effect, I only took in mind that she uses the e-commerceto maintain the average growth rate</t>
  </si>
  <si>
    <t>if im wrong, and she does shift herself torwards e-commerce, I probably massivley undervalued homedepot.</t>
  </si>
  <si>
    <t>for a grown company in the home improvement retailer industry.</t>
  </si>
  <si>
    <t xml:space="preserve">with that being said, I think my bias tends to value companies a bit more then what they are worth, and as you can see, I barley valued home depot more then what </t>
  </si>
  <si>
    <r>
      <t xml:space="preserve">to be specific, there is one reason, I valued home depot as an </t>
    </r>
    <r>
      <rPr>
        <b/>
        <sz val="11"/>
        <color theme="1"/>
        <rFont val="Arial"/>
        <family val="2"/>
        <scheme val="minor"/>
      </rPr>
      <t>home improvement retailer</t>
    </r>
    <r>
      <rPr>
        <sz val="11"/>
        <color theme="1"/>
        <rFont val="Arial"/>
        <family val="2"/>
        <scheme val="minor"/>
      </rPr>
      <t>, which isnt wrong, but as we discussed, the</t>
    </r>
  </si>
  <si>
    <t>retail industry as a whole is moving torwards e-commerce, so while home deopt is a grown company in the home improvement retailer industry,</t>
  </si>
  <si>
    <t>back to the point, to conclude this valuation I think that home depot is fair valued and thus</t>
  </si>
  <si>
    <t>not a buy nor sell</t>
  </si>
  <si>
    <t>at the current price 330$, I don’t think home depot is neither worth buying or selling, I believe its pretty much fairvalued.</t>
  </si>
  <si>
    <t>with that being said, I do think that at about the price of 300$ it is worth buying and holding for about 2 years.</t>
  </si>
  <si>
    <t>price</t>
  </si>
  <si>
    <t>decision</t>
  </si>
  <si>
    <t>neutral</t>
  </si>
  <si>
    <t>BUY</t>
  </si>
  <si>
    <t>SELL</t>
  </si>
  <si>
    <t>hold</t>
  </si>
  <si>
    <t>1 year</t>
  </si>
  <si>
    <t>weak buy</t>
  </si>
  <si>
    <t>2 years</t>
  </si>
  <si>
    <t xml:space="preserve">3 years </t>
  </si>
  <si>
    <t>buy</t>
  </si>
  <si>
    <t>4 years</t>
  </si>
  <si>
    <t>5+</t>
  </si>
  <si>
    <t>strong buy</t>
  </si>
  <si>
    <t>by roi dayan</t>
  </si>
  <si>
    <t>possible investment: enter at around 300$, sell at around 380$</t>
  </si>
  <si>
    <t>time:</t>
  </si>
  <si>
    <t>return of:</t>
  </si>
  <si>
    <t>1/2 a year - 2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</si>
</sst>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409]* #,##0.00_ ;_-[$$-409]* \-#,##0.00\ ;_-[$$-409]* &quot;-&quot;??_ ;_-@_ "/>
    <numFmt numFmtId="165" formatCode="0.0%"/>
    <numFmt numFmtId="166" formatCode="0.000%"/>
    <numFmt numFmtId="167" formatCode="0.00000000%"/>
    <numFmt numFmtId="168" formatCode="_-[$$-409]* #,##0.0_ ;_-[$$-409]* \-#,##0.0\ ;_-[$$-409]* &quot;-&quot;??_ ;_-@_ "/>
    <numFmt numFmtId="169" formatCode="_-[$$-409]* #,##0_ ;_-[$$-409]* \-#,##0\ ;_-[$$-409]* &quot;-&quot;??_ ;_-@_ "/>
    <numFmt numFmtId="170" formatCode="_([$$-409]* #,##0.00_);_([$$-409]* \(#,##0.00\);_([$$-409]* &quot;-&quot;??_);_(@_)"/>
    <numFmt numFmtId="171" formatCode="&quot;$&quot;#,##0"/>
    <numFmt numFmtId="172" formatCode="&quot;$&quot;#,##0_);[Red]\(&quot;$&quot;#,##0\)"/>
    <numFmt numFmtId="173" formatCode="&quot;$&quot;#,##0.00"/>
  </numFmts>
  <fonts count="31" x14ac:knownFonts="1">
    <font>
      <sz val="11"/>
      <color theme="1"/>
      <name val="Arial"/>
      <family val="2"/>
      <scheme val="minor"/>
    </font>
    <font>
      <sz val="11"/>
      <color theme="1"/>
      <name val="Arial"/>
      <family val="2"/>
      <scheme val="minor"/>
    </font>
    <font>
      <b/>
      <sz val="22"/>
      <color theme="1"/>
      <name val="Arial"/>
      <family val="2"/>
      <scheme val="minor"/>
    </font>
    <font>
      <b/>
      <sz val="11"/>
      <color theme="1"/>
      <name val="Arial"/>
      <family val="2"/>
      <scheme val="minor"/>
    </font>
    <font>
      <b/>
      <sz val="14"/>
      <color theme="1"/>
      <name val="Arial"/>
      <family val="2"/>
      <scheme val="minor"/>
    </font>
    <font>
      <b/>
      <u/>
      <sz val="14"/>
      <color theme="1"/>
      <name val="Arial"/>
      <family val="2"/>
      <scheme val="minor"/>
    </font>
    <font>
      <sz val="11"/>
      <color rgb="FF444444"/>
      <name val="Roboto"/>
    </font>
    <font>
      <sz val="11"/>
      <color theme="0" tint="-0.249977111117893"/>
      <name val="Arial"/>
      <family val="2"/>
      <scheme val="minor"/>
    </font>
    <font>
      <b/>
      <sz val="20"/>
      <color theme="1"/>
      <name val="Arial"/>
      <family val="2"/>
      <scheme val="minor"/>
    </font>
    <font>
      <sz val="12"/>
      <color rgb="FF0F2741"/>
      <name val="Open Sans"/>
      <family val="2"/>
    </font>
    <font>
      <b/>
      <u/>
      <sz val="12"/>
      <color theme="1"/>
      <name val="Arial"/>
      <family val="2"/>
      <scheme val="minor"/>
    </font>
    <font>
      <b/>
      <i/>
      <sz val="10"/>
      <color theme="1"/>
      <name val="Arial"/>
      <family val="2"/>
      <scheme val="minor"/>
    </font>
    <font>
      <sz val="10"/>
      <color theme="1"/>
      <name val="Arial"/>
      <family val="2"/>
      <scheme val="minor"/>
    </font>
    <font>
      <sz val="10"/>
      <name val="Arial"/>
      <family val="2"/>
      <scheme val="minor"/>
    </font>
    <font>
      <sz val="9"/>
      <color rgb="FF000000"/>
      <name val="Arial"/>
      <family val="2"/>
      <scheme val="minor"/>
    </font>
    <font>
      <b/>
      <sz val="16"/>
      <color theme="1"/>
      <name val="Arial"/>
      <family val="2"/>
      <scheme val="minor"/>
    </font>
    <font>
      <b/>
      <sz val="18"/>
      <color theme="1"/>
      <name val="Arial"/>
      <family val="2"/>
      <scheme val="minor"/>
    </font>
    <font>
      <b/>
      <sz val="11"/>
      <name val="Arial"/>
      <family val="2"/>
      <scheme val="minor"/>
    </font>
    <font>
      <sz val="11"/>
      <name val="Arial"/>
      <family val="2"/>
      <scheme val="minor"/>
    </font>
    <font>
      <i/>
      <sz val="11"/>
      <color theme="1"/>
      <name val="Arial"/>
      <family val="2"/>
      <scheme val="minor"/>
    </font>
    <font>
      <i/>
      <sz val="11"/>
      <color rgb="FF00B050"/>
      <name val="Arial"/>
      <family val="2"/>
      <scheme val="minor"/>
    </font>
    <font>
      <sz val="11"/>
      <color rgb="FF7030A0"/>
      <name val="Arial"/>
      <family val="2"/>
      <scheme val="minor"/>
    </font>
    <font>
      <sz val="11"/>
      <color rgb="FF00B050"/>
      <name val="Arial"/>
      <family val="2"/>
      <scheme val="minor"/>
    </font>
    <font>
      <b/>
      <sz val="11"/>
      <color theme="0"/>
      <name val="Arial"/>
      <family val="2"/>
      <scheme val="minor"/>
    </font>
    <font>
      <b/>
      <sz val="14"/>
      <color rgb="FF00B050"/>
      <name val="Times New Roman"/>
      <family val="1"/>
      <scheme val="major"/>
    </font>
    <font>
      <b/>
      <sz val="28"/>
      <color theme="1"/>
      <name val="Arial"/>
      <family val="2"/>
      <scheme val="minor"/>
    </font>
    <font>
      <b/>
      <u/>
      <sz val="11"/>
      <color theme="1"/>
      <name val="Arial"/>
      <family val="2"/>
      <scheme val="minor"/>
    </font>
    <font>
      <sz val="11"/>
      <color rgb="FFFF0000"/>
      <name val="Arial"/>
      <family val="2"/>
      <scheme val="minor"/>
    </font>
    <font>
      <b/>
      <sz val="11"/>
      <color rgb="FF00B050"/>
      <name val="Arial"/>
      <family val="2"/>
      <scheme val="minor"/>
    </font>
    <font>
      <b/>
      <sz val="11"/>
      <color rgb="FFFF0000"/>
      <name val="Arial"/>
      <family val="2"/>
      <scheme val="minor"/>
    </font>
    <font>
      <b/>
      <sz val="26"/>
      <color theme="1"/>
      <name val="Arial"/>
      <family val="2"/>
      <scheme val="minor"/>
    </font>
  </fonts>
  <fills count="17">
    <fill>
      <patternFill patternType="none"/>
    </fill>
    <fill>
      <patternFill patternType="gray125"/>
    </fill>
    <fill>
      <patternFill patternType="solid">
        <fgColor theme="7"/>
        <bgColor indexed="64"/>
      </patternFill>
    </fill>
    <fill>
      <patternFill patternType="solid">
        <fgColor rgb="FFFFFFFF"/>
        <bgColor indexed="64"/>
      </patternFill>
    </fill>
    <fill>
      <patternFill patternType="solid">
        <fgColor theme="0"/>
        <bgColor indexed="64"/>
      </patternFill>
    </fill>
    <fill>
      <patternFill patternType="solid">
        <fgColor theme="0"/>
        <bgColor theme="0" tint="-0.14999847407452621"/>
      </patternFill>
    </fill>
    <fill>
      <patternFill patternType="solid">
        <fgColor rgb="FFFFC000"/>
        <bgColor indexed="64"/>
      </patternFill>
    </fill>
    <fill>
      <patternFill patternType="solid">
        <fgColor rgb="FFFFFF00"/>
        <bgColor indexed="64"/>
      </patternFill>
    </fill>
    <fill>
      <patternFill patternType="solid">
        <fgColor theme="5"/>
        <bgColor indexed="64"/>
      </patternFill>
    </fill>
    <fill>
      <patternFill patternType="solid">
        <fgColor theme="3"/>
        <bgColor indexed="64"/>
      </patternFill>
    </fill>
    <fill>
      <patternFill patternType="solid">
        <fgColor theme="7"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DDDDDD"/>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dotted">
        <color indexed="64"/>
      </left>
      <right style="dotted">
        <color indexed="64"/>
      </right>
      <top style="dotted">
        <color indexed="64"/>
      </top>
      <bottom style="thin">
        <color indexed="64"/>
      </bottom>
      <diagonal/>
    </border>
    <border>
      <left/>
      <right/>
      <top/>
      <bottom style="thin">
        <color indexed="64"/>
      </bottom>
      <diagonal/>
    </border>
    <border>
      <left style="dotted">
        <color indexed="64"/>
      </left>
      <right style="dotted">
        <color indexed="64"/>
      </right>
      <top style="dotted">
        <color indexed="64"/>
      </top>
      <bottom style="dotted">
        <color indexed="64"/>
      </bottom>
      <diagonal/>
    </border>
    <border>
      <left/>
      <right style="thin">
        <color indexed="64"/>
      </right>
      <top/>
      <bottom/>
      <diagonal/>
    </border>
    <border>
      <left/>
      <right/>
      <top style="dotted">
        <color indexed="64"/>
      </top>
      <bottom/>
      <diagonal/>
    </border>
    <border>
      <left style="hair">
        <color indexed="64"/>
      </left>
      <right style="hair">
        <color indexed="64"/>
      </right>
      <top style="hair">
        <color indexed="64"/>
      </top>
      <bottom style="hair">
        <color indexed="64"/>
      </bottom>
      <diagonal/>
    </border>
    <border>
      <left/>
      <right/>
      <top style="thin">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48">
    <xf numFmtId="0" fontId="0" fillId="0" borderId="0" xfId="0"/>
    <xf numFmtId="164" fontId="0" fillId="0" borderId="0" xfId="0" applyNumberFormat="1"/>
    <xf numFmtId="9" fontId="0" fillId="0" borderId="0" xfId="1" applyFont="1"/>
    <xf numFmtId="165" fontId="0" fillId="0" borderId="0" xfId="1" applyNumberFormat="1" applyFont="1"/>
    <xf numFmtId="164" fontId="0" fillId="0" borderId="9" xfId="0" applyNumberFormat="1" applyBorder="1"/>
    <xf numFmtId="9" fontId="0" fillId="0" borderId="9" xfId="0" applyNumberFormat="1" applyBorder="1"/>
    <xf numFmtId="0" fontId="3" fillId="0" borderId="9" xfId="0" applyFont="1" applyBorder="1" applyAlignment="1">
      <alignment horizontal="center"/>
    </xf>
    <xf numFmtId="9" fontId="3" fillId="2" borderId="9" xfId="1" applyFont="1" applyFill="1" applyBorder="1"/>
    <xf numFmtId="0" fontId="0" fillId="0" borderId="10" xfId="0" applyBorder="1"/>
    <xf numFmtId="0" fontId="0" fillId="0" borderId="11" xfId="0" applyBorder="1"/>
    <xf numFmtId="0" fontId="3" fillId="0" borderId="10" xfId="0" applyFont="1" applyBorder="1" applyAlignment="1">
      <alignment vertical="center"/>
    </xf>
    <xf numFmtId="0" fontId="3" fillId="0" borderId="11" xfId="0" applyFont="1" applyBorder="1" applyAlignment="1">
      <alignment vertical="center"/>
    </xf>
    <xf numFmtId="0" fontId="6" fillId="3" borderId="12" xfId="0" applyFont="1" applyFill="1" applyBorder="1" applyAlignment="1">
      <alignment horizontal="center" vertical="center" wrapText="1"/>
    </xf>
    <xf numFmtId="0" fontId="7" fillId="0" borderId="0" xfId="0" applyFont="1"/>
    <xf numFmtId="0" fontId="9" fillId="0" borderId="0" xfId="0" applyFont="1"/>
    <xf numFmtId="0" fontId="4" fillId="0" borderId="0" xfId="0" applyFont="1"/>
    <xf numFmtId="0" fontId="10" fillId="0" borderId="0" xfId="0" applyFont="1"/>
    <xf numFmtId="166" fontId="0" fillId="0" borderId="0" xfId="0" applyNumberFormat="1"/>
    <xf numFmtId="166" fontId="0" fillId="0" borderId="0" xfId="1" applyNumberFormat="1" applyFont="1"/>
    <xf numFmtId="0" fontId="0" fillId="0" borderId="13" xfId="0" applyBorder="1"/>
    <xf numFmtId="0" fontId="0" fillId="0" borderId="14" xfId="0" applyBorder="1"/>
    <xf numFmtId="0" fontId="0" fillId="0" borderId="15" xfId="0" applyBorder="1"/>
    <xf numFmtId="166" fontId="0" fillId="0" borderId="16" xfId="0" applyNumberFormat="1" applyBorder="1"/>
    <xf numFmtId="10" fontId="0" fillId="2" borderId="16" xfId="0" applyNumberFormat="1" applyFill="1" applyBorder="1"/>
    <xf numFmtId="166" fontId="0" fillId="2" borderId="16" xfId="0" applyNumberFormat="1" applyFill="1" applyBorder="1"/>
    <xf numFmtId="166" fontId="0" fillId="2" borderId="18" xfId="0" applyNumberFormat="1" applyFill="1" applyBorder="1"/>
    <xf numFmtId="0" fontId="0" fillId="0" borderId="15" xfId="0" applyBorder="1" applyAlignment="1">
      <alignment horizontal="center" vertical="center"/>
    </xf>
    <xf numFmtId="0" fontId="0" fillId="0" borderId="17" xfId="0" applyBorder="1" applyAlignment="1">
      <alignment horizontal="center" vertical="center"/>
    </xf>
    <xf numFmtId="0" fontId="0" fillId="4" borderId="0" xfId="0" applyFill="1"/>
    <xf numFmtId="10" fontId="0" fillId="4" borderId="0" xfId="0" applyNumberFormat="1" applyFill="1" applyAlignment="1">
      <alignment horizontal="left" vertical="top"/>
    </xf>
    <xf numFmtId="10" fontId="11" fillId="4" borderId="0" xfId="0" applyNumberFormat="1" applyFont="1" applyFill="1" applyAlignment="1">
      <alignment horizontal="center" vertical="center"/>
    </xf>
    <xf numFmtId="0" fontId="0" fillId="5" borderId="0" xfId="0" applyFill="1" applyAlignment="1">
      <alignment horizontal="left" vertical="top"/>
    </xf>
    <xf numFmtId="10" fontId="12" fillId="4" borderId="0" xfId="0" applyNumberFormat="1" applyFont="1" applyFill="1" applyAlignment="1">
      <alignment horizontal="center" vertical="center"/>
    </xf>
    <xf numFmtId="0" fontId="0" fillId="4" borderId="0" xfId="0" applyFill="1" applyAlignment="1">
      <alignment horizontal="left" vertical="top"/>
    </xf>
    <xf numFmtId="10" fontId="12" fillId="5" borderId="0" xfId="0" applyNumberFormat="1" applyFont="1" applyFill="1" applyAlignment="1">
      <alignment horizontal="center" vertical="center"/>
    </xf>
    <xf numFmtId="0" fontId="0" fillId="5" borderId="0" xfId="0" applyFill="1" applyAlignment="1">
      <alignment horizontal="center" vertical="center"/>
    </xf>
    <xf numFmtId="166" fontId="0" fillId="4" borderId="0" xfId="0" applyNumberFormat="1" applyFill="1" applyAlignment="1">
      <alignment horizontal="left" vertical="top"/>
    </xf>
    <xf numFmtId="0" fontId="0" fillId="0" borderId="13" xfId="0" applyBorder="1" applyAlignment="1">
      <alignment horizontal="center" vertical="center"/>
    </xf>
    <xf numFmtId="0" fontId="0" fillId="0" borderId="14" xfId="0" applyBorder="1" applyAlignment="1">
      <alignment horizontal="center" vertical="center"/>
    </xf>
    <xf numFmtId="0" fontId="13" fillId="0" borderId="19" xfId="0" applyFont="1" applyBorder="1" applyAlignment="1">
      <alignment horizontal="center"/>
    </xf>
    <xf numFmtId="10" fontId="13" fillId="6" borderId="20" xfId="0" applyNumberFormat="1" applyFont="1" applyFill="1" applyBorder="1" applyAlignment="1">
      <alignment horizontal="center"/>
    </xf>
    <xf numFmtId="0" fontId="13" fillId="0" borderId="21" xfId="0" applyFont="1" applyBorder="1" applyAlignment="1">
      <alignment horizontal="center"/>
    </xf>
    <xf numFmtId="10" fontId="13" fillId="6" borderId="18" xfId="0" applyNumberFormat="1" applyFont="1" applyFill="1" applyBorder="1" applyAlignment="1">
      <alignment horizontal="center"/>
    </xf>
    <xf numFmtId="0" fontId="0" fillId="0" borderId="9" xfId="0" applyBorder="1"/>
    <xf numFmtId="0" fontId="0" fillId="0" borderId="16" xfId="0" applyBorder="1"/>
    <xf numFmtId="0" fontId="0" fillId="0" borderId="17" xfId="0" applyBorder="1"/>
    <xf numFmtId="0" fontId="0" fillId="0" borderId="18" xfId="0" applyBorder="1"/>
    <xf numFmtId="0" fontId="0" fillId="0" borderId="15" xfId="0" applyBorder="1" applyAlignment="1">
      <alignment horizontal="center"/>
    </xf>
    <xf numFmtId="0" fontId="0" fillId="0" borderId="17" xfId="0" applyBorder="1" applyAlignment="1">
      <alignment horizontal="center"/>
    </xf>
    <xf numFmtId="0" fontId="0" fillId="6" borderId="16" xfId="0" applyFill="1" applyBorder="1"/>
    <xf numFmtId="0" fontId="0" fillId="6" borderId="18" xfId="0" applyFill="1" applyBorder="1"/>
    <xf numFmtId="0" fontId="0" fillId="0" borderId="13" xfId="0" applyBorder="1" applyAlignment="1">
      <alignment horizontal="center"/>
    </xf>
    <xf numFmtId="0" fontId="0" fillId="0" borderId="14" xfId="0" applyBorder="1" applyAlignment="1">
      <alignment horizontal="center"/>
    </xf>
    <xf numFmtId="0" fontId="0" fillId="0" borderId="22" xfId="0" applyBorder="1"/>
    <xf numFmtId="0" fontId="0" fillId="0" borderId="23" xfId="0" applyBorder="1"/>
    <xf numFmtId="165" fontId="0" fillId="0" borderId="0" xfId="0" applyNumberFormat="1"/>
    <xf numFmtId="0" fontId="3" fillId="0" borderId="0" xfId="0" applyFont="1"/>
    <xf numFmtId="0" fontId="0" fillId="2" borderId="9" xfId="0" applyFill="1" applyBorder="1"/>
    <xf numFmtId="164" fontId="0" fillId="2" borderId="9" xfId="0" applyNumberFormat="1" applyFill="1" applyBorder="1"/>
    <xf numFmtId="0" fontId="0" fillId="0" borderId="19" xfId="0" applyBorder="1"/>
    <xf numFmtId="9" fontId="0" fillId="0" borderId="24" xfId="0" applyNumberFormat="1" applyBorder="1"/>
    <xf numFmtId="0" fontId="0" fillId="0" borderId="24" xfId="0" applyBorder="1"/>
    <xf numFmtId="0" fontId="0" fillId="0" borderId="20" xfId="0" applyBorder="1"/>
    <xf numFmtId="9" fontId="0" fillId="0" borderId="23" xfId="1" applyFont="1" applyBorder="1"/>
    <xf numFmtId="0" fontId="0" fillId="0" borderId="22" xfId="0" applyBorder="1" applyAlignment="1">
      <alignment horizontal="center"/>
    </xf>
    <xf numFmtId="10" fontId="0" fillId="0" borderId="9" xfId="0" applyNumberFormat="1" applyBorder="1"/>
    <xf numFmtId="0" fontId="3" fillId="0" borderId="14" xfId="0" applyFont="1" applyBorder="1" applyAlignment="1">
      <alignment horizontal="center"/>
    </xf>
    <xf numFmtId="167" fontId="3" fillId="6" borderId="16" xfId="0" applyNumberFormat="1" applyFont="1" applyFill="1" applyBorder="1"/>
    <xf numFmtId="167" fontId="0" fillId="6" borderId="16" xfId="0" applyNumberFormat="1" applyFill="1" applyBorder="1"/>
    <xf numFmtId="167" fontId="0" fillId="0" borderId="0" xfId="0" applyNumberFormat="1"/>
    <xf numFmtId="3" fontId="14" fillId="0" borderId="0" xfId="0" applyNumberFormat="1" applyFont="1"/>
    <xf numFmtId="164" fontId="0" fillId="6" borderId="25" xfId="0" applyNumberFormat="1" applyFill="1" applyBorder="1"/>
    <xf numFmtId="165" fontId="0" fillId="6" borderId="16" xfId="1" applyNumberFormat="1" applyFont="1" applyFill="1" applyBorder="1"/>
    <xf numFmtId="165" fontId="0" fillId="6" borderId="18" xfId="1" applyNumberFormat="1" applyFont="1" applyFill="1" applyBorder="1"/>
    <xf numFmtId="165" fontId="0" fillId="0" borderId="9" xfId="0" applyNumberFormat="1" applyBorder="1"/>
    <xf numFmtId="10" fontId="0" fillId="0" borderId="0" xfId="0" applyNumberFormat="1"/>
    <xf numFmtId="164" fontId="3" fillId="0" borderId="0" xfId="0" applyNumberFormat="1" applyFont="1"/>
    <xf numFmtId="168" fontId="0" fillId="0" borderId="0" xfId="0" applyNumberFormat="1"/>
    <xf numFmtId="169" fontId="0" fillId="0" borderId="0" xfId="0" applyNumberFormat="1"/>
    <xf numFmtId="168" fontId="0" fillId="7" borderId="25" xfId="0" applyNumberFormat="1" applyFill="1" applyBorder="1"/>
    <xf numFmtId="168" fontId="0" fillId="6" borderId="0" xfId="0" applyNumberFormat="1" applyFill="1"/>
    <xf numFmtId="0" fontId="0" fillId="7" borderId="22" xfId="0" applyFill="1" applyBorder="1"/>
    <xf numFmtId="0" fontId="0" fillId="7" borderId="14" xfId="0" applyFill="1" applyBorder="1"/>
    <xf numFmtId="9" fontId="0" fillId="7" borderId="9" xfId="0" applyNumberFormat="1" applyFill="1" applyBorder="1"/>
    <xf numFmtId="9" fontId="0" fillId="7" borderId="16" xfId="0" applyNumberFormat="1" applyFill="1" applyBorder="1"/>
    <xf numFmtId="10" fontId="0" fillId="7" borderId="9" xfId="0" applyNumberFormat="1" applyFill="1" applyBorder="1"/>
    <xf numFmtId="10" fontId="0" fillId="7" borderId="16" xfId="0" applyNumberFormat="1" applyFill="1" applyBorder="1"/>
    <xf numFmtId="10" fontId="0" fillId="7" borderId="24" xfId="1" applyNumberFormat="1" applyFont="1" applyFill="1" applyBorder="1"/>
    <xf numFmtId="10" fontId="0" fillId="7" borderId="20" xfId="1" applyNumberFormat="1" applyFont="1" applyFill="1" applyBorder="1"/>
    <xf numFmtId="0" fontId="0" fillId="7" borderId="26" xfId="0" applyFill="1" applyBorder="1"/>
    <xf numFmtId="9" fontId="0" fillId="7" borderId="11" xfId="0" applyNumberFormat="1" applyFill="1" applyBorder="1"/>
    <xf numFmtId="10" fontId="0" fillId="7" borderId="11" xfId="0" applyNumberFormat="1" applyFill="1" applyBorder="1"/>
    <xf numFmtId="10" fontId="0" fillId="7" borderId="27" xfId="1" applyNumberFormat="1" applyFont="1" applyFill="1" applyBorder="1"/>
    <xf numFmtId="0" fontId="0" fillId="6" borderId="29" xfId="0" applyFill="1" applyBorder="1"/>
    <xf numFmtId="0" fontId="0" fillId="6" borderId="30" xfId="0" applyFill="1" applyBorder="1"/>
    <xf numFmtId="0" fontId="0" fillId="6" borderId="31" xfId="0" applyFill="1" applyBorder="1"/>
    <xf numFmtId="0" fontId="3" fillId="6" borderId="25" xfId="0" applyFont="1" applyFill="1" applyBorder="1"/>
    <xf numFmtId="10" fontId="0" fillId="7" borderId="27" xfId="0" applyNumberFormat="1" applyFill="1" applyBorder="1"/>
    <xf numFmtId="168" fontId="0" fillId="7" borderId="9" xfId="1" applyNumberFormat="1" applyFont="1" applyFill="1" applyBorder="1"/>
    <xf numFmtId="168" fontId="0" fillId="7" borderId="11" xfId="1" applyNumberFormat="1" applyFont="1" applyFill="1" applyBorder="1"/>
    <xf numFmtId="168" fontId="0" fillId="7" borderId="27" xfId="1" applyNumberFormat="1" applyFont="1" applyFill="1" applyBorder="1"/>
    <xf numFmtId="168" fontId="0" fillId="7" borderId="24" xfId="1" applyNumberFormat="1" applyFont="1" applyFill="1" applyBorder="1"/>
    <xf numFmtId="10" fontId="0" fillId="7" borderId="32" xfId="0" applyNumberFormat="1" applyFill="1" applyBorder="1"/>
    <xf numFmtId="168" fontId="0" fillId="7" borderId="16" xfId="1" applyNumberFormat="1" applyFont="1" applyFill="1" applyBorder="1"/>
    <xf numFmtId="168" fontId="0" fillId="7" borderId="20" xfId="1" applyNumberFormat="1" applyFont="1" applyFill="1" applyBorder="1"/>
    <xf numFmtId="10" fontId="3" fillId="6" borderId="28" xfId="1" applyNumberFormat="1" applyFont="1" applyFill="1" applyBorder="1"/>
    <xf numFmtId="170" fontId="3" fillId="0" borderId="0" xfId="0" applyNumberFormat="1" applyFont="1"/>
    <xf numFmtId="3" fontId="0" fillId="0" borderId="33" xfId="0" applyNumberFormat="1" applyBorder="1" applyAlignment="1">
      <alignment horizontal="right"/>
    </xf>
    <xf numFmtId="0" fontId="0" fillId="0" borderId="34" xfId="0" applyBorder="1"/>
    <xf numFmtId="37" fontId="17" fillId="0" borderId="0" xfId="0" applyNumberFormat="1" applyFont="1"/>
    <xf numFmtId="171" fontId="0" fillId="0" borderId="33" xfId="0" applyNumberFormat="1" applyBorder="1" applyAlignment="1">
      <alignment horizontal="right"/>
    </xf>
    <xf numFmtId="0" fontId="0" fillId="0" borderId="34" xfId="0" quotePrefix="1" applyBorder="1"/>
    <xf numFmtId="171" fontId="0" fillId="0" borderId="35" xfId="0" applyNumberFormat="1" applyBorder="1" applyAlignment="1">
      <alignment horizontal="right"/>
    </xf>
    <xf numFmtId="0" fontId="0" fillId="0" borderId="0" xfId="0" quotePrefix="1"/>
    <xf numFmtId="14" fontId="0" fillId="0" borderId="0" xfId="0" applyNumberFormat="1"/>
    <xf numFmtId="0" fontId="0" fillId="0" borderId="36" xfId="0" applyBorder="1"/>
    <xf numFmtId="0" fontId="19" fillId="0" borderId="0" xfId="0" applyFont="1"/>
    <xf numFmtId="0" fontId="18" fillId="4" borderId="0" xfId="0" applyFont="1" applyFill="1"/>
    <xf numFmtId="0" fontId="22" fillId="0" borderId="0" xfId="0" applyFont="1"/>
    <xf numFmtId="3" fontId="21" fillId="0" borderId="0" xfId="0" applyNumberFormat="1" applyFont="1"/>
    <xf numFmtId="3" fontId="21" fillId="0" borderId="36" xfId="0" applyNumberFormat="1" applyFont="1" applyBorder="1"/>
    <xf numFmtId="3" fontId="0" fillId="0" borderId="0" xfId="0" applyNumberFormat="1"/>
    <xf numFmtId="165" fontId="18" fillId="4" borderId="0" xfId="1" applyNumberFormat="1" applyFont="1" applyFill="1"/>
    <xf numFmtId="172" fontId="18" fillId="4" borderId="0" xfId="0" applyNumberFormat="1" applyFont="1" applyFill="1"/>
    <xf numFmtId="165" fontId="19" fillId="0" borderId="0" xfId="1" applyNumberFormat="1" applyFont="1"/>
    <xf numFmtId="3" fontId="18" fillId="4" borderId="0" xfId="0" applyNumberFormat="1" applyFont="1" applyFill="1"/>
    <xf numFmtId="3" fontId="18" fillId="0" borderId="0" xfId="0" applyNumberFormat="1" applyFont="1"/>
    <xf numFmtId="1" fontId="0" fillId="0" borderId="0" xfId="0" applyNumberFormat="1"/>
    <xf numFmtId="0" fontId="23" fillId="9" borderId="0" xfId="0" applyFont="1" applyFill="1"/>
    <xf numFmtId="0" fontId="23" fillId="9" borderId="0" xfId="0" applyFont="1" applyFill="1" applyAlignment="1">
      <alignment horizontal="center" vertical="center"/>
    </xf>
    <xf numFmtId="0" fontId="0" fillId="9" borderId="0" xfId="0" applyFill="1"/>
    <xf numFmtId="165" fontId="0" fillId="10" borderId="35" xfId="0" applyNumberFormat="1" applyFill="1" applyBorder="1" applyAlignment="1">
      <alignment horizontal="center"/>
    </xf>
    <xf numFmtId="170" fontId="0" fillId="0" borderId="0" xfId="0" applyNumberFormat="1"/>
    <xf numFmtId="0" fontId="0" fillId="4" borderId="37" xfId="0" applyFill="1" applyBorder="1" applyAlignment="1">
      <alignment horizontal="center"/>
    </xf>
    <xf numFmtId="173" fontId="0" fillId="0" borderId="35" xfId="0" applyNumberFormat="1" applyBorder="1" applyAlignment="1">
      <alignment horizontal="center"/>
    </xf>
    <xf numFmtId="14" fontId="0" fillId="10" borderId="38" xfId="0" applyNumberFormat="1" applyFill="1" applyBorder="1" applyAlignment="1">
      <alignment horizontal="center"/>
    </xf>
    <xf numFmtId="0" fontId="0" fillId="0" borderId="35" xfId="0" applyBorder="1" applyAlignment="1">
      <alignment horizontal="center"/>
    </xf>
    <xf numFmtId="0" fontId="0" fillId="10" borderId="38" xfId="0" applyFill="1" applyBorder="1" applyAlignment="1">
      <alignment horizontal="center"/>
    </xf>
    <xf numFmtId="0" fontId="15" fillId="0" borderId="34" xfId="0" applyFont="1" applyBorder="1"/>
    <xf numFmtId="10" fontId="0" fillId="0" borderId="0" xfId="1" applyNumberFormat="1" applyFont="1"/>
    <xf numFmtId="0" fontId="26" fillId="0" borderId="0" xfId="0" applyFont="1"/>
    <xf numFmtId="0" fontId="0" fillId="12" borderId="9" xfId="0" applyFill="1" applyBorder="1"/>
    <xf numFmtId="10" fontId="0" fillId="12" borderId="9" xfId="0" applyNumberFormat="1" applyFill="1" applyBorder="1"/>
    <xf numFmtId="10" fontId="6" fillId="3" borderId="12" xfId="1" applyNumberFormat="1" applyFont="1" applyFill="1" applyBorder="1" applyAlignment="1">
      <alignment horizontal="center" vertical="center" wrapText="1"/>
    </xf>
    <xf numFmtId="9" fontId="0" fillId="0" borderId="0" xfId="0" applyNumberFormat="1"/>
    <xf numFmtId="10" fontId="3" fillId="11" borderId="0" xfId="0" applyNumberFormat="1" applyFont="1" applyFill="1" applyAlignment="1">
      <alignment horizontal="right"/>
    </xf>
    <xf numFmtId="9" fontId="3" fillId="11" borderId="0" xfId="0" applyNumberFormat="1" applyFont="1" applyFill="1" applyAlignment="1">
      <alignment horizontal="right"/>
    </xf>
    <xf numFmtId="0" fontId="3" fillId="11" borderId="0" xfId="0" applyFont="1" applyFill="1"/>
    <xf numFmtId="0" fontId="0" fillId="12" borderId="0" xfId="0" applyFill="1" applyAlignment="1">
      <alignment horizontal="center"/>
    </xf>
    <xf numFmtId="9" fontId="0" fillId="0" borderId="36" xfId="0" applyNumberFormat="1" applyBorder="1"/>
    <xf numFmtId="164" fontId="21" fillId="0" borderId="36" xfId="0" applyNumberFormat="1" applyFont="1" applyBorder="1"/>
    <xf numFmtId="164" fontId="18" fillId="0" borderId="0" xfId="0" applyNumberFormat="1" applyFont="1"/>
    <xf numFmtId="164" fontId="0" fillId="0" borderId="36" xfId="0" applyNumberFormat="1" applyBorder="1"/>
    <xf numFmtId="164" fontId="22" fillId="0" borderId="36" xfId="0" applyNumberFormat="1" applyFont="1" applyBorder="1"/>
    <xf numFmtId="164" fontId="22" fillId="0" borderId="0" xfId="0" applyNumberFormat="1" applyFont="1"/>
    <xf numFmtId="164" fontId="20" fillId="0" borderId="36" xfId="1" applyNumberFormat="1" applyFont="1" applyBorder="1"/>
    <xf numFmtId="164" fontId="20" fillId="0" borderId="0" xfId="1" applyNumberFormat="1" applyFont="1" applyFill="1" applyBorder="1"/>
    <xf numFmtId="164" fontId="19" fillId="0" borderId="0" xfId="0" applyNumberFormat="1" applyFont="1"/>
    <xf numFmtId="164" fontId="21" fillId="0" borderId="0" xfId="0" applyNumberFormat="1" applyFont="1"/>
    <xf numFmtId="0" fontId="0" fillId="0" borderId="39" xfId="0" applyBorder="1"/>
    <xf numFmtId="10" fontId="19" fillId="0" borderId="36" xfId="1" applyNumberFormat="1" applyFont="1" applyBorder="1"/>
    <xf numFmtId="10" fontId="19" fillId="0" borderId="0" xfId="1" applyNumberFormat="1" applyFont="1" applyFill="1" applyBorder="1"/>
    <xf numFmtId="168" fontId="22" fillId="0" borderId="0" xfId="0" applyNumberFormat="1" applyFont="1"/>
    <xf numFmtId="10" fontId="22" fillId="0" borderId="36" xfId="1" applyNumberFormat="1" applyFont="1" applyBorder="1"/>
    <xf numFmtId="10" fontId="22" fillId="0" borderId="0" xfId="1" applyNumberFormat="1" applyFont="1"/>
    <xf numFmtId="164" fontId="22" fillId="0" borderId="40" xfId="0" applyNumberFormat="1" applyFont="1" applyBorder="1"/>
    <xf numFmtId="164" fontId="27" fillId="0" borderId="0" xfId="0" applyNumberFormat="1" applyFont="1"/>
    <xf numFmtId="164" fontId="22" fillId="0" borderId="22" xfId="0" applyNumberFormat="1" applyFont="1" applyBorder="1"/>
    <xf numFmtId="164" fontId="22" fillId="0" borderId="14" xfId="0" applyNumberFormat="1" applyFont="1" applyBorder="1"/>
    <xf numFmtId="164" fontId="22" fillId="0" borderId="26" xfId="0" applyNumberFormat="1" applyFont="1" applyBorder="1"/>
    <xf numFmtId="0" fontId="0" fillId="0" borderId="8" xfId="0" applyBorder="1"/>
    <xf numFmtId="0" fontId="3" fillId="0" borderId="25" xfId="0" applyFont="1" applyBorder="1"/>
    <xf numFmtId="10" fontId="3" fillId="0" borderId="9" xfId="1" applyNumberFormat="1" applyFont="1" applyBorder="1" applyAlignment="1"/>
    <xf numFmtId="10" fontId="3" fillId="4" borderId="11" xfId="1" applyNumberFormat="1" applyFont="1" applyFill="1" applyBorder="1" applyAlignment="1"/>
    <xf numFmtId="10" fontId="3" fillId="0" borderId="16" xfId="1" applyNumberFormat="1" applyFont="1" applyBorder="1" applyAlignment="1"/>
    <xf numFmtId="0" fontId="18" fillId="0" borderId="0" xfId="0" applyFont="1" applyAlignment="1">
      <alignment horizontal="center" vertical="center"/>
    </xf>
    <xf numFmtId="164" fontId="22" fillId="0" borderId="45" xfId="0" applyNumberFormat="1" applyFont="1" applyBorder="1"/>
    <xf numFmtId="164" fontId="0" fillId="0" borderId="44" xfId="0" applyNumberFormat="1" applyBorder="1"/>
    <xf numFmtId="0" fontId="3" fillId="0" borderId="43" xfId="0" applyFont="1" applyBorder="1"/>
    <xf numFmtId="9" fontId="28" fillId="0" borderId="0" xfId="0" applyNumberFormat="1" applyFont="1"/>
    <xf numFmtId="164" fontId="18" fillId="0" borderId="34" xfId="0" applyNumberFormat="1" applyFont="1" applyBorder="1"/>
    <xf numFmtId="164" fontId="17" fillId="0" borderId="0" xfId="0" applyNumberFormat="1" applyFont="1"/>
    <xf numFmtId="170" fontId="28" fillId="0" borderId="0" xfId="0" applyNumberFormat="1" applyFont="1"/>
    <xf numFmtId="10" fontId="28" fillId="0" borderId="0" xfId="0" applyNumberFormat="1" applyFont="1"/>
    <xf numFmtId="10" fontId="28" fillId="0" borderId="25" xfId="1" applyNumberFormat="1" applyFont="1" applyBorder="1"/>
    <xf numFmtId="0" fontId="3" fillId="12" borderId="0" xfId="0" applyFont="1" applyFill="1"/>
    <xf numFmtId="0" fontId="0" fillId="12" borderId="0" xfId="0" applyFill="1"/>
    <xf numFmtId="10" fontId="29" fillId="0" borderId="25" xfId="1" applyNumberFormat="1" applyFont="1" applyBorder="1"/>
    <xf numFmtId="0" fontId="5" fillId="0" borderId="0" xfId="0" applyFont="1" applyAlignment="1">
      <alignment horizontal="left"/>
    </xf>
    <xf numFmtId="0" fontId="2" fillId="2"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4" fillId="0" borderId="0" xfId="0" applyFont="1" applyAlignment="1">
      <alignment horizontal="left" vertical="top"/>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0" xfId="0" applyFont="1" applyFill="1" applyAlignment="1">
      <alignment horizontal="center" vertical="center"/>
    </xf>
    <xf numFmtId="0" fontId="8" fillId="6" borderId="5"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8" xfId="0" applyFont="1" applyFill="1" applyBorder="1" applyAlignment="1">
      <alignment horizontal="center" vertical="center"/>
    </xf>
    <xf numFmtId="0" fontId="2" fillId="6" borderId="1" xfId="0" applyFont="1" applyFill="1" applyBorder="1" applyAlignment="1">
      <alignment horizontal="center" vertical="center"/>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5" fillId="6" borderId="4" xfId="0" applyFont="1" applyFill="1" applyBorder="1" applyAlignment="1">
      <alignment horizontal="center" vertical="center"/>
    </xf>
    <xf numFmtId="0" fontId="15" fillId="6" borderId="0" xfId="0" applyFont="1" applyFill="1" applyAlignment="1">
      <alignment horizontal="center" vertical="center"/>
    </xf>
    <xf numFmtId="0" fontId="15" fillId="6" borderId="5" xfId="0" applyFont="1" applyFill="1" applyBorder="1" applyAlignment="1">
      <alignment horizontal="center" vertical="center"/>
    </xf>
    <xf numFmtId="0" fontId="15" fillId="6" borderId="6"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8" xfId="0" applyFont="1" applyFill="1" applyBorder="1" applyAlignment="1">
      <alignment horizontal="center" vertical="center"/>
    </xf>
    <xf numFmtId="0" fontId="3" fillId="0" borderId="0" xfId="0" applyFont="1" applyAlignment="1">
      <alignment horizontal="center"/>
    </xf>
    <xf numFmtId="0" fontId="16" fillId="8" borderId="1" xfId="0" applyFont="1" applyFill="1" applyBorder="1" applyAlignment="1">
      <alignment horizontal="center" vertical="center"/>
    </xf>
    <xf numFmtId="0" fontId="16" fillId="8" borderId="2" xfId="0" applyFont="1" applyFill="1" applyBorder="1" applyAlignment="1">
      <alignment horizontal="center" vertical="center"/>
    </xf>
    <xf numFmtId="0" fontId="16" fillId="8" borderId="3" xfId="0" applyFont="1" applyFill="1" applyBorder="1" applyAlignment="1">
      <alignment horizontal="center" vertical="center"/>
    </xf>
    <xf numFmtId="0" fontId="16" fillId="8" borderId="4" xfId="0" applyFont="1" applyFill="1" applyBorder="1" applyAlignment="1">
      <alignment horizontal="center" vertical="center"/>
    </xf>
    <xf numFmtId="0" fontId="16" fillId="8" borderId="0" xfId="0" applyFont="1" applyFill="1" applyAlignment="1">
      <alignment horizontal="center" vertical="center"/>
    </xf>
    <xf numFmtId="0" fontId="16" fillId="8" borderId="5" xfId="0" applyFont="1" applyFill="1" applyBorder="1" applyAlignment="1">
      <alignment horizontal="center" vertical="center"/>
    </xf>
    <xf numFmtId="0" fontId="16" fillId="8" borderId="6" xfId="0" applyFont="1" applyFill="1" applyBorder="1" applyAlignment="1">
      <alignment horizontal="center" vertical="center"/>
    </xf>
    <xf numFmtId="0" fontId="16" fillId="8" borderId="7" xfId="0" applyFont="1" applyFill="1" applyBorder="1" applyAlignment="1">
      <alignment horizontal="center" vertical="center"/>
    </xf>
    <xf numFmtId="0" fontId="16" fillId="8" borderId="8" xfId="0" applyFont="1" applyFill="1" applyBorder="1" applyAlignment="1">
      <alignment horizontal="center" vertical="center"/>
    </xf>
    <xf numFmtId="0" fontId="25" fillId="11" borderId="1"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4" xfId="0" applyFont="1" applyFill="1" applyBorder="1" applyAlignment="1">
      <alignment horizontal="center" vertical="center"/>
    </xf>
    <xf numFmtId="0" fontId="25" fillId="11" borderId="0" xfId="0" applyFont="1" applyFill="1" applyAlignment="1">
      <alignment horizontal="center" vertical="center"/>
    </xf>
    <xf numFmtId="0" fontId="25" fillId="11" borderId="5"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8" xfId="0" applyFont="1" applyFill="1" applyBorder="1" applyAlignment="1">
      <alignment horizontal="center" vertical="center"/>
    </xf>
    <xf numFmtId="0" fontId="3" fillId="0" borderId="41" xfId="0" applyFont="1" applyBorder="1" applyAlignment="1">
      <alignment horizontal="center"/>
    </xf>
    <xf numFmtId="0" fontId="3" fillId="0" borderId="42" xfId="0" applyFont="1" applyBorder="1" applyAlignment="1">
      <alignment horizontal="center"/>
    </xf>
    <xf numFmtId="0" fontId="24" fillId="0" borderId="0" xfId="0" applyFont="1" applyAlignment="1">
      <alignment horizontal="center" vertical="center"/>
    </xf>
    <xf numFmtId="0" fontId="3" fillId="7"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8" xfId="0" applyFont="1" applyFill="1" applyBorder="1" applyAlignment="1">
      <alignment horizontal="center" vertical="center"/>
    </xf>
    <xf numFmtId="0" fontId="30" fillId="13" borderId="0" xfId="0" applyFont="1" applyFill="1" applyAlignment="1">
      <alignment horizontal="center" vertical="center"/>
    </xf>
    <xf numFmtId="0" fontId="0" fillId="14" borderId="0" xfId="0" applyFill="1"/>
    <xf numFmtId="0" fontId="0" fillId="15" borderId="0" xfId="0" applyFill="1"/>
    <xf numFmtId="0" fontId="0" fillId="16" borderId="0" xfId="0" applyFill="1"/>
    <xf numFmtId="10" fontId="0" fillId="15" borderId="0" xfId="1"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a:t>
            </a:r>
            <a:r>
              <a:rPr lang="en-US" baseline="0"/>
              <a:t> revenue by year</a:t>
            </a:r>
            <a:endParaRPr lang="en-US"/>
          </a:p>
        </c:rich>
      </c:tx>
      <c:layout>
        <c:manualLayout>
          <c:xMode val="edge"/>
          <c:yMode val="edge"/>
          <c:x val="0.2638123359580052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stacked"/>
        <c:varyColors val="0"/>
        <c:ser>
          <c:idx val="0"/>
          <c:order val="0"/>
          <c:spPr>
            <a:solidFill>
              <a:schemeClr val="accent1"/>
            </a:solidFill>
            <a:ln>
              <a:noFill/>
            </a:ln>
            <a:effectLst/>
          </c:spPr>
          <c:invertIfNegative val="0"/>
          <c:val>
            <c:numRef>
              <c:f>'1.Openning'!$AB$65:$AB$80</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val>
          <c:extLst>
            <c:ext xmlns:c16="http://schemas.microsoft.com/office/drawing/2014/chart" uri="{C3380CC4-5D6E-409C-BE32-E72D297353CC}">
              <c16:uniqueId val="{00000000-0075-4976-AB9B-90B9DEEFD40C}"/>
            </c:ext>
          </c:extLst>
        </c:ser>
        <c:ser>
          <c:idx val="1"/>
          <c:order val="1"/>
          <c:spPr>
            <a:solidFill>
              <a:schemeClr val="accent2"/>
            </a:solidFill>
            <a:ln>
              <a:noFill/>
            </a:ln>
            <a:effectLst/>
          </c:spPr>
          <c:invertIfNegative val="0"/>
          <c:val>
            <c:numRef>
              <c:f>'1.Openning'!$AF$65:$AF$80</c:f>
              <c:numCache>
                <c:formatCode>_-[$$-409]* #,##0.00_ ;_-[$$-409]* \-#,##0.00\ ;_-[$$-409]* "-"??_ ;_-@_ </c:formatCode>
                <c:ptCount val="16"/>
                <c:pt idx="0">
                  <c:v>71288</c:v>
                </c:pt>
                <c:pt idx="1">
                  <c:v>66176</c:v>
                </c:pt>
                <c:pt idx="2">
                  <c:v>67997</c:v>
                </c:pt>
                <c:pt idx="3">
                  <c:v>70395</c:v>
                </c:pt>
                <c:pt idx="4">
                  <c:v>74754</c:v>
                </c:pt>
                <c:pt idx="5">
                  <c:v>78812</c:v>
                </c:pt>
                <c:pt idx="6">
                  <c:v>83176</c:v>
                </c:pt>
                <c:pt idx="7">
                  <c:v>88519</c:v>
                </c:pt>
                <c:pt idx="8">
                  <c:v>94595</c:v>
                </c:pt>
                <c:pt idx="9">
                  <c:v>100904</c:v>
                </c:pt>
                <c:pt idx="10">
                  <c:v>108203</c:v>
                </c:pt>
                <c:pt idx="11">
                  <c:v>110225</c:v>
                </c:pt>
                <c:pt idx="12">
                  <c:v>132110</c:v>
                </c:pt>
                <c:pt idx="13">
                  <c:v>151157</c:v>
                </c:pt>
                <c:pt idx="14">
                  <c:v>157403</c:v>
                </c:pt>
                <c:pt idx="15">
                  <c:v>152669</c:v>
                </c:pt>
              </c:numCache>
            </c:numRef>
          </c:val>
          <c:extLst>
            <c:ext xmlns:c16="http://schemas.microsoft.com/office/drawing/2014/chart" uri="{C3380CC4-5D6E-409C-BE32-E72D297353CC}">
              <c16:uniqueId val="{00000001-0075-4976-AB9B-90B9DEEFD40C}"/>
            </c:ext>
          </c:extLst>
        </c:ser>
        <c:dLbls>
          <c:showLegendKey val="0"/>
          <c:showVal val="0"/>
          <c:showCatName val="0"/>
          <c:showSerName val="0"/>
          <c:showPercent val="0"/>
          <c:showBubbleSize val="0"/>
        </c:dLbls>
        <c:gapWidth val="150"/>
        <c:overlap val="100"/>
        <c:axId val="159863967"/>
        <c:axId val="159862527"/>
      </c:barChart>
      <c:catAx>
        <c:axId val="1598639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9862527"/>
        <c:crosses val="autoZero"/>
        <c:auto val="1"/>
        <c:lblAlgn val="ctr"/>
        <c:lblOffset val="100"/>
        <c:noMultiLvlLbl val="0"/>
      </c:catAx>
      <c:valAx>
        <c:axId val="159862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9863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a:t>
            </a:r>
            <a:r>
              <a:rPr lang="en-US" baseline="0"/>
              <a:t> chg hoe depot yearly revenues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'1.Openning'!$AB$65:$AB$80</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'1.Openning'!$AC$65:$AC$80</c:f>
              <c:numCache>
                <c:formatCode>0.0%</c:formatCode>
                <c:ptCount val="16"/>
                <c:pt idx="1">
                  <c:v>-7.1709123555156545E-2</c:v>
                </c:pt>
                <c:pt idx="2">
                  <c:v>2.7517529013539651E-2</c:v>
                </c:pt>
                <c:pt idx="3">
                  <c:v>3.5266261746841769E-2</c:v>
                </c:pt>
                <c:pt idx="4">
                  <c:v>6.1922011506499043E-2</c:v>
                </c:pt>
                <c:pt idx="5">
                  <c:v>5.42847205500709E-2</c:v>
                </c:pt>
                <c:pt idx="6">
                  <c:v>5.5372278333248745E-2</c:v>
                </c:pt>
                <c:pt idx="7">
                  <c:v>6.4237279984610943E-2</c:v>
                </c:pt>
                <c:pt idx="8">
                  <c:v>6.8640630825020615E-2</c:v>
                </c:pt>
                <c:pt idx="9">
                  <c:v>6.6694857022041337E-2</c:v>
                </c:pt>
                <c:pt idx="10">
                  <c:v>7.2336081820344095E-2</c:v>
                </c:pt>
                <c:pt idx="11">
                  <c:v>1.8687097400256925E-2</c:v>
                </c:pt>
                <c:pt idx="12">
                  <c:v>0.19854842367883874</c:v>
                </c:pt>
                <c:pt idx="13">
                  <c:v>0.14417530845507531</c:v>
                </c:pt>
                <c:pt idx="14">
                  <c:v>4.1321275230389594E-2</c:v>
                </c:pt>
                <c:pt idx="15">
                  <c:v>-3.007566564804991E-2</c:v>
                </c:pt>
              </c:numCache>
            </c:numRef>
          </c:val>
          <c:extLst>
            <c:ext xmlns:c16="http://schemas.microsoft.com/office/drawing/2014/chart" uri="{C3380CC4-5D6E-409C-BE32-E72D297353CC}">
              <c16:uniqueId val="{00000000-ACBA-4366-B1AC-FFCCB0D4AEC8}"/>
            </c:ext>
          </c:extLst>
        </c:ser>
        <c:dLbls>
          <c:showLegendKey val="0"/>
          <c:showVal val="0"/>
          <c:showCatName val="0"/>
          <c:showSerName val="0"/>
          <c:showPercent val="0"/>
          <c:showBubbleSize val="0"/>
        </c:dLbls>
        <c:gapWidth val="219"/>
        <c:overlap val="-27"/>
        <c:axId val="119091599"/>
        <c:axId val="119091119"/>
      </c:barChart>
      <c:catAx>
        <c:axId val="11909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9091119"/>
        <c:crosses val="autoZero"/>
        <c:auto val="1"/>
        <c:lblAlgn val="ctr"/>
        <c:lblOffset val="100"/>
        <c:noMultiLvlLbl val="0"/>
      </c:catAx>
      <c:valAx>
        <c:axId val="11909111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90915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i="1" u="none" strike="noStrike" baseline="0">
                <a:solidFill>
                  <a:srgbClr val="000000"/>
                </a:solidFill>
                <a:latin typeface="Times"/>
                <a:ea typeface="Times"/>
                <a:cs typeface="Times"/>
              </a:defRPr>
            </a:pPr>
            <a:r>
              <a:rPr lang="en-US"/>
              <a:t>Implied Equity Risk Premium for US Equity Market: 1960-2022</a:t>
            </a:r>
          </a:p>
        </c:rich>
      </c:tx>
      <c:layout>
        <c:manualLayout>
          <c:xMode val="edge"/>
          <c:yMode val="edge"/>
          <c:x val="0.22017021425734248"/>
          <c:y val="4.0488773510298115E-2"/>
        </c:manualLayout>
      </c:layout>
      <c:overlay val="0"/>
      <c:spPr>
        <a:noFill/>
        <a:ln w="25400">
          <a:noFill/>
        </a:ln>
      </c:spPr>
    </c:title>
    <c:autoTitleDeleted val="0"/>
    <c:plotArea>
      <c:layout>
        <c:manualLayout>
          <c:layoutTarget val="inner"/>
          <c:xMode val="edge"/>
          <c:yMode val="edge"/>
          <c:x val="8.0989876265466818E-2"/>
          <c:y val="0.10695555832044698"/>
          <c:w val="0.89333333333333331"/>
          <c:h val="0.77559912854030499"/>
        </c:manualLayout>
      </c:layout>
      <c:lineChart>
        <c:grouping val="standard"/>
        <c:varyColors val="0"/>
        <c:ser>
          <c:idx val="12"/>
          <c:order val="0"/>
          <c:tx>
            <c:strRef>
              <c:f>'[1]Historical Impl Premiums'!$N$7</c:f>
              <c:strCache>
                <c:ptCount val="1"/>
                <c:pt idx="0">
                  <c:v>Implied Premium (DDM)</c:v>
                </c:pt>
              </c:strCache>
            </c:strRef>
          </c:tx>
          <c:spPr>
            <a:ln w="25400">
              <a:solidFill>
                <a:srgbClr val="000000"/>
              </a:solidFill>
              <a:prstDash val="solid"/>
            </a:ln>
          </c:spPr>
          <c:marker>
            <c:symbol val="circle"/>
            <c:size val="6"/>
            <c:spPr>
              <a:solidFill>
                <a:srgbClr val="003300"/>
              </a:solidFill>
              <a:ln>
                <a:solidFill>
                  <a:srgbClr val="000000"/>
                </a:solidFill>
                <a:prstDash val="solid"/>
              </a:ln>
            </c:spPr>
          </c:marker>
          <c:cat>
            <c:numRef>
              <c:f>'[1]Historical Impl Premiums'!$A$8:$A$71</c:f>
              <c:numCache>
                <c:formatCode>General</c:formatCode>
                <c:ptCount val="64"/>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pt idx="62">
                  <c:v>2022</c:v>
                </c:pt>
                <c:pt idx="63">
                  <c:v>2023</c:v>
                </c:pt>
              </c:numCache>
            </c:numRef>
          </c:cat>
          <c:val>
            <c:numRef>
              <c:f>'[1]Historical Impl Premiums'!$Q$8:$Q$71</c:f>
              <c:numCache>
                <c:formatCode>General</c:formatCode>
                <c:ptCount val="64"/>
                <c:pt idx="1">
                  <c:v>2.92E-2</c:v>
                </c:pt>
                <c:pt idx="2">
                  <c:v>3.56E-2</c:v>
                </c:pt>
                <c:pt idx="3">
                  <c:v>3.3799999999999997E-2</c:v>
                </c:pt>
                <c:pt idx="4">
                  <c:v>3.3099999999999997E-2</c:v>
                </c:pt>
                <c:pt idx="5">
                  <c:v>3.32E-2</c:v>
                </c:pt>
                <c:pt idx="6">
                  <c:v>3.6799999999999999E-2</c:v>
                </c:pt>
                <c:pt idx="7">
                  <c:v>3.2000000000000001E-2</c:v>
                </c:pt>
                <c:pt idx="8">
                  <c:v>0.03</c:v>
                </c:pt>
                <c:pt idx="9">
                  <c:v>3.7400000000000003E-2</c:v>
                </c:pt>
                <c:pt idx="10">
                  <c:v>3.4099999999999998E-2</c:v>
                </c:pt>
                <c:pt idx="11">
                  <c:v>3.09E-2</c:v>
                </c:pt>
                <c:pt idx="12">
                  <c:v>2.7199999999999998E-2</c:v>
                </c:pt>
                <c:pt idx="13">
                  <c:v>4.2999999999999997E-2</c:v>
                </c:pt>
                <c:pt idx="14">
                  <c:v>5.5899999999999998E-2</c:v>
                </c:pt>
                <c:pt idx="15">
                  <c:v>4.1300000000000003E-2</c:v>
                </c:pt>
                <c:pt idx="16">
                  <c:v>4.5499999999999999E-2</c:v>
                </c:pt>
                <c:pt idx="17">
                  <c:v>5.9200000000000003E-2</c:v>
                </c:pt>
                <c:pt idx="18">
                  <c:v>5.7200000000000001E-2</c:v>
                </c:pt>
                <c:pt idx="19">
                  <c:v>6.4500000000000002E-2</c:v>
                </c:pt>
                <c:pt idx="20">
                  <c:v>5.0299999999999997E-2</c:v>
                </c:pt>
                <c:pt idx="21">
                  <c:v>5.7299999999999997E-2</c:v>
                </c:pt>
                <c:pt idx="22">
                  <c:v>4.9000000000000002E-2</c:v>
                </c:pt>
                <c:pt idx="23">
                  <c:v>4.3099999999999999E-2</c:v>
                </c:pt>
                <c:pt idx="24">
                  <c:v>5.11E-2</c:v>
                </c:pt>
                <c:pt idx="25">
                  <c:v>3.8399999999999997E-2</c:v>
                </c:pt>
                <c:pt idx="26">
                  <c:v>3.5799999999999998E-2</c:v>
                </c:pt>
                <c:pt idx="27">
                  <c:v>3.9899999999999998E-2</c:v>
                </c:pt>
                <c:pt idx="28">
                  <c:v>3.7699999999999997E-2</c:v>
                </c:pt>
                <c:pt idx="29">
                  <c:v>3.5099999999999999E-2</c:v>
                </c:pt>
                <c:pt idx="30">
                  <c:v>3.8899999999999997E-2</c:v>
                </c:pt>
                <c:pt idx="31">
                  <c:v>3.4799999999999998E-2</c:v>
                </c:pt>
                <c:pt idx="32">
                  <c:v>3.5499999999999997E-2</c:v>
                </c:pt>
                <c:pt idx="33">
                  <c:v>3.1699999999999999E-2</c:v>
                </c:pt>
                <c:pt idx="34">
                  <c:v>3.5499999999999997E-2</c:v>
                </c:pt>
                <c:pt idx="35">
                  <c:v>3.2899999999999999E-2</c:v>
                </c:pt>
                <c:pt idx="36">
                  <c:v>3.2000000000000001E-2</c:v>
                </c:pt>
                <c:pt idx="37">
                  <c:v>2.7300000000000001E-2</c:v>
                </c:pt>
                <c:pt idx="38">
                  <c:v>2.2599999999999999E-2</c:v>
                </c:pt>
                <c:pt idx="39">
                  <c:v>2.0500000000000001E-2</c:v>
                </c:pt>
                <c:pt idx="40">
                  <c:v>2.87E-2</c:v>
                </c:pt>
                <c:pt idx="41">
                  <c:v>3.6200000000000003E-2</c:v>
                </c:pt>
                <c:pt idx="42">
                  <c:v>4.1000000000000002E-2</c:v>
                </c:pt>
                <c:pt idx="43">
                  <c:v>3.6900000000000002E-2</c:v>
                </c:pt>
                <c:pt idx="44">
                  <c:v>3.6499999999999998E-2</c:v>
                </c:pt>
                <c:pt idx="45">
                  <c:v>4.0800000000000003E-2</c:v>
                </c:pt>
                <c:pt idx="46">
                  <c:v>4.1599999999999998E-2</c:v>
                </c:pt>
                <c:pt idx="47">
                  <c:v>4.3700000000000003E-2</c:v>
                </c:pt>
                <c:pt idx="48">
                  <c:v>6.4299999999999996E-2</c:v>
                </c:pt>
                <c:pt idx="49">
                  <c:v>4.36E-2</c:v>
                </c:pt>
                <c:pt idx="50">
                  <c:v>5.1999999999999998E-2</c:v>
                </c:pt>
                <c:pt idx="51">
                  <c:v>6.0100000000000001E-2</c:v>
                </c:pt>
                <c:pt idx="52">
                  <c:v>5.7799999999999997E-2</c:v>
                </c:pt>
                <c:pt idx="53">
                  <c:v>4.9599999999999998E-2</c:v>
                </c:pt>
                <c:pt idx="54">
                  <c:v>5.7799999999999997E-2</c:v>
                </c:pt>
                <c:pt idx="55">
                  <c:v>6.1199999999999997E-2</c:v>
                </c:pt>
                <c:pt idx="56">
                  <c:v>5.6899999999999999E-2</c:v>
                </c:pt>
                <c:pt idx="57">
                  <c:v>5.0799999999999998E-2</c:v>
                </c:pt>
                <c:pt idx="58">
                  <c:v>5.96E-2</c:v>
                </c:pt>
                <c:pt idx="59">
                  <c:v>5.1999999999999998E-2</c:v>
                </c:pt>
                <c:pt idx="60">
                  <c:v>4.7199999999999999E-2</c:v>
                </c:pt>
                <c:pt idx="61">
                  <c:v>4.24E-2</c:v>
                </c:pt>
                <c:pt idx="62">
                  <c:v>5.9400000000000001E-2</c:v>
                </c:pt>
                <c:pt idx="63">
                  <c:v>4.5999999999999999E-2</c:v>
                </c:pt>
              </c:numCache>
            </c:numRef>
          </c:val>
          <c:smooth val="0"/>
          <c:extLst>
            <c:ext xmlns:c16="http://schemas.microsoft.com/office/drawing/2014/chart" uri="{C3380CC4-5D6E-409C-BE32-E72D297353CC}">
              <c16:uniqueId val="{00000000-4B45-4433-ADCE-4B6532833744}"/>
            </c:ext>
          </c:extLst>
        </c:ser>
        <c:dLbls>
          <c:showLegendKey val="0"/>
          <c:showVal val="0"/>
          <c:showCatName val="0"/>
          <c:showSerName val="0"/>
          <c:showPercent val="0"/>
          <c:showBubbleSize val="0"/>
        </c:dLbls>
        <c:marker val="1"/>
        <c:smooth val="0"/>
        <c:axId val="1138378911"/>
        <c:axId val="1"/>
      </c:lineChart>
      <c:catAx>
        <c:axId val="1138378911"/>
        <c:scaling>
          <c:orientation val="minMax"/>
        </c:scaling>
        <c:delete val="0"/>
        <c:axPos val="b"/>
        <c:majorGridlines>
          <c:spPr>
            <a:ln w="3175">
              <a:solidFill>
                <a:srgbClr val="808080"/>
              </a:solidFill>
              <a:prstDash val="solid"/>
            </a:ln>
          </c:spPr>
        </c:majorGridlines>
        <c:title>
          <c:tx>
            <c:rich>
              <a:bodyPr/>
              <a:lstStyle/>
              <a:p>
                <a:pPr>
                  <a:defRPr sz="1000" b="0" i="0" u="none" strike="noStrike" baseline="0">
                    <a:solidFill>
                      <a:srgbClr val="000000"/>
                    </a:solidFill>
                    <a:latin typeface="Times"/>
                    <a:ea typeface="Times"/>
                    <a:cs typeface="Times"/>
                  </a:defRPr>
                </a:pPr>
                <a:r>
                  <a:rPr lang="en-US"/>
                  <a:t>Year</a:t>
                </a:r>
              </a:p>
            </c:rich>
          </c:tx>
          <c:layout>
            <c:manualLayout>
              <c:xMode val="edge"/>
              <c:yMode val="edge"/>
              <c:x val="0.5229630365195449"/>
              <c:y val="0.94771240931128153"/>
            </c:manualLayout>
          </c:layout>
          <c:overlay val="0"/>
          <c:spPr>
            <a:noFill/>
            <a:ln w="25400">
              <a:noFill/>
            </a:ln>
          </c:spPr>
        </c:title>
        <c:numFmt formatCode="General" sourceLinked="1"/>
        <c:majorTickMark val="out"/>
        <c:minorTickMark val="in"/>
        <c:tickLblPos val="nextTo"/>
        <c:spPr>
          <a:ln w="3175">
            <a:solidFill>
              <a:srgbClr val="000000"/>
            </a:solidFill>
            <a:prstDash val="solid"/>
          </a:ln>
        </c:spPr>
        <c:txPr>
          <a:bodyPr rot="5400000" vert="horz"/>
          <a:lstStyle/>
          <a:p>
            <a:pPr rtl="0">
              <a:defRPr sz="1000" b="0" i="0" u="none" strike="noStrike" baseline="0">
                <a:solidFill>
                  <a:srgbClr val="000000"/>
                </a:solidFill>
                <a:latin typeface="Times"/>
                <a:ea typeface="Times"/>
                <a:cs typeface="Times"/>
              </a:defRPr>
            </a:pPr>
            <a:endParaRPr lang="he-IL"/>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00" b="0" i="0" u="none" strike="noStrike" baseline="0">
                    <a:solidFill>
                      <a:srgbClr val="000000"/>
                    </a:solidFill>
                    <a:latin typeface="Times"/>
                    <a:ea typeface="Times"/>
                    <a:cs typeface="Times"/>
                  </a:defRPr>
                </a:pPr>
                <a:r>
                  <a:rPr lang="en-US"/>
                  <a:t>Implied Premium</a:t>
                </a:r>
              </a:p>
            </c:rich>
          </c:tx>
          <c:layout>
            <c:manualLayout>
              <c:xMode val="edge"/>
              <c:yMode val="edge"/>
              <c:x val="1.0370452580667773E-2"/>
              <c:y val="0.427015438572361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rtl="0">
              <a:defRPr sz="1000" b="0" i="0" u="none" strike="noStrike" baseline="0">
                <a:solidFill>
                  <a:srgbClr val="000000"/>
                </a:solidFill>
                <a:latin typeface="Times"/>
                <a:ea typeface="Times"/>
                <a:cs typeface="Times"/>
              </a:defRPr>
            </a:pPr>
            <a:endParaRPr lang="he-IL"/>
          </a:p>
        </c:txPr>
        <c:crossAx val="1138378911"/>
        <c:crosses val="autoZero"/>
        <c:crossBetween val="between"/>
      </c:valAx>
      <c:spPr>
        <a:solidFill>
          <a:srgbClr val="FFFFFF"/>
        </a:solidFill>
        <a:ln w="12700">
          <a:solidFill>
            <a:srgbClr val="808080"/>
          </a:solidFill>
          <a:prstDash val="solid"/>
        </a:ln>
      </c:spPr>
    </c:plotArea>
    <c:plotVisOnly val="1"/>
    <c:dispBlanksAs val="gap"/>
    <c:showDLblsOverMax val="0"/>
  </c:chart>
  <c:spPr>
    <a:noFill/>
    <a:ln w="9525">
      <a:noFill/>
    </a:ln>
  </c:spPr>
  <c:txPr>
    <a:bodyPr/>
    <a:lstStyle/>
    <a:p>
      <a:pPr>
        <a:defRPr sz="1000" b="0" i="0" u="none" strike="noStrike" baseline="0">
          <a:solidFill>
            <a:srgbClr val="000000"/>
          </a:solidFill>
          <a:latin typeface="Times"/>
          <a:ea typeface="Times"/>
          <a:cs typeface="Times"/>
        </a:defRPr>
      </a:pPr>
      <a:endParaRPr lang="he-IL"/>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a:t>
            </a:r>
            <a:r>
              <a:rPr lang="en-US" baseline="0"/>
              <a:t> total assets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2"/>
            </a:solidFill>
            <a:ln>
              <a:noFill/>
            </a:ln>
            <a:effectLst/>
          </c:spPr>
          <c:invertIfNegative val="0"/>
          <c:trendline>
            <c:spPr>
              <a:ln w="19050" cap="rnd">
                <a:solidFill>
                  <a:schemeClr val="accent1"/>
                </a:solidFill>
                <a:prstDash val="sysDot"/>
              </a:ln>
              <a:effectLst/>
            </c:spPr>
            <c:trendlineType val="poly"/>
            <c:order val="2"/>
            <c:dispRSqr val="0"/>
            <c:dispEq val="0"/>
          </c:trendline>
          <c:cat>
            <c:numRef>
              <c:f>'2.Equity'!$AC$109:$AC$124</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'2.Equity'!$AD$109:$AD$124</c:f>
              <c:numCache>
                <c:formatCode>_-[$$-409]* #,##0.00_ ;_-[$$-409]* \-#,##0.00\ ;_-[$$-409]* "-"??_ ;_-@_ </c:formatCode>
                <c:ptCount val="16"/>
                <c:pt idx="0">
                  <c:v>41164</c:v>
                </c:pt>
                <c:pt idx="1">
                  <c:v>40877</c:v>
                </c:pt>
                <c:pt idx="2">
                  <c:v>40125</c:v>
                </c:pt>
                <c:pt idx="3">
                  <c:v>40518</c:v>
                </c:pt>
                <c:pt idx="4">
                  <c:v>41084</c:v>
                </c:pt>
                <c:pt idx="5">
                  <c:v>40518</c:v>
                </c:pt>
                <c:pt idx="6">
                  <c:v>39946</c:v>
                </c:pt>
                <c:pt idx="7">
                  <c:v>41973</c:v>
                </c:pt>
                <c:pt idx="8">
                  <c:v>42966</c:v>
                </c:pt>
                <c:pt idx="9">
                  <c:v>44529</c:v>
                </c:pt>
                <c:pt idx="10">
                  <c:v>44003</c:v>
                </c:pt>
                <c:pt idx="11">
                  <c:v>51236</c:v>
                </c:pt>
                <c:pt idx="12">
                  <c:v>70581</c:v>
                </c:pt>
                <c:pt idx="13">
                  <c:v>71876</c:v>
                </c:pt>
                <c:pt idx="14">
                  <c:v>76445</c:v>
                </c:pt>
                <c:pt idx="15">
                  <c:v>76530</c:v>
                </c:pt>
              </c:numCache>
            </c:numRef>
          </c:val>
          <c:extLst>
            <c:ext xmlns:c16="http://schemas.microsoft.com/office/drawing/2014/chart" uri="{C3380CC4-5D6E-409C-BE32-E72D297353CC}">
              <c16:uniqueId val="{00000000-2C0C-411C-8286-15DB930CFA13}"/>
            </c:ext>
          </c:extLst>
        </c:ser>
        <c:dLbls>
          <c:showLegendKey val="0"/>
          <c:showVal val="0"/>
          <c:showCatName val="0"/>
          <c:showSerName val="0"/>
          <c:showPercent val="0"/>
          <c:showBubbleSize val="0"/>
        </c:dLbls>
        <c:gapWidth val="219"/>
        <c:overlap val="-27"/>
        <c:axId val="578066991"/>
        <c:axId val="578062671"/>
      </c:barChart>
      <c:catAx>
        <c:axId val="57806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78062671"/>
        <c:crosses val="autoZero"/>
        <c:auto val="1"/>
        <c:lblAlgn val="ctr"/>
        <c:lblOffset val="100"/>
        <c:noMultiLvlLbl val="0"/>
      </c:catAx>
      <c:valAx>
        <c:axId val="57806267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780669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'2.Equity'!$AE$108</c:f>
              <c:strCache>
                <c:ptCount val="1"/>
                <c:pt idx="0">
                  <c:v>% chg</c:v>
                </c:pt>
              </c:strCache>
            </c:strRef>
          </c:tx>
          <c:spPr>
            <a:solidFill>
              <a:schemeClr val="accent1"/>
            </a:solidFill>
            <a:ln>
              <a:noFill/>
            </a:ln>
            <a:effectLst/>
          </c:spPr>
          <c:invertIfNegative val="0"/>
          <c:cat>
            <c:numRef>
              <c:f>'2.Equity'!$AC$109:$AC$124</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'2.Equity'!$AE$109:$AE$124</c:f>
              <c:numCache>
                <c:formatCode>0.0%</c:formatCode>
                <c:ptCount val="16"/>
                <c:pt idx="1">
                  <c:v>-6.9721115537848604E-3</c:v>
                </c:pt>
                <c:pt idx="2">
                  <c:v>-1.8396653374758421E-2</c:v>
                </c:pt>
                <c:pt idx="3">
                  <c:v>9.7943925233644862E-3</c:v>
                </c:pt>
                <c:pt idx="4">
                  <c:v>1.3969100153018412E-2</c:v>
                </c:pt>
                <c:pt idx="5">
                  <c:v>-1.3776652711517866E-2</c:v>
                </c:pt>
                <c:pt idx="6">
                  <c:v>-1.4117182486795991E-2</c:v>
                </c:pt>
                <c:pt idx="7">
                  <c:v>5.0743503730035548E-2</c:v>
                </c:pt>
                <c:pt idx="8">
                  <c:v>2.3658065899506826E-2</c:v>
                </c:pt>
                <c:pt idx="9">
                  <c:v>3.6377600893729926E-2</c:v>
                </c:pt>
                <c:pt idx="10">
                  <c:v>-1.1812526668014103E-2</c:v>
                </c:pt>
                <c:pt idx="11">
                  <c:v>0.16437515623934731</c:v>
                </c:pt>
                <c:pt idx="12">
                  <c:v>0.37756655476618001</c:v>
                </c:pt>
                <c:pt idx="13">
                  <c:v>1.8347713974015668E-2</c:v>
                </c:pt>
                <c:pt idx="14">
                  <c:v>6.3567811230452451E-2</c:v>
                </c:pt>
                <c:pt idx="15">
                  <c:v>1.1119105239060763E-3</c:v>
                </c:pt>
              </c:numCache>
            </c:numRef>
          </c:val>
          <c:extLst>
            <c:ext xmlns:c16="http://schemas.microsoft.com/office/drawing/2014/chart" uri="{C3380CC4-5D6E-409C-BE32-E72D297353CC}">
              <c16:uniqueId val="{00000000-DC03-48F0-891C-658F0627DFCD}"/>
            </c:ext>
          </c:extLst>
        </c:ser>
        <c:dLbls>
          <c:showLegendKey val="0"/>
          <c:showVal val="0"/>
          <c:showCatName val="0"/>
          <c:showSerName val="0"/>
          <c:showPercent val="0"/>
          <c:showBubbleSize val="0"/>
        </c:dLbls>
        <c:gapWidth val="219"/>
        <c:overlap val="-27"/>
        <c:axId val="578065551"/>
        <c:axId val="578074671"/>
      </c:barChart>
      <c:catAx>
        <c:axId val="57806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78074671"/>
        <c:crosses val="autoZero"/>
        <c:auto val="1"/>
        <c:lblAlgn val="ctr"/>
        <c:lblOffset val="100"/>
        <c:noMultiLvlLbl val="0"/>
      </c:catAx>
      <c:valAx>
        <c:axId val="5780746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7806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 total liabilities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2"/>
            </a:solidFill>
            <a:ln>
              <a:noFill/>
            </a:ln>
            <a:effectLst/>
          </c:spPr>
          <c:invertIfNegative val="0"/>
          <c:cat>
            <c:numRef>
              <c:f>'2.Equity'!$AC$134:$AC$146</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'2.Equity'!$AD$134:$AD$146</c:f>
              <c:numCache>
                <c:formatCode>_-[$$-409]* #,##0.00_ ;_-[$$-409]* \-#,##0.00\ ;_-[$$-409]* "-"??_ ;_-@_ </c:formatCode>
                <c:ptCount val="13"/>
                <c:pt idx="0">
                  <c:v>22620</c:v>
                </c:pt>
                <c:pt idx="1">
                  <c:v>23307</c:v>
                </c:pt>
                <c:pt idx="2">
                  <c:v>27996</c:v>
                </c:pt>
                <c:pt idx="3">
                  <c:v>30624</c:v>
                </c:pt>
                <c:pt idx="4">
                  <c:v>35657</c:v>
                </c:pt>
                <c:pt idx="5">
                  <c:v>38633</c:v>
                </c:pt>
                <c:pt idx="6">
                  <c:v>43075</c:v>
                </c:pt>
                <c:pt idx="7">
                  <c:v>45881</c:v>
                </c:pt>
                <c:pt idx="8">
                  <c:v>54352</c:v>
                </c:pt>
                <c:pt idx="9">
                  <c:v>67282</c:v>
                </c:pt>
                <c:pt idx="10">
                  <c:v>73572</c:v>
                </c:pt>
                <c:pt idx="11">
                  <c:v>74883</c:v>
                </c:pt>
                <c:pt idx="12">
                  <c:v>75486</c:v>
                </c:pt>
              </c:numCache>
            </c:numRef>
          </c:val>
          <c:extLst>
            <c:ext xmlns:c16="http://schemas.microsoft.com/office/drawing/2014/chart" uri="{C3380CC4-5D6E-409C-BE32-E72D297353CC}">
              <c16:uniqueId val="{00000000-4E6B-4492-ACA6-EBB21531712A}"/>
            </c:ext>
          </c:extLst>
        </c:ser>
        <c:dLbls>
          <c:showLegendKey val="0"/>
          <c:showVal val="0"/>
          <c:showCatName val="0"/>
          <c:showSerName val="0"/>
          <c:showPercent val="0"/>
          <c:showBubbleSize val="0"/>
        </c:dLbls>
        <c:gapWidth val="219"/>
        <c:overlap val="-27"/>
        <c:axId val="773021136"/>
        <c:axId val="773019696"/>
      </c:barChart>
      <c:catAx>
        <c:axId val="77302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3019696"/>
        <c:crosses val="autoZero"/>
        <c:auto val="1"/>
        <c:lblAlgn val="ctr"/>
        <c:lblOffset val="100"/>
        <c:noMultiLvlLbl val="0"/>
      </c:catAx>
      <c:valAx>
        <c:axId val="7730196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3021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1212248468941381"/>
          <c:y val="0.15782407407407409"/>
          <c:w val="0.85732195975503067"/>
          <c:h val="0.72385061242344706"/>
        </c:manualLayout>
      </c:layout>
      <c:barChart>
        <c:barDir val="col"/>
        <c:grouping val="clustered"/>
        <c:varyColors val="0"/>
        <c:ser>
          <c:idx val="0"/>
          <c:order val="0"/>
          <c:tx>
            <c:strRef>
              <c:f>'2.Equity'!$AI$133</c:f>
              <c:strCache>
                <c:ptCount val="1"/>
                <c:pt idx="0">
                  <c:v> % chg</c:v>
                </c:pt>
              </c:strCache>
            </c:strRef>
          </c:tx>
          <c:spPr>
            <a:solidFill>
              <a:schemeClr val="accent1"/>
            </a:solidFill>
            <a:ln>
              <a:noFill/>
            </a:ln>
            <a:effectLst/>
          </c:spPr>
          <c:invertIfNegative val="0"/>
          <c:cat>
            <c:numRef>
              <c:f>'2.Equity'!$AG$134:$AG$146</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'2.Equity'!$AI$134:$AI$146</c:f>
              <c:numCache>
                <c:formatCode>0.0%</c:formatCode>
                <c:ptCount val="13"/>
                <c:pt idx="1">
                  <c:v>3.037135278514589E-2</c:v>
                </c:pt>
                <c:pt idx="2">
                  <c:v>0.20118419358990861</c:v>
                </c:pt>
                <c:pt idx="3">
                  <c:v>9.3870552936133736E-2</c:v>
                </c:pt>
                <c:pt idx="4">
                  <c:v>0.164348223615465</c:v>
                </c:pt>
                <c:pt idx="5">
                  <c:v>8.3461872844041843E-2</c:v>
                </c:pt>
                <c:pt idx="6">
                  <c:v>0.11497942173789248</c:v>
                </c:pt>
                <c:pt idx="7">
                  <c:v>6.5142193847939636E-2</c:v>
                </c:pt>
                <c:pt idx="8">
                  <c:v>0.18462980318650421</c:v>
                </c:pt>
                <c:pt idx="9">
                  <c:v>0.23789372976155432</c:v>
                </c:pt>
                <c:pt idx="10">
                  <c:v>9.3487113938349034E-2</c:v>
                </c:pt>
                <c:pt idx="11">
                  <c:v>1.7819279073560592E-2</c:v>
                </c:pt>
                <c:pt idx="12">
                  <c:v>8.0525619967148753E-3</c:v>
                </c:pt>
              </c:numCache>
            </c:numRef>
          </c:val>
          <c:extLst>
            <c:ext xmlns:c16="http://schemas.microsoft.com/office/drawing/2014/chart" uri="{C3380CC4-5D6E-409C-BE32-E72D297353CC}">
              <c16:uniqueId val="{00000000-B145-41A1-B7FE-DEAA146F2C77}"/>
            </c:ext>
          </c:extLst>
        </c:ser>
        <c:dLbls>
          <c:showLegendKey val="0"/>
          <c:showVal val="0"/>
          <c:showCatName val="0"/>
          <c:showSerName val="0"/>
          <c:showPercent val="0"/>
          <c:showBubbleSize val="0"/>
        </c:dLbls>
        <c:gapWidth val="219"/>
        <c:overlap val="-27"/>
        <c:axId val="773015856"/>
        <c:axId val="773021616"/>
      </c:barChart>
      <c:catAx>
        <c:axId val="77301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3021616"/>
        <c:crosses val="autoZero"/>
        <c:auto val="1"/>
        <c:lblAlgn val="ctr"/>
        <c:lblOffset val="100"/>
        <c:noMultiLvlLbl val="0"/>
      </c:catAx>
      <c:valAx>
        <c:axId val="77302161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3015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'2.Equity'!$AH$133</c:f>
              <c:strCache>
                <c:ptCount val="1"/>
                <c:pt idx="0">
                  <c:v>$ chg</c:v>
                </c:pt>
              </c:strCache>
            </c:strRef>
          </c:tx>
          <c:spPr>
            <a:solidFill>
              <a:schemeClr val="accent1"/>
            </a:solidFill>
            <a:ln>
              <a:noFill/>
            </a:ln>
            <a:effectLst/>
          </c:spPr>
          <c:invertIfNegative val="0"/>
          <c:cat>
            <c:numRef>
              <c:f>'2.Equity'!$AG$134:$AG$146</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'2.Equity'!$AH$134:$AH$146</c:f>
              <c:numCache>
                <c:formatCode>_-[$$-409]* #,##0.00_ ;_-[$$-409]* \-#,##0.00\ ;_-[$$-409]* "-"??_ ;_-@_ </c:formatCode>
                <c:ptCount val="13"/>
                <c:pt idx="1">
                  <c:v>687</c:v>
                </c:pt>
                <c:pt idx="2">
                  <c:v>4689</c:v>
                </c:pt>
                <c:pt idx="3">
                  <c:v>2628</c:v>
                </c:pt>
                <c:pt idx="4">
                  <c:v>5033</c:v>
                </c:pt>
                <c:pt idx="5">
                  <c:v>2976</c:v>
                </c:pt>
                <c:pt idx="6">
                  <c:v>4442</c:v>
                </c:pt>
                <c:pt idx="7">
                  <c:v>2806</c:v>
                </c:pt>
                <c:pt idx="8">
                  <c:v>8471</c:v>
                </c:pt>
                <c:pt idx="9">
                  <c:v>12930</c:v>
                </c:pt>
                <c:pt idx="10">
                  <c:v>6290</c:v>
                </c:pt>
                <c:pt idx="11">
                  <c:v>1311</c:v>
                </c:pt>
                <c:pt idx="12">
                  <c:v>603</c:v>
                </c:pt>
              </c:numCache>
            </c:numRef>
          </c:val>
          <c:extLst>
            <c:ext xmlns:c16="http://schemas.microsoft.com/office/drawing/2014/chart" uri="{C3380CC4-5D6E-409C-BE32-E72D297353CC}">
              <c16:uniqueId val="{00000000-77E5-4E7F-8F06-D2D7CE3B20EB}"/>
            </c:ext>
          </c:extLst>
        </c:ser>
        <c:dLbls>
          <c:showLegendKey val="0"/>
          <c:showVal val="0"/>
          <c:showCatName val="0"/>
          <c:showSerName val="0"/>
          <c:showPercent val="0"/>
          <c:showBubbleSize val="0"/>
        </c:dLbls>
        <c:gapWidth val="219"/>
        <c:overlap val="-27"/>
        <c:axId val="770529696"/>
        <c:axId val="770522496"/>
      </c:barChart>
      <c:catAx>
        <c:axId val="77052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0522496"/>
        <c:crosses val="autoZero"/>
        <c:auto val="1"/>
        <c:lblAlgn val="ctr"/>
        <c:lblOffset val="100"/>
        <c:noMultiLvlLbl val="0"/>
      </c:catAx>
      <c:valAx>
        <c:axId val="77052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0529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'2.Equity'!$AH$108</c:f>
              <c:strCache>
                <c:ptCount val="1"/>
                <c:pt idx="0">
                  <c:v>$ chg</c:v>
                </c:pt>
              </c:strCache>
            </c:strRef>
          </c:tx>
          <c:spPr>
            <a:solidFill>
              <a:schemeClr val="accent1"/>
            </a:solidFill>
            <a:ln>
              <a:noFill/>
            </a:ln>
            <a:effectLst/>
          </c:spPr>
          <c:invertIfNegative val="0"/>
          <c:cat>
            <c:numRef>
              <c:f>'2.Equity'!$AG$109:$AG$124</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'2.Equity'!$AH$109:$AH$124</c:f>
              <c:numCache>
                <c:formatCode>_-[$$-409]* #,##0.00_ ;_-[$$-409]* \-#,##0.00\ ;_-[$$-409]* "-"??_ ;_-@_ </c:formatCode>
                <c:ptCount val="16"/>
                <c:pt idx="1">
                  <c:v>-287</c:v>
                </c:pt>
                <c:pt idx="2">
                  <c:v>-752</c:v>
                </c:pt>
                <c:pt idx="3">
                  <c:v>393</c:v>
                </c:pt>
                <c:pt idx="4">
                  <c:v>566</c:v>
                </c:pt>
                <c:pt idx="5">
                  <c:v>-566</c:v>
                </c:pt>
                <c:pt idx="6">
                  <c:v>-572</c:v>
                </c:pt>
                <c:pt idx="7">
                  <c:v>2027</c:v>
                </c:pt>
                <c:pt idx="8">
                  <c:v>993</c:v>
                </c:pt>
                <c:pt idx="9">
                  <c:v>1563</c:v>
                </c:pt>
                <c:pt idx="10">
                  <c:v>-526</c:v>
                </c:pt>
                <c:pt idx="11">
                  <c:v>7233</c:v>
                </c:pt>
                <c:pt idx="12">
                  <c:v>19345</c:v>
                </c:pt>
                <c:pt idx="13">
                  <c:v>1295</c:v>
                </c:pt>
                <c:pt idx="14">
                  <c:v>4569</c:v>
                </c:pt>
                <c:pt idx="15">
                  <c:v>85</c:v>
                </c:pt>
              </c:numCache>
            </c:numRef>
          </c:val>
          <c:extLst>
            <c:ext xmlns:c16="http://schemas.microsoft.com/office/drawing/2014/chart" uri="{C3380CC4-5D6E-409C-BE32-E72D297353CC}">
              <c16:uniqueId val="{00000000-99B4-4527-8B36-5CBDA85A5C53}"/>
            </c:ext>
          </c:extLst>
        </c:ser>
        <c:dLbls>
          <c:showLegendKey val="0"/>
          <c:showVal val="0"/>
          <c:showCatName val="0"/>
          <c:showSerName val="0"/>
          <c:showPercent val="0"/>
          <c:showBubbleSize val="0"/>
        </c:dLbls>
        <c:gapWidth val="219"/>
        <c:overlap val="-27"/>
        <c:axId val="563822431"/>
        <c:axId val="563820511"/>
      </c:barChart>
      <c:catAx>
        <c:axId val="56382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63820511"/>
        <c:crosses val="autoZero"/>
        <c:auto val="1"/>
        <c:lblAlgn val="ctr"/>
        <c:lblOffset val="100"/>
        <c:noMultiLvlLbl val="0"/>
      </c:catAx>
      <c:valAx>
        <c:axId val="56382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63822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shareholders</a:t>
            </a:r>
            <a:r>
              <a:rPr lang="en-US" baseline="0"/>
              <a:t> equity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2915397635763884"/>
          <c:y val="0.13190622274125033"/>
          <c:w val="0.85346953580909524"/>
          <c:h val="0.81392284389478653"/>
        </c:manualLayout>
      </c:layout>
      <c:barChart>
        <c:barDir val="col"/>
        <c:grouping val="clustered"/>
        <c:varyColors val="0"/>
        <c:ser>
          <c:idx val="0"/>
          <c:order val="0"/>
          <c:tx>
            <c:strRef>
              <c:f>'2.Equity'!$AE$175</c:f>
              <c:strCache>
                <c:ptCount val="1"/>
                <c:pt idx="0">
                  <c:v>shr eq</c:v>
                </c:pt>
              </c:strCache>
            </c:strRef>
          </c:tx>
          <c:spPr>
            <a:solidFill>
              <a:schemeClr val="accent1"/>
            </a:solidFill>
            <a:ln>
              <a:noFill/>
            </a:ln>
            <a:effectLst/>
          </c:spPr>
          <c:invertIfNegative val="0"/>
          <c:cat>
            <c:numRef>
              <c:f>'2.Equity'!$AD$176:$AD$188</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'2.Equity'!$AE$176:$AE$188</c:f>
              <c:numCache>
                <c:formatCode>_-[$$-409]* #,##0.00_ ;_-[$$-409]* \-#,##0.00\ ;_-[$$-409]* "-"??_ ;_-@_ </c:formatCode>
                <c:ptCount val="13"/>
                <c:pt idx="0">
                  <c:v>17898</c:v>
                </c:pt>
                <c:pt idx="1">
                  <c:v>17777</c:v>
                </c:pt>
                <c:pt idx="2">
                  <c:v>12522</c:v>
                </c:pt>
                <c:pt idx="3">
                  <c:v>9322</c:v>
                </c:pt>
                <c:pt idx="4">
                  <c:v>6316</c:v>
                </c:pt>
                <c:pt idx="5">
                  <c:v>4333</c:v>
                </c:pt>
                <c:pt idx="6">
                  <c:v>1454</c:v>
                </c:pt>
                <c:pt idx="7">
                  <c:v>-1878</c:v>
                </c:pt>
                <c:pt idx="8">
                  <c:v>-3116</c:v>
                </c:pt>
                <c:pt idx="9">
                  <c:v>3299</c:v>
                </c:pt>
                <c:pt idx="10">
                  <c:v>-1696</c:v>
                </c:pt>
                <c:pt idx="11">
                  <c:v>1562</c:v>
                </c:pt>
                <c:pt idx="12">
                  <c:v>1044</c:v>
                </c:pt>
              </c:numCache>
            </c:numRef>
          </c:val>
          <c:extLst>
            <c:ext xmlns:c16="http://schemas.microsoft.com/office/drawing/2014/chart" uri="{C3380CC4-5D6E-409C-BE32-E72D297353CC}">
              <c16:uniqueId val="{00000000-D3FB-40BC-ACCB-2A621D68BB8E}"/>
            </c:ext>
          </c:extLst>
        </c:ser>
        <c:dLbls>
          <c:showLegendKey val="0"/>
          <c:showVal val="0"/>
          <c:showCatName val="0"/>
          <c:showSerName val="0"/>
          <c:showPercent val="0"/>
          <c:showBubbleSize val="0"/>
        </c:dLbls>
        <c:gapWidth val="219"/>
        <c:overlap val="-27"/>
        <c:axId val="770520096"/>
        <c:axId val="770524416"/>
      </c:barChart>
      <c:catAx>
        <c:axId val="77052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0524416"/>
        <c:crosses val="autoZero"/>
        <c:auto val="1"/>
        <c:lblAlgn val="ctr"/>
        <c:lblOffset val="100"/>
        <c:noMultiLvlLbl val="0"/>
      </c:catAx>
      <c:valAx>
        <c:axId val="77052441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70520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shareholders equity estimation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dPt>
            <c:idx val="13"/>
            <c:invertIfNegative val="0"/>
            <c:bubble3D val="0"/>
            <c:spPr>
              <a:solidFill>
                <a:srgbClr val="FF0000"/>
              </a:solidFill>
              <a:ln>
                <a:noFill/>
              </a:ln>
              <a:effectLst/>
            </c:spPr>
            <c:extLst>
              <c:ext xmlns:c16="http://schemas.microsoft.com/office/drawing/2014/chart" uri="{C3380CC4-5D6E-409C-BE32-E72D297353CC}">
                <c16:uniqueId val="{00000002-5B2C-45B6-A75A-7B8478C622C8}"/>
              </c:ext>
            </c:extLst>
          </c:dPt>
          <c:dPt>
            <c:idx val="14"/>
            <c:invertIfNegative val="0"/>
            <c:bubble3D val="0"/>
            <c:spPr>
              <a:solidFill>
                <a:srgbClr val="FF0000"/>
              </a:solidFill>
              <a:ln>
                <a:noFill/>
              </a:ln>
              <a:effectLst/>
            </c:spPr>
            <c:extLst>
              <c:ext xmlns:c16="http://schemas.microsoft.com/office/drawing/2014/chart" uri="{C3380CC4-5D6E-409C-BE32-E72D297353CC}">
                <c16:uniqueId val="{00000003-5B2C-45B6-A75A-7B8478C622C8}"/>
              </c:ext>
            </c:extLst>
          </c:dPt>
          <c:dPt>
            <c:idx val="15"/>
            <c:invertIfNegative val="0"/>
            <c:bubble3D val="0"/>
            <c:spPr>
              <a:solidFill>
                <a:srgbClr val="FF0000"/>
              </a:solidFill>
              <a:ln>
                <a:noFill/>
              </a:ln>
              <a:effectLst/>
            </c:spPr>
            <c:extLst>
              <c:ext xmlns:c16="http://schemas.microsoft.com/office/drawing/2014/chart" uri="{C3380CC4-5D6E-409C-BE32-E72D297353CC}">
                <c16:uniqueId val="{00000008-5B2C-45B6-A75A-7B8478C622C8}"/>
              </c:ext>
            </c:extLst>
          </c:dPt>
          <c:dPt>
            <c:idx val="16"/>
            <c:invertIfNegative val="0"/>
            <c:bubble3D val="0"/>
            <c:spPr>
              <a:solidFill>
                <a:srgbClr val="FF0000"/>
              </a:solidFill>
              <a:ln>
                <a:noFill/>
              </a:ln>
              <a:effectLst/>
            </c:spPr>
            <c:extLst>
              <c:ext xmlns:c16="http://schemas.microsoft.com/office/drawing/2014/chart" uri="{C3380CC4-5D6E-409C-BE32-E72D297353CC}">
                <c16:uniqueId val="{00000007-5B2C-45B6-A75A-7B8478C622C8}"/>
              </c:ext>
            </c:extLst>
          </c:dPt>
          <c:dPt>
            <c:idx val="17"/>
            <c:invertIfNegative val="0"/>
            <c:bubble3D val="0"/>
            <c:spPr>
              <a:solidFill>
                <a:srgbClr val="FF0000"/>
              </a:solidFill>
              <a:ln>
                <a:noFill/>
              </a:ln>
              <a:effectLst/>
            </c:spPr>
            <c:extLst>
              <c:ext xmlns:c16="http://schemas.microsoft.com/office/drawing/2014/chart" uri="{C3380CC4-5D6E-409C-BE32-E72D297353CC}">
                <c16:uniqueId val="{00000006-5B2C-45B6-A75A-7B8478C622C8}"/>
              </c:ext>
            </c:extLst>
          </c:dPt>
          <c:dPt>
            <c:idx val="18"/>
            <c:invertIfNegative val="0"/>
            <c:bubble3D val="0"/>
            <c:spPr>
              <a:solidFill>
                <a:srgbClr val="FF0000"/>
              </a:solidFill>
              <a:ln>
                <a:noFill/>
              </a:ln>
              <a:effectLst/>
            </c:spPr>
            <c:extLst>
              <c:ext xmlns:c16="http://schemas.microsoft.com/office/drawing/2014/chart" uri="{C3380CC4-5D6E-409C-BE32-E72D297353CC}">
                <c16:uniqueId val="{00000005-5B2C-45B6-A75A-7B8478C622C8}"/>
              </c:ext>
            </c:extLst>
          </c:dPt>
          <c:dPt>
            <c:idx val="19"/>
            <c:invertIfNegative val="0"/>
            <c:bubble3D val="0"/>
            <c:spPr>
              <a:solidFill>
                <a:srgbClr val="FF0000"/>
              </a:solidFill>
              <a:ln>
                <a:noFill/>
              </a:ln>
              <a:effectLst/>
            </c:spPr>
            <c:extLst>
              <c:ext xmlns:c16="http://schemas.microsoft.com/office/drawing/2014/chart" uri="{C3380CC4-5D6E-409C-BE32-E72D297353CC}">
                <c16:uniqueId val="{00000004-5B2C-45B6-A75A-7B8478C622C8}"/>
              </c:ext>
            </c:extLst>
          </c:dPt>
          <c:cat>
            <c:numRef>
              <c:f>'2.Equity'!$AD$176:$AD$195</c:f>
              <c:numCache>
                <c:formatCode>General</c:formatCode>
                <c:ptCount val="20"/>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pt idx="14">
                  <c:v>2026</c:v>
                </c:pt>
                <c:pt idx="15">
                  <c:v>2027</c:v>
                </c:pt>
                <c:pt idx="16">
                  <c:v>2028</c:v>
                </c:pt>
                <c:pt idx="17">
                  <c:v>2029</c:v>
                </c:pt>
                <c:pt idx="18">
                  <c:v>2030</c:v>
                </c:pt>
                <c:pt idx="19">
                  <c:v>2031</c:v>
                </c:pt>
              </c:numCache>
            </c:numRef>
          </c:cat>
          <c:val>
            <c:numRef>
              <c:f>'2.Equity'!$AE$176:$AE$195</c:f>
              <c:numCache>
                <c:formatCode>_-[$$-409]* #,##0.00_ ;_-[$$-409]* \-#,##0.00\ ;_-[$$-409]* "-"??_ ;_-@_ </c:formatCode>
                <c:ptCount val="20"/>
                <c:pt idx="0">
                  <c:v>17898</c:v>
                </c:pt>
                <c:pt idx="1">
                  <c:v>17777</c:v>
                </c:pt>
                <c:pt idx="2">
                  <c:v>12522</c:v>
                </c:pt>
                <c:pt idx="3">
                  <c:v>9322</c:v>
                </c:pt>
                <c:pt idx="4">
                  <c:v>6316</c:v>
                </c:pt>
                <c:pt idx="5">
                  <c:v>4333</c:v>
                </c:pt>
                <c:pt idx="6">
                  <c:v>1454</c:v>
                </c:pt>
                <c:pt idx="7">
                  <c:v>-1878</c:v>
                </c:pt>
                <c:pt idx="8">
                  <c:v>-3116</c:v>
                </c:pt>
                <c:pt idx="9">
                  <c:v>3299</c:v>
                </c:pt>
                <c:pt idx="10">
                  <c:v>-1696</c:v>
                </c:pt>
                <c:pt idx="11">
                  <c:v>1562</c:v>
                </c:pt>
                <c:pt idx="12">
                  <c:v>1044</c:v>
                </c:pt>
                <c:pt idx="13">
                  <c:v>1000</c:v>
                </c:pt>
                <c:pt idx="14">
                  <c:v>900</c:v>
                </c:pt>
                <c:pt idx="15">
                  <c:v>800</c:v>
                </c:pt>
                <c:pt idx="16">
                  <c:v>1000</c:v>
                </c:pt>
                <c:pt idx="17">
                  <c:v>1200</c:v>
                </c:pt>
                <c:pt idx="18">
                  <c:v>1700</c:v>
                </c:pt>
                <c:pt idx="19">
                  <c:v>2500</c:v>
                </c:pt>
              </c:numCache>
            </c:numRef>
          </c:val>
          <c:extLst>
            <c:ext xmlns:c16="http://schemas.microsoft.com/office/drawing/2014/chart" uri="{C3380CC4-5D6E-409C-BE32-E72D297353CC}">
              <c16:uniqueId val="{00000000-5B2C-45B6-A75A-7B8478C622C8}"/>
            </c:ext>
          </c:extLst>
        </c:ser>
        <c:dLbls>
          <c:showLegendKey val="0"/>
          <c:showVal val="0"/>
          <c:showCatName val="0"/>
          <c:showSerName val="0"/>
          <c:showPercent val="0"/>
          <c:showBubbleSize val="0"/>
        </c:dLbls>
        <c:gapWidth val="219"/>
        <c:overlap val="-27"/>
        <c:axId val="559708799"/>
        <c:axId val="559697279"/>
      </c:barChart>
      <c:catAx>
        <c:axId val="55970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59697279"/>
        <c:crosses val="autoZero"/>
        <c:auto val="1"/>
        <c:lblAlgn val="ctr"/>
        <c:lblOffset val="100"/>
        <c:noMultiLvlLbl val="0"/>
      </c:catAx>
      <c:valAx>
        <c:axId val="55969727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5597087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Equity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2"/>
            </a:solidFill>
            <a:ln>
              <a:noFill/>
            </a:ln>
            <a:effectLst/>
          </c:spPr>
          <c:invertIfNegative val="0"/>
          <c:cat>
            <c:strRef>
              <c:f>'2.Equity'!$H$252:$H$259</c:f>
              <c:strCache>
                <c:ptCount val="8"/>
                <c:pt idx="0">
                  <c:v>2025</c:v>
                </c:pt>
                <c:pt idx="1">
                  <c:v>2026</c:v>
                </c:pt>
                <c:pt idx="2">
                  <c:v>2027</c:v>
                </c:pt>
                <c:pt idx="3">
                  <c:v>2028</c:v>
                </c:pt>
                <c:pt idx="4">
                  <c:v>2029</c:v>
                </c:pt>
                <c:pt idx="5">
                  <c:v>2030</c:v>
                </c:pt>
                <c:pt idx="6">
                  <c:v>2031</c:v>
                </c:pt>
                <c:pt idx="7">
                  <c:v>thereafter</c:v>
                </c:pt>
              </c:strCache>
            </c:strRef>
          </c:cat>
          <c:val>
            <c:numRef>
              <c:f>'2.Equity'!$I$252:$I$259</c:f>
              <c:numCache>
                <c:formatCode>0.00000000%</c:formatCode>
                <c:ptCount val="8"/>
                <c:pt idx="0">
                  <c:v>0.10305775</c:v>
                </c:pt>
                <c:pt idx="1">
                  <c:v>0.10524999999999998</c:v>
                </c:pt>
                <c:pt idx="2">
                  <c:v>0.10766781249999999</c:v>
                </c:pt>
                <c:pt idx="3">
                  <c:v>9.3985625000000017E-2</c:v>
                </c:pt>
                <c:pt idx="4">
                  <c:v>8.5203437500000007E-2</c:v>
                </c:pt>
                <c:pt idx="5">
                  <c:v>7.6071250000000007E-2</c:v>
                </c:pt>
                <c:pt idx="6">
                  <c:v>7.2646250000000009E-2</c:v>
                </c:pt>
                <c:pt idx="7">
                  <c:v>7.0000000000000007E-2</c:v>
                </c:pt>
              </c:numCache>
            </c:numRef>
          </c:val>
          <c:extLst>
            <c:ext xmlns:c16="http://schemas.microsoft.com/office/drawing/2014/chart" uri="{C3380CC4-5D6E-409C-BE32-E72D297353CC}">
              <c16:uniqueId val="{00000000-D406-4E9B-9DF1-BC6C3D6508EA}"/>
            </c:ext>
          </c:extLst>
        </c:ser>
        <c:dLbls>
          <c:showLegendKey val="0"/>
          <c:showVal val="0"/>
          <c:showCatName val="0"/>
          <c:showSerName val="0"/>
          <c:showPercent val="0"/>
          <c:showBubbleSize val="0"/>
        </c:dLbls>
        <c:gapWidth val="219"/>
        <c:overlap val="-27"/>
        <c:axId val="1085113823"/>
        <c:axId val="1085104703"/>
      </c:barChart>
      <c:catAx>
        <c:axId val="108511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5104703"/>
        <c:crosses val="autoZero"/>
        <c:auto val="1"/>
        <c:lblAlgn val="ctr"/>
        <c:lblOffset val="100"/>
        <c:noMultiLvlLbl val="0"/>
      </c:catAx>
      <c:valAx>
        <c:axId val="1085104703"/>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5113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'3.Debt'!$H$66</c:f>
              <c:strCache>
                <c:ptCount val="1"/>
                <c:pt idx="0">
                  <c:v>Home Depot Cost Of Debt</c:v>
                </c:pt>
              </c:strCache>
            </c:strRef>
          </c:tx>
          <c:spPr>
            <a:solidFill>
              <a:schemeClr val="accent2"/>
            </a:solidFill>
            <a:ln>
              <a:noFill/>
            </a:ln>
            <a:effectLst/>
          </c:spPr>
          <c:invertIfNegative val="0"/>
          <c:cat>
            <c:strRef>
              <c:f>'3.Debt'!$G$67:$G$74</c:f>
              <c:strCache>
                <c:ptCount val="8"/>
                <c:pt idx="0">
                  <c:v>2025</c:v>
                </c:pt>
                <c:pt idx="1">
                  <c:v>2026</c:v>
                </c:pt>
                <c:pt idx="2">
                  <c:v>2027</c:v>
                </c:pt>
                <c:pt idx="3">
                  <c:v>2028</c:v>
                </c:pt>
                <c:pt idx="4">
                  <c:v>2029</c:v>
                </c:pt>
                <c:pt idx="5">
                  <c:v>2030</c:v>
                </c:pt>
                <c:pt idx="6">
                  <c:v>2031</c:v>
                </c:pt>
                <c:pt idx="7">
                  <c:v>thereafter</c:v>
                </c:pt>
              </c:strCache>
            </c:strRef>
          </c:cat>
          <c:val>
            <c:numRef>
              <c:f>'3.Debt'!$H$67:$H$74</c:f>
              <c:numCache>
                <c:formatCode>0.00%</c:formatCode>
                <c:ptCount val="8"/>
                <c:pt idx="0">
                  <c:v>6.0000000000000005E-2</c:v>
                </c:pt>
                <c:pt idx="1">
                  <c:v>5.1650000000000001E-2</c:v>
                </c:pt>
                <c:pt idx="2">
                  <c:v>4.8667812500000004E-2</c:v>
                </c:pt>
                <c:pt idx="3">
                  <c:v>4.5685625000000007E-2</c:v>
                </c:pt>
                <c:pt idx="4">
                  <c:v>5.9703437500000012E-2</c:v>
                </c:pt>
                <c:pt idx="5">
                  <c:v>5.6721250000000008E-2</c:v>
                </c:pt>
                <c:pt idx="6">
                  <c:v>5.6721250000000008E-2</c:v>
                </c:pt>
                <c:pt idx="7">
                  <c:v>5.6999999999999995E-2</c:v>
                </c:pt>
              </c:numCache>
            </c:numRef>
          </c:val>
          <c:extLst>
            <c:ext xmlns:c16="http://schemas.microsoft.com/office/drawing/2014/chart" uri="{C3380CC4-5D6E-409C-BE32-E72D297353CC}">
              <c16:uniqueId val="{00000000-C012-438A-B6E3-29FEF784AE19}"/>
            </c:ext>
          </c:extLst>
        </c:ser>
        <c:dLbls>
          <c:showLegendKey val="0"/>
          <c:showVal val="0"/>
          <c:showCatName val="0"/>
          <c:showSerName val="0"/>
          <c:showPercent val="0"/>
          <c:showBubbleSize val="0"/>
        </c:dLbls>
        <c:gapWidth val="219"/>
        <c:overlap val="-27"/>
        <c:axId val="1083785039"/>
        <c:axId val="1083793199"/>
      </c:barChart>
      <c:catAx>
        <c:axId val="108378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3793199"/>
        <c:crosses val="autoZero"/>
        <c:auto val="1"/>
        <c:lblAlgn val="ctr"/>
        <c:lblOffset val="100"/>
        <c:noMultiLvlLbl val="0"/>
      </c:catAx>
      <c:valAx>
        <c:axId val="1083793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378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 WACC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'4.WACC'!$C$19:$C$26</c:f>
              <c:strCache>
                <c:ptCount val="8"/>
                <c:pt idx="0">
                  <c:v>2024</c:v>
                </c:pt>
                <c:pt idx="1">
                  <c:v>2025</c:v>
                </c:pt>
                <c:pt idx="2">
                  <c:v>2026</c:v>
                </c:pt>
                <c:pt idx="3">
                  <c:v>2027</c:v>
                </c:pt>
                <c:pt idx="4">
                  <c:v>2028</c:v>
                </c:pt>
                <c:pt idx="5">
                  <c:v>2029</c:v>
                </c:pt>
                <c:pt idx="6">
                  <c:v>2030</c:v>
                </c:pt>
                <c:pt idx="7">
                  <c:v>thereafter</c:v>
                </c:pt>
              </c:strCache>
            </c:strRef>
          </c:cat>
          <c:val>
            <c:numRef>
              <c:f>'4.WACC'!$D$19:$D$26</c:f>
              <c:numCache>
                <c:formatCode>0.00%</c:formatCode>
                <c:ptCount val="8"/>
                <c:pt idx="0">
                  <c:v>9.5042732416065187E-2</c:v>
                </c:pt>
                <c:pt idx="1">
                  <c:v>9.6043946848434494E-2</c:v>
                </c:pt>
                <c:pt idx="2">
                  <c:v>9.7808330585682973E-2</c:v>
                </c:pt>
                <c:pt idx="3">
                  <c:v>8.571856946173087E-2</c:v>
                </c:pt>
                <c:pt idx="4">
                  <c:v>7.9647551083938423E-2</c:v>
                </c:pt>
                <c:pt idx="5">
                  <c:v>7.1473091768586461E-2</c:v>
                </c:pt>
                <c:pt idx="6">
                  <c:v>6.8525859088486338E-2</c:v>
                </c:pt>
                <c:pt idx="7">
                  <c:v>6.6278297198561029E-2</c:v>
                </c:pt>
              </c:numCache>
            </c:numRef>
          </c:val>
          <c:extLst>
            <c:ext xmlns:c16="http://schemas.microsoft.com/office/drawing/2014/chart" uri="{C3380CC4-5D6E-409C-BE32-E72D297353CC}">
              <c16:uniqueId val="{00000000-83FD-4A9A-A2B5-9E9E2384E62B}"/>
            </c:ext>
          </c:extLst>
        </c:ser>
        <c:dLbls>
          <c:showLegendKey val="0"/>
          <c:showVal val="0"/>
          <c:showCatName val="0"/>
          <c:showSerName val="0"/>
          <c:showPercent val="0"/>
          <c:showBubbleSize val="0"/>
        </c:dLbls>
        <c:gapWidth val="219"/>
        <c:overlap val="-27"/>
        <c:axId val="1083800879"/>
        <c:axId val="1083813839"/>
      </c:barChart>
      <c:catAx>
        <c:axId val="108380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3813839"/>
        <c:crosses val="autoZero"/>
        <c:auto val="1"/>
        <c:lblAlgn val="ctr"/>
        <c:lblOffset val="100"/>
        <c:noMultiLvlLbl val="0"/>
      </c:catAx>
      <c:valAx>
        <c:axId val="10838138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380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 annual</a:t>
            </a:r>
            <a:r>
              <a:rPr lang="en-US" baseline="0"/>
              <a:t> revenues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2"/>
            </a:solidFill>
            <a:ln>
              <a:noFill/>
            </a:ln>
            <a:effectLst/>
          </c:spPr>
          <c:invertIfNegative val="0"/>
          <c:cat>
            <c:numRef>
              <c:f>'5.Story&amp;estimations'!$A$59:$A$74</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'5.Story&amp;estimations'!$B$59:$B$74</c:f>
              <c:numCache>
                <c:formatCode>_-[$$-409]* #,##0.0_ ;_-[$$-409]* \-#,##0.0\ ;_-[$$-409]* "-"??_ ;_-@_ </c:formatCode>
                <c:ptCount val="16"/>
                <c:pt idx="0">
                  <c:v>71288</c:v>
                </c:pt>
                <c:pt idx="1">
                  <c:v>66176</c:v>
                </c:pt>
                <c:pt idx="2">
                  <c:v>67997</c:v>
                </c:pt>
                <c:pt idx="3">
                  <c:v>70395</c:v>
                </c:pt>
                <c:pt idx="4">
                  <c:v>74754</c:v>
                </c:pt>
                <c:pt idx="5">
                  <c:v>78812</c:v>
                </c:pt>
                <c:pt idx="6">
                  <c:v>83176</c:v>
                </c:pt>
                <c:pt idx="7">
                  <c:v>88519</c:v>
                </c:pt>
                <c:pt idx="8">
                  <c:v>94595</c:v>
                </c:pt>
                <c:pt idx="9">
                  <c:v>100904</c:v>
                </c:pt>
                <c:pt idx="10">
                  <c:v>108203</c:v>
                </c:pt>
                <c:pt idx="11">
                  <c:v>110225</c:v>
                </c:pt>
                <c:pt idx="12">
                  <c:v>132110</c:v>
                </c:pt>
                <c:pt idx="13">
                  <c:v>151157</c:v>
                </c:pt>
                <c:pt idx="14">
                  <c:v>157403</c:v>
                </c:pt>
                <c:pt idx="15">
                  <c:v>152669</c:v>
                </c:pt>
              </c:numCache>
            </c:numRef>
          </c:val>
          <c:extLst>
            <c:ext xmlns:c16="http://schemas.microsoft.com/office/drawing/2014/chart" uri="{C3380CC4-5D6E-409C-BE32-E72D297353CC}">
              <c16:uniqueId val="{00000000-D71D-4D36-A493-828E1E863AD1}"/>
            </c:ext>
          </c:extLst>
        </c:ser>
        <c:dLbls>
          <c:showLegendKey val="0"/>
          <c:showVal val="0"/>
          <c:showCatName val="0"/>
          <c:showSerName val="0"/>
          <c:showPercent val="0"/>
          <c:showBubbleSize val="0"/>
        </c:dLbls>
        <c:gapWidth val="219"/>
        <c:overlap val="-27"/>
        <c:axId val="91609376"/>
        <c:axId val="91611776"/>
      </c:barChart>
      <c:catAx>
        <c:axId val="9160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611776"/>
        <c:crosses val="autoZero"/>
        <c:auto val="1"/>
        <c:lblAlgn val="ctr"/>
        <c:lblOffset val="100"/>
        <c:noMultiLvlLbl val="0"/>
      </c:catAx>
      <c:valAx>
        <c:axId val="91611776"/>
        <c:scaling>
          <c:orientation val="minMax"/>
        </c:scaling>
        <c:delete val="0"/>
        <c:axPos val="l"/>
        <c:majorGridlines>
          <c:spPr>
            <a:ln w="9525" cap="flat" cmpd="sng" algn="ctr">
              <a:solidFill>
                <a:schemeClr val="tx1">
                  <a:lumMod val="15000"/>
                  <a:lumOff val="85000"/>
                </a:schemeClr>
              </a:solidFill>
              <a:round/>
            </a:ln>
            <a:effectLst/>
          </c:spPr>
        </c:majorGridlines>
        <c:numFmt formatCode="_-[$$-409]* #,##0.0_ ;_-[$$-409]* \-#,##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6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a:t>
            </a:r>
            <a:r>
              <a:rPr lang="en-US" baseline="0"/>
              <a:t> Operating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2"/>
            </a:solidFill>
            <a:ln>
              <a:noFill/>
            </a:ln>
            <a:effectLst/>
          </c:spPr>
          <c:invertIfNegative val="0"/>
          <c:cat>
            <c:numRef>
              <c:f>'5.Story&amp;estimations'!$L$79:$L$91</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'5.Story&amp;estimations'!$M$79:$M$91</c:f>
              <c:numCache>
                <c:formatCode>_-[$$-409]* #,##0_ ;_-[$$-409]* \-#,##0\ ;_-[$$-409]* "-"??_ ;_-@_ </c:formatCode>
                <c:ptCount val="13"/>
                <c:pt idx="0">
                  <c:v>6661</c:v>
                </c:pt>
                <c:pt idx="1">
                  <c:v>7766</c:v>
                </c:pt>
                <c:pt idx="2">
                  <c:v>9166</c:v>
                </c:pt>
                <c:pt idx="3">
                  <c:v>10469</c:v>
                </c:pt>
                <c:pt idx="4">
                  <c:v>11774</c:v>
                </c:pt>
                <c:pt idx="5">
                  <c:v>13427</c:v>
                </c:pt>
                <c:pt idx="6">
                  <c:v>14681</c:v>
                </c:pt>
                <c:pt idx="7">
                  <c:v>15530</c:v>
                </c:pt>
                <c:pt idx="8">
                  <c:v>15843</c:v>
                </c:pt>
                <c:pt idx="9">
                  <c:v>18278</c:v>
                </c:pt>
                <c:pt idx="10">
                  <c:v>23040</c:v>
                </c:pt>
                <c:pt idx="11">
                  <c:v>24039</c:v>
                </c:pt>
                <c:pt idx="12">
                  <c:v>21689</c:v>
                </c:pt>
              </c:numCache>
            </c:numRef>
          </c:val>
          <c:extLst>
            <c:ext xmlns:c16="http://schemas.microsoft.com/office/drawing/2014/chart" uri="{C3380CC4-5D6E-409C-BE32-E72D297353CC}">
              <c16:uniqueId val="{00000000-0127-4F57-B914-484EFE0B0EAC}"/>
            </c:ext>
          </c:extLst>
        </c:ser>
        <c:dLbls>
          <c:showLegendKey val="0"/>
          <c:showVal val="0"/>
          <c:showCatName val="0"/>
          <c:showSerName val="0"/>
          <c:showPercent val="0"/>
          <c:showBubbleSize val="0"/>
        </c:dLbls>
        <c:gapWidth val="219"/>
        <c:overlap val="-27"/>
        <c:axId val="292841840"/>
        <c:axId val="292838480"/>
      </c:barChart>
      <c:catAx>
        <c:axId val="29284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92838480"/>
        <c:crosses val="autoZero"/>
        <c:auto val="1"/>
        <c:lblAlgn val="ctr"/>
        <c:lblOffset val="100"/>
        <c:noMultiLvlLbl val="0"/>
      </c:catAx>
      <c:valAx>
        <c:axId val="29283848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92841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Margins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rgbClr val="00B050"/>
            </a:solidFill>
            <a:ln>
              <a:noFill/>
            </a:ln>
            <a:effectLst/>
          </c:spPr>
          <c:invertIfNegative val="0"/>
          <c:cat>
            <c:numRef>
              <c:f>'5.Story&amp;estimations'!$A$78:$A$90</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'5.Story&amp;estimations'!$B$78:$B$90</c:f>
              <c:numCache>
                <c:formatCode>0.00%</c:formatCode>
                <c:ptCount val="13"/>
                <c:pt idx="0">
                  <c:v>9.462319767028908E-2</c:v>
                </c:pt>
                <c:pt idx="1">
                  <c:v>0.10388741739572464</c:v>
                </c:pt>
                <c:pt idx="2">
                  <c:v>0.11630208597675482</c:v>
                </c:pt>
                <c:pt idx="3">
                  <c:v>0.12586563431759162</c:v>
                </c:pt>
                <c:pt idx="4">
                  <c:v>0.13301099199042013</c:v>
                </c:pt>
                <c:pt idx="5">
                  <c:v>0.1419419631058724</c:v>
                </c:pt>
                <c:pt idx="6">
                  <c:v>0.14549472766193611</c:v>
                </c:pt>
                <c:pt idx="7">
                  <c:v>0.14352651959742335</c:v>
                </c:pt>
                <c:pt idx="8">
                  <c:v>0.14373327285098661</c:v>
                </c:pt>
                <c:pt idx="9">
                  <c:v>0.13835440163500112</c:v>
                </c:pt>
                <c:pt idx="10">
                  <c:v>0.15242430056166767</c:v>
                </c:pt>
                <c:pt idx="11">
                  <c:v>0.15272262917479337</c:v>
                </c:pt>
                <c:pt idx="12">
                  <c:v>0.14206551428253281</c:v>
                </c:pt>
              </c:numCache>
            </c:numRef>
          </c:val>
          <c:extLst>
            <c:ext xmlns:c16="http://schemas.microsoft.com/office/drawing/2014/chart" uri="{C3380CC4-5D6E-409C-BE32-E72D297353CC}">
              <c16:uniqueId val="{00000000-8DD7-4EED-B5B1-CAF264836B1D}"/>
            </c:ext>
          </c:extLst>
        </c:ser>
        <c:dLbls>
          <c:showLegendKey val="0"/>
          <c:showVal val="0"/>
          <c:showCatName val="0"/>
          <c:showSerName val="0"/>
          <c:showPercent val="0"/>
          <c:showBubbleSize val="0"/>
        </c:dLbls>
        <c:gapWidth val="219"/>
        <c:overlap val="-27"/>
        <c:axId val="289403936"/>
        <c:axId val="289415456"/>
      </c:barChart>
      <c:catAx>
        <c:axId val="28940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89415456"/>
        <c:crosses val="autoZero"/>
        <c:auto val="1"/>
        <c:lblAlgn val="ctr"/>
        <c:lblOffset val="100"/>
        <c:noMultiLvlLbl val="0"/>
      </c:catAx>
      <c:valAx>
        <c:axId val="2894154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89403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taxes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'5.Story&amp;estimations'!$A$96:$A$111</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'5.Story&amp;estimations'!$B$96:$B$111</c:f>
              <c:numCache>
                <c:formatCode>_-[$$-409]* #,##0_ ;_-[$$-409]* \-#,##0\ ;_-[$$-409]* "-"??_ ;_-@_ </c:formatCode>
                <c:ptCount val="16"/>
                <c:pt idx="0">
                  <c:v>1278</c:v>
                </c:pt>
                <c:pt idx="1">
                  <c:v>1362</c:v>
                </c:pt>
                <c:pt idx="2">
                  <c:v>1935</c:v>
                </c:pt>
                <c:pt idx="3">
                  <c:v>2185</c:v>
                </c:pt>
                <c:pt idx="4">
                  <c:v>2686</c:v>
                </c:pt>
                <c:pt idx="5">
                  <c:v>3082</c:v>
                </c:pt>
                <c:pt idx="6">
                  <c:v>3631</c:v>
                </c:pt>
                <c:pt idx="7">
                  <c:v>4012</c:v>
                </c:pt>
                <c:pt idx="8">
                  <c:v>4534</c:v>
                </c:pt>
                <c:pt idx="9">
                  <c:v>5068</c:v>
                </c:pt>
                <c:pt idx="10">
                  <c:v>3435</c:v>
                </c:pt>
                <c:pt idx="11">
                  <c:v>3473</c:v>
                </c:pt>
                <c:pt idx="12">
                  <c:v>4112</c:v>
                </c:pt>
                <c:pt idx="13">
                  <c:v>5304</c:v>
                </c:pt>
                <c:pt idx="14">
                  <c:v>5372</c:v>
                </c:pt>
                <c:pt idx="15">
                  <c:v>4781</c:v>
                </c:pt>
              </c:numCache>
            </c:numRef>
          </c:val>
          <c:extLst>
            <c:ext xmlns:c16="http://schemas.microsoft.com/office/drawing/2014/chart" uri="{C3380CC4-5D6E-409C-BE32-E72D297353CC}">
              <c16:uniqueId val="{00000000-244C-425C-8692-98B323CA98F4}"/>
            </c:ext>
          </c:extLst>
        </c:ser>
        <c:dLbls>
          <c:showLegendKey val="0"/>
          <c:showVal val="0"/>
          <c:showCatName val="0"/>
          <c:showSerName val="0"/>
          <c:showPercent val="0"/>
          <c:showBubbleSize val="0"/>
        </c:dLbls>
        <c:gapWidth val="219"/>
        <c:overlap val="-27"/>
        <c:axId val="292837520"/>
        <c:axId val="292838000"/>
      </c:barChart>
      <c:catAx>
        <c:axId val="29283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92838000"/>
        <c:crosses val="autoZero"/>
        <c:auto val="1"/>
        <c:lblAlgn val="ctr"/>
        <c:lblOffset val="100"/>
        <c:noMultiLvlLbl val="0"/>
      </c:catAx>
      <c:valAx>
        <c:axId val="29283800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92837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0501668152724929"/>
          <c:y val="0.15123343527013253"/>
          <c:w val="0.86521192028029992"/>
          <c:h val="0.75678586048303598"/>
        </c:manualLayout>
      </c:layout>
      <c:barChart>
        <c:barDir val="col"/>
        <c:grouping val="clustered"/>
        <c:varyColors val="0"/>
        <c:ser>
          <c:idx val="0"/>
          <c:order val="0"/>
          <c:tx>
            <c:strRef>
              <c:f>'5.Story&amp;estimations'!$L$95</c:f>
              <c:strCache>
                <c:ptCount val="1"/>
                <c:pt idx="0">
                  <c:v>pretax income</c:v>
                </c:pt>
              </c:strCache>
            </c:strRef>
          </c:tx>
          <c:spPr>
            <a:solidFill>
              <a:schemeClr val="accent1"/>
            </a:solidFill>
            <a:ln>
              <a:noFill/>
            </a:ln>
            <a:effectLst/>
          </c:spPr>
          <c:invertIfNegative val="0"/>
          <c:cat>
            <c:numRef>
              <c:f>'5.Story&amp;estimations'!$L$96:$L$111</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'5.Story&amp;estimations'!$M$96:$M$111</c:f>
              <c:numCache>
                <c:formatCode>_-[$$-409]* #,##0_ ;_-[$$-409]* \-#,##0\ ;_-[$$-409]* "-"??_ ;_-@_ </c:formatCode>
                <c:ptCount val="16"/>
                <c:pt idx="0">
                  <c:v>3590</c:v>
                </c:pt>
                <c:pt idx="1">
                  <c:v>3982</c:v>
                </c:pt>
                <c:pt idx="2">
                  <c:v>5273</c:v>
                </c:pt>
                <c:pt idx="3">
                  <c:v>6068</c:v>
                </c:pt>
                <c:pt idx="4">
                  <c:v>7221</c:v>
                </c:pt>
                <c:pt idx="5">
                  <c:v>8467</c:v>
                </c:pt>
                <c:pt idx="6">
                  <c:v>9976</c:v>
                </c:pt>
                <c:pt idx="7">
                  <c:v>11021</c:v>
                </c:pt>
                <c:pt idx="8">
                  <c:v>12491</c:v>
                </c:pt>
                <c:pt idx="9">
                  <c:v>13698</c:v>
                </c:pt>
                <c:pt idx="10">
                  <c:v>14556</c:v>
                </c:pt>
                <c:pt idx="11">
                  <c:v>14715</c:v>
                </c:pt>
                <c:pt idx="12">
                  <c:v>16978</c:v>
                </c:pt>
                <c:pt idx="13">
                  <c:v>21737</c:v>
                </c:pt>
                <c:pt idx="14">
                  <c:v>22477</c:v>
                </c:pt>
                <c:pt idx="15">
                  <c:v>19924</c:v>
                </c:pt>
              </c:numCache>
            </c:numRef>
          </c:val>
          <c:extLst>
            <c:ext xmlns:c16="http://schemas.microsoft.com/office/drawing/2014/chart" uri="{C3380CC4-5D6E-409C-BE32-E72D297353CC}">
              <c16:uniqueId val="{00000000-0497-472B-8FCB-48F3BAAE9435}"/>
            </c:ext>
          </c:extLst>
        </c:ser>
        <c:dLbls>
          <c:showLegendKey val="0"/>
          <c:showVal val="0"/>
          <c:showCatName val="0"/>
          <c:showSerName val="0"/>
          <c:showPercent val="0"/>
          <c:showBubbleSize val="0"/>
        </c:dLbls>
        <c:gapWidth val="219"/>
        <c:overlap val="-27"/>
        <c:axId val="91608416"/>
        <c:axId val="91616096"/>
      </c:barChart>
      <c:catAx>
        <c:axId val="9160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616096"/>
        <c:crosses val="autoZero"/>
        <c:auto val="1"/>
        <c:lblAlgn val="ctr"/>
        <c:lblOffset val="100"/>
        <c:noMultiLvlLbl val="0"/>
      </c:catAx>
      <c:valAx>
        <c:axId val="916160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608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effective</a:t>
            </a:r>
            <a:r>
              <a:rPr lang="en-US" baseline="0"/>
              <a:t> tax rate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4"/>
            </a:solidFill>
            <a:ln>
              <a:noFill/>
            </a:ln>
            <a:effectLst/>
          </c:spPr>
          <c:invertIfNegative val="0"/>
          <c:cat>
            <c:numRef>
              <c:f>'5.Story&amp;estimations'!$A$114:$A$129</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'5.Story&amp;estimations'!$B$114:$B$129</c:f>
              <c:numCache>
                <c:formatCode>0.00%</c:formatCode>
                <c:ptCount val="16"/>
                <c:pt idx="0">
                  <c:v>0.35598885793871865</c:v>
                </c:pt>
                <c:pt idx="1">
                  <c:v>0.34203917629331992</c:v>
                </c:pt>
                <c:pt idx="2">
                  <c:v>0.36696377773563438</c:v>
                </c:pt>
                <c:pt idx="3">
                  <c:v>0.36008569545154911</c:v>
                </c:pt>
                <c:pt idx="4">
                  <c:v>0.37197064118543138</c:v>
                </c:pt>
                <c:pt idx="5">
                  <c:v>0.36400141726703672</c:v>
                </c:pt>
                <c:pt idx="6">
                  <c:v>0.36397353648757019</c:v>
                </c:pt>
                <c:pt idx="7">
                  <c:v>0.36403230196896835</c:v>
                </c:pt>
                <c:pt idx="8">
                  <c:v>0.36298134656953007</c:v>
                </c:pt>
                <c:pt idx="9">
                  <c:v>0.36998101912687986</c:v>
                </c:pt>
                <c:pt idx="10">
                  <c:v>0.23598516075845014</c:v>
                </c:pt>
                <c:pt idx="11">
                  <c:v>0.23601766904519197</c:v>
                </c:pt>
                <c:pt idx="12">
                  <c:v>0.24219578277771234</c:v>
                </c:pt>
                <c:pt idx="13">
                  <c:v>0.244007912775452</c:v>
                </c:pt>
                <c:pt idx="14">
                  <c:v>0.23899986653023089</c:v>
                </c:pt>
                <c:pt idx="15">
                  <c:v>0.23996185504918691</c:v>
                </c:pt>
              </c:numCache>
            </c:numRef>
          </c:val>
          <c:extLst>
            <c:ext xmlns:c16="http://schemas.microsoft.com/office/drawing/2014/chart" uri="{C3380CC4-5D6E-409C-BE32-E72D297353CC}">
              <c16:uniqueId val="{00000000-D767-4ED5-A01F-C15880DC4DE8}"/>
            </c:ext>
          </c:extLst>
        </c:ser>
        <c:dLbls>
          <c:showLegendKey val="0"/>
          <c:showVal val="0"/>
          <c:showCatName val="0"/>
          <c:showSerName val="0"/>
          <c:showPercent val="0"/>
          <c:showBubbleSize val="0"/>
        </c:dLbls>
        <c:gapWidth val="219"/>
        <c:overlap val="-27"/>
        <c:axId val="1436867840"/>
        <c:axId val="1436863520"/>
      </c:barChart>
      <c:catAx>
        <c:axId val="143686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36863520"/>
        <c:crosses val="autoZero"/>
        <c:auto val="1"/>
        <c:lblAlgn val="ctr"/>
        <c:lblOffset val="100"/>
        <c:noMultiLvlLbl val="0"/>
      </c:catAx>
      <c:valAx>
        <c:axId val="1436863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36867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effective</a:t>
            </a:r>
            <a:r>
              <a:rPr lang="en-US" baseline="0"/>
              <a:t> tax rate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4"/>
            </a:solidFill>
            <a:ln>
              <a:noFill/>
            </a:ln>
            <a:effectLst/>
          </c:spPr>
          <c:invertIfNegative val="0"/>
          <c:cat>
            <c:numRef>
              <c:f>'5.Story&amp;estimations'!$A$114:$A$129</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'5.Story&amp;estimations'!$B$114:$B$129</c:f>
              <c:numCache>
                <c:formatCode>0.00%</c:formatCode>
                <c:ptCount val="16"/>
                <c:pt idx="0">
                  <c:v>0.35598885793871865</c:v>
                </c:pt>
                <c:pt idx="1">
                  <c:v>0.34203917629331992</c:v>
                </c:pt>
                <c:pt idx="2">
                  <c:v>0.36696377773563438</c:v>
                </c:pt>
                <c:pt idx="3">
                  <c:v>0.36008569545154911</c:v>
                </c:pt>
                <c:pt idx="4">
                  <c:v>0.37197064118543138</c:v>
                </c:pt>
                <c:pt idx="5">
                  <c:v>0.36400141726703672</c:v>
                </c:pt>
                <c:pt idx="6">
                  <c:v>0.36397353648757019</c:v>
                </c:pt>
                <c:pt idx="7">
                  <c:v>0.36403230196896835</c:v>
                </c:pt>
                <c:pt idx="8">
                  <c:v>0.36298134656953007</c:v>
                </c:pt>
                <c:pt idx="9">
                  <c:v>0.36998101912687986</c:v>
                </c:pt>
                <c:pt idx="10">
                  <c:v>0.23598516075845014</c:v>
                </c:pt>
                <c:pt idx="11">
                  <c:v>0.23601766904519197</c:v>
                </c:pt>
                <c:pt idx="12">
                  <c:v>0.24219578277771234</c:v>
                </c:pt>
                <c:pt idx="13">
                  <c:v>0.244007912775452</c:v>
                </c:pt>
                <c:pt idx="14">
                  <c:v>0.23899986653023089</c:v>
                </c:pt>
                <c:pt idx="15">
                  <c:v>0.23996185504918691</c:v>
                </c:pt>
              </c:numCache>
            </c:numRef>
          </c:val>
          <c:extLst>
            <c:ext xmlns:c16="http://schemas.microsoft.com/office/drawing/2014/chart" uri="{C3380CC4-5D6E-409C-BE32-E72D297353CC}">
              <c16:uniqueId val="{00000000-8D00-408B-A206-605C3130321D}"/>
            </c:ext>
          </c:extLst>
        </c:ser>
        <c:dLbls>
          <c:showLegendKey val="0"/>
          <c:showVal val="0"/>
          <c:showCatName val="0"/>
          <c:showSerName val="0"/>
          <c:showPercent val="0"/>
          <c:showBubbleSize val="0"/>
        </c:dLbls>
        <c:gapWidth val="219"/>
        <c:overlap val="-27"/>
        <c:axId val="1436867840"/>
        <c:axId val="1436863520"/>
      </c:barChart>
      <c:catAx>
        <c:axId val="143686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36863520"/>
        <c:crosses val="autoZero"/>
        <c:auto val="1"/>
        <c:lblAlgn val="ctr"/>
        <c:lblOffset val="100"/>
        <c:noMultiLvlLbl val="0"/>
      </c:catAx>
      <c:valAx>
        <c:axId val="1436863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36867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effective tax rate - estimations</a:t>
            </a:r>
          </a:p>
        </c:rich>
      </c:tx>
      <c:layout>
        <c:manualLayout>
          <c:xMode val="edge"/>
          <c:yMode val="edge"/>
          <c:x val="0.38471522309711281"/>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'5.Story&amp;estimations'!$V$129</c:f>
              <c:strCache>
                <c:ptCount val="1"/>
                <c:pt idx="0">
                  <c:v>effective tax rate</c:v>
                </c:pt>
              </c:strCache>
            </c:strRef>
          </c:tx>
          <c:spPr>
            <a:solidFill>
              <a:schemeClr val="accent4"/>
            </a:solidFill>
            <a:ln>
              <a:noFill/>
            </a:ln>
            <a:effectLst/>
          </c:spPr>
          <c:invertIfNegative val="0"/>
          <c:dPt>
            <c:idx val="16"/>
            <c:invertIfNegative val="0"/>
            <c:bubble3D val="0"/>
            <c:spPr>
              <a:solidFill>
                <a:srgbClr val="0070C0"/>
              </a:solidFill>
              <a:ln>
                <a:noFill/>
              </a:ln>
              <a:effectLst/>
            </c:spPr>
            <c:extLst>
              <c:ext xmlns:c16="http://schemas.microsoft.com/office/drawing/2014/chart" uri="{C3380CC4-5D6E-409C-BE32-E72D297353CC}">
                <c16:uniqueId val="{00000001-E4D7-4421-B158-594D94C05DFE}"/>
              </c:ext>
            </c:extLst>
          </c:dPt>
          <c:dPt>
            <c:idx val="17"/>
            <c:invertIfNegative val="0"/>
            <c:bubble3D val="0"/>
            <c:spPr>
              <a:solidFill>
                <a:srgbClr val="0070C0"/>
              </a:solidFill>
              <a:ln>
                <a:noFill/>
              </a:ln>
              <a:effectLst/>
            </c:spPr>
            <c:extLst>
              <c:ext xmlns:c16="http://schemas.microsoft.com/office/drawing/2014/chart" uri="{C3380CC4-5D6E-409C-BE32-E72D297353CC}">
                <c16:uniqueId val="{00000002-E4D7-4421-B158-594D94C05DFE}"/>
              </c:ext>
            </c:extLst>
          </c:dPt>
          <c:dPt>
            <c:idx val="18"/>
            <c:invertIfNegative val="0"/>
            <c:bubble3D val="0"/>
            <c:spPr>
              <a:solidFill>
                <a:srgbClr val="0070C0"/>
              </a:solidFill>
              <a:ln>
                <a:noFill/>
              </a:ln>
              <a:effectLst/>
            </c:spPr>
            <c:extLst>
              <c:ext xmlns:c16="http://schemas.microsoft.com/office/drawing/2014/chart" uri="{C3380CC4-5D6E-409C-BE32-E72D297353CC}">
                <c16:uniqueId val="{00000003-E4D7-4421-B158-594D94C05DFE}"/>
              </c:ext>
            </c:extLst>
          </c:dPt>
          <c:dPt>
            <c:idx val="19"/>
            <c:invertIfNegative val="0"/>
            <c:bubble3D val="0"/>
            <c:spPr>
              <a:solidFill>
                <a:srgbClr val="0070C0"/>
              </a:solidFill>
              <a:ln>
                <a:noFill/>
              </a:ln>
              <a:effectLst/>
            </c:spPr>
            <c:extLst>
              <c:ext xmlns:c16="http://schemas.microsoft.com/office/drawing/2014/chart" uri="{C3380CC4-5D6E-409C-BE32-E72D297353CC}">
                <c16:uniqueId val="{00000004-E4D7-4421-B158-594D94C05DFE}"/>
              </c:ext>
            </c:extLst>
          </c:dPt>
          <c:dPt>
            <c:idx val="20"/>
            <c:invertIfNegative val="0"/>
            <c:bubble3D val="0"/>
            <c:spPr>
              <a:solidFill>
                <a:srgbClr val="0070C0"/>
              </a:solidFill>
              <a:ln>
                <a:noFill/>
              </a:ln>
              <a:effectLst/>
            </c:spPr>
            <c:extLst>
              <c:ext xmlns:c16="http://schemas.microsoft.com/office/drawing/2014/chart" uri="{C3380CC4-5D6E-409C-BE32-E72D297353CC}">
                <c16:uniqueId val="{00000005-E4D7-4421-B158-594D94C05DFE}"/>
              </c:ext>
            </c:extLst>
          </c:dPt>
          <c:dPt>
            <c:idx val="21"/>
            <c:invertIfNegative val="0"/>
            <c:bubble3D val="0"/>
            <c:spPr>
              <a:solidFill>
                <a:srgbClr val="0070C0"/>
              </a:solidFill>
              <a:ln>
                <a:noFill/>
              </a:ln>
              <a:effectLst/>
            </c:spPr>
            <c:extLst>
              <c:ext xmlns:c16="http://schemas.microsoft.com/office/drawing/2014/chart" uri="{C3380CC4-5D6E-409C-BE32-E72D297353CC}">
                <c16:uniqueId val="{00000006-E4D7-4421-B158-594D94C05DFE}"/>
              </c:ext>
            </c:extLst>
          </c:dPt>
          <c:dPt>
            <c:idx val="22"/>
            <c:invertIfNegative val="0"/>
            <c:bubble3D val="0"/>
            <c:spPr>
              <a:solidFill>
                <a:srgbClr val="0070C0"/>
              </a:solidFill>
              <a:ln>
                <a:noFill/>
              </a:ln>
              <a:effectLst/>
            </c:spPr>
            <c:extLst>
              <c:ext xmlns:c16="http://schemas.microsoft.com/office/drawing/2014/chart" uri="{C3380CC4-5D6E-409C-BE32-E72D297353CC}">
                <c16:uniqueId val="{00000007-E4D7-4421-B158-594D94C05DFE}"/>
              </c:ext>
            </c:extLst>
          </c:dPt>
          <c:dPt>
            <c:idx val="23"/>
            <c:invertIfNegative val="0"/>
            <c:bubble3D val="0"/>
            <c:spPr>
              <a:solidFill>
                <a:srgbClr val="0070C0"/>
              </a:solidFill>
              <a:ln>
                <a:noFill/>
              </a:ln>
              <a:effectLst/>
            </c:spPr>
            <c:extLst>
              <c:ext xmlns:c16="http://schemas.microsoft.com/office/drawing/2014/chart" uri="{C3380CC4-5D6E-409C-BE32-E72D297353CC}">
                <c16:uniqueId val="{00000008-E4D7-4421-B158-594D94C05DFE}"/>
              </c:ext>
            </c:extLst>
          </c:dPt>
          <c:cat>
            <c:strRef>
              <c:f>'5.Story&amp;estimations'!$U$130:$U$153</c:f>
              <c:strCache>
                <c:ptCount val="2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pt idx="17">
                  <c:v>2026</c:v>
                </c:pt>
                <c:pt idx="18">
                  <c:v>2027</c:v>
                </c:pt>
                <c:pt idx="19">
                  <c:v>2028</c:v>
                </c:pt>
                <c:pt idx="20">
                  <c:v>2029</c:v>
                </c:pt>
                <c:pt idx="21">
                  <c:v>2030</c:v>
                </c:pt>
                <c:pt idx="22">
                  <c:v>2031</c:v>
                </c:pt>
                <c:pt idx="23">
                  <c:v>thereafter</c:v>
                </c:pt>
              </c:strCache>
            </c:strRef>
          </c:cat>
          <c:val>
            <c:numRef>
              <c:f>'5.Story&amp;estimations'!$V$130:$V$153</c:f>
              <c:numCache>
                <c:formatCode>0.00%</c:formatCode>
                <c:ptCount val="24"/>
                <c:pt idx="0">
                  <c:v>0.35598885793871865</c:v>
                </c:pt>
                <c:pt idx="1">
                  <c:v>0.34203917629331992</c:v>
                </c:pt>
                <c:pt idx="2">
                  <c:v>0.36696377773563438</c:v>
                </c:pt>
                <c:pt idx="3">
                  <c:v>0.36008569545154911</c:v>
                </c:pt>
                <c:pt idx="4">
                  <c:v>0.37197064118543138</c:v>
                </c:pt>
                <c:pt idx="5">
                  <c:v>0.36400141726703672</c:v>
                </c:pt>
                <c:pt idx="6">
                  <c:v>0.36397353648757019</c:v>
                </c:pt>
                <c:pt idx="7">
                  <c:v>0.36403230196896835</c:v>
                </c:pt>
                <c:pt idx="8">
                  <c:v>0.36298134656953007</c:v>
                </c:pt>
                <c:pt idx="9">
                  <c:v>0.36998101912687986</c:v>
                </c:pt>
                <c:pt idx="10">
                  <c:v>0.23598516075845014</c:v>
                </c:pt>
                <c:pt idx="11">
                  <c:v>0.23601766904519197</c:v>
                </c:pt>
                <c:pt idx="12">
                  <c:v>0.24219578277771234</c:v>
                </c:pt>
                <c:pt idx="13">
                  <c:v>0.244007912775452</c:v>
                </c:pt>
                <c:pt idx="14">
                  <c:v>0.23899986653023089</c:v>
                </c:pt>
                <c:pt idx="15">
                  <c:v>0.23996185504918691</c:v>
                </c:pt>
                <c:pt idx="16">
                  <c:v>0.23996185504918691</c:v>
                </c:pt>
                <c:pt idx="17">
                  <c:v>0.23996185504918691</c:v>
                </c:pt>
                <c:pt idx="18">
                  <c:v>0.23996185504918691</c:v>
                </c:pt>
                <c:pt idx="19">
                  <c:v>0.23996185504918691</c:v>
                </c:pt>
                <c:pt idx="20">
                  <c:v>0.23996185504918691</c:v>
                </c:pt>
                <c:pt idx="21">
                  <c:v>0.23996185504918691</c:v>
                </c:pt>
                <c:pt idx="22">
                  <c:v>0.23996185504918691</c:v>
                </c:pt>
                <c:pt idx="23">
                  <c:v>0.23996185504918691</c:v>
                </c:pt>
              </c:numCache>
            </c:numRef>
          </c:val>
          <c:extLst>
            <c:ext xmlns:c16="http://schemas.microsoft.com/office/drawing/2014/chart" uri="{C3380CC4-5D6E-409C-BE32-E72D297353CC}">
              <c16:uniqueId val="{00000000-E4D7-4421-B158-594D94C05DFE}"/>
            </c:ext>
          </c:extLst>
        </c:ser>
        <c:dLbls>
          <c:showLegendKey val="0"/>
          <c:showVal val="0"/>
          <c:showCatName val="0"/>
          <c:showSerName val="0"/>
          <c:showPercent val="0"/>
          <c:showBubbleSize val="0"/>
        </c:dLbls>
        <c:gapWidth val="219"/>
        <c:overlap val="-27"/>
        <c:axId val="1937931344"/>
        <c:axId val="1937933744"/>
      </c:barChart>
      <c:catAx>
        <c:axId val="193793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37933744"/>
        <c:crosses val="autoZero"/>
        <c:auto val="1"/>
        <c:lblAlgn val="ctr"/>
        <c:lblOffset val="100"/>
        <c:noMultiLvlLbl val="0"/>
      </c:catAx>
      <c:valAx>
        <c:axId val="19379337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37931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 % chg</a:t>
            </a:r>
            <a:r>
              <a:rPr lang="en-US" baseline="0"/>
              <a:t> in revenues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0182737258852742"/>
          <c:y val="0.13219108092532339"/>
          <c:w val="0.86674726265277446"/>
          <c:h val="0.78873150276840143"/>
        </c:manualLayout>
      </c:layout>
      <c:barChart>
        <c:barDir val="col"/>
        <c:grouping val="clustered"/>
        <c:varyColors val="0"/>
        <c:ser>
          <c:idx val="0"/>
          <c:order val="0"/>
          <c:spPr>
            <a:solidFill>
              <a:srgbClr val="00B050"/>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2-49D7-43BF-97C2-864FB2031081}"/>
              </c:ext>
            </c:extLst>
          </c:dPt>
          <c:dPt>
            <c:idx val="15"/>
            <c:invertIfNegative val="0"/>
            <c:bubble3D val="0"/>
            <c:spPr>
              <a:solidFill>
                <a:srgbClr val="FF0000"/>
              </a:solidFill>
              <a:ln>
                <a:noFill/>
              </a:ln>
              <a:effectLst/>
            </c:spPr>
            <c:extLst>
              <c:ext xmlns:c16="http://schemas.microsoft.com/office/drawing/2014/chart" uri="{C3380CC4-5D6E-409C-BE32-E72D297353CC}">
                <c16:uniqueId val="{00000003-49D7-43BF-97C2-864FB2031081}"/>
              </c:ext>
            </c:extLst>
          </c:dPt>
          <c:cat>
            <c:numRef>
              <c:f>'5.Story&amp;estimations'!$L$59:$L$74</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formatCode="0">
                  <c:v>2024</c:v>
                </c:pt>
              </c:numCache>
            </c:numRef>
          </c:cat>
          <c:val>
            <c:numRef>
              <c:f>'5.Story&amp;estimations'!$M$59:$M$74</c:f>
              <c:numCache>
                <c:formatCode>0.00%</c:formatCode>
                <c:ptCount val="16"/>
                <c:pt idx="1">
                  <c:v>-7.1709123555156545E-2</c:v>
                </c:pt>
                <c:pt idx="2">
                  <c:v>2.7517529013539651E-2</c:v>
                </c:pt>
                <c:pt idx="3">
                  <c:v>3.5266261746841769E-2</c:v>
                </c:pt>
                <c:pt idx="4">
                  <c:v>6.1922011506499043E-2</c:v>
                </c:pt>
                <c:pt idx="5">
                  <c:v>5.42847205500709E-2</c:v>
                </c:pt>
                <c:pt idx="6">
                  <c:v>5.5372278333248745E-2</c:v>
                </c:pt>
                <c:pt idx="7">
                  <c:v>6.4237279984610943E-2</c:v>
                </c:pt>
                <c:pt idx="8">
                  <c:v>6.8640630825020615E-2</c:v>
                </c:pt>
                <c:pt idx="9">
                  <c:v>6.6694857022041337E-2</c:v>
                </c:pt>
                <c:pt idx="10">
                  <c:v>7.2336081820344095E-2</c:v>
                </c:pt>
                <c:pt idx="11">
                  <c:v>1.8687097400256925E-2</c:v>
                </c:pt>
                <c:pt idx="12">
                  <c:v>0.19854842367883874</c:v>
                </c:pt>
                <c:pt idx="13">
                  <c:v>0.14417530845507531</c:v>
                </c:pt>
                <c:pt idx="14">
                  <c:v>4.1321275230389594E-2</c:v>
                </c:pt>
                <c:pt idx="15">
                  <c:v>-3.007566564804991E-2</c:v>
                </c:pt>
              </c:numCache>
            </c:numRef>
          </c:val>
          <c:extLst>
            <c:ext xmlns:c16="http://schemas.microsoft.com/office/drawing/2014/chart" uri="{C3380CC4-5D6E-409C-BE32-E72D297353CC}">
              <c16:uniqueId val="{00000000-49D7-43BF-97C2-864FB2031081}"/>
            </c:ext>
          </c:extLst>
        </c:ser>
        <c:dLbls>
          <c:showLegendKey val="0"/>
          <c:showVal val="0"/>
          <c:showCatName val="0"/>
          <c:showSerName val="0"/>
          <c:showPercent val="0"/>
          <c:showBubbleSize val="0"/>
        </c:dLbls>
        <c:gapWidth val="219"/>
        <c:overlap val="-27"/>
        <c:axId val="1087537311"/>
        <c:axId val="1087527711"/>
      </c:barChart>
      <c:catAx>
        <c:axId val="108753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7527711"/>
        <c:crosses val="autoZero"/>
        <c:auto val="1"/>
        <c:lblAlgn val="ctr"/>
        <c:lblOffset val="100"/>
        <c:noMultiLvlLbl val="0"/>
      </c:catAx>
      <c:valAx>
        <c:axId val="10875277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7537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 annual</a:t>
            </a:r>
            <a:r>
              <a:rPr lang="en-US" baseline="0"/>
              <a:t> revenues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2"/>
            </a:solidFill>
            <a:ln>
              <a:noFill/>
            </a:ln>
            <a:effectLst/>
          </c:spPr>
          <c:invertIfNegative val="0"/>
          <c:cat>
            <c:numRef>
              <c:f>'5.Story&amp;estimations'!$A$59:$A$74</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'5.Story&amp;estimations'!$B$59:$B$74</c:f>
              <c:numCache>
                <c:formatCode>_-[$$-409]* #,##0.0_ ;_-[$$-409]* \-#,##0.0\ ;_-[$$-409]* "-"??_ ;_-@_ </c:formatCode>
                <c:ptCount val="16"/>
                <c:pt idx="0">
                  <c:v>71288</c:v>
                </c:pt>
                <c:pt idx="1">
                  <c:v>66176</c:v>
                </c:pt>
                <c:pt idx="2">
                  <c:v>67997</c:v>
                </c:pt>
                <c:pt idx="3">
                  <c:v>70395</c:v>
                </c:pt>
                <c:pt idx="4">
                  <c:v>74754</c:v>
                </c:pt>
                <c:pt idx="5">
                  <c:v>78812</c:v>
                </c:pt>
                <c:pt idx="6">
                  <c:v>83176</c:v>
                </c:pt>
                <c:pt idx="7">
                  <c:v>88519</c:v>
                </c:pt>
                <c:pt idx="8">
                  <c:v>94595</c:v>
                </c:pt>
                <c:pt idx="9">
                  <c:v>100904</c:v>
                </c:pt>
                <c:pt idx="10">
                  <c:v>108203</c:v>
                </c:pt>
                <c:pt idx="11">
                  <c:v>110225</c:v>
                </c:pt>
                <c:pt idx="12">
                  <c:v>132110</c:v>
                </c:pt>
                <c:pt idx="13">
                  <c:v>151157</c:v>
                </c:pt>
                <c:pt idx="14">
                  <c:v>157403</c:v>
                </c:pt>
                <c:pt idx="15">
                  <c:v>152669</c:v>
                </c:pt>
              </c:numCache>
            </c:numRef>
          </c:val>
          <c:extLst>
            <c:ext xmlns:c16="http://schemas.microsoft.com/office/drawing/2014/chart" uri="{C3380CC4-5D6E-409C-BE32-E72D297353CC}">
              <c16:uniqueId val="{00000000-B39B-4AB5-AA77-D824066598FB}"/>
            </c:ext>
          </c:extLst>
        </c:ser>
        <c:dLbls>
          <c:showLegendKey val="0"/>
          <c:showVal val="0"/>
          <c:showCatName val="0"/>
          <c:showSerName val="0"/>
          <c:showPercent val="0"/>
          <c:showBubbleSize val="0"/>
        </c:dLbls>
        <c:gapWidth val="219"/>
        <c:overlap val="-27"/>
        <c:axId val="91609376"/>
        <c:axId val="91611776"/>
      </c:barChart>
      <c:catAx>
        <c:axId val="9160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611776"/>
        <c:crosses val="autoZero"/>
        <c:auto val="1"/>
        <c:lblAlgn val="ctr"/>
        <c:lblOffset val="100"/>
        <c:noMultiLvlLbl val="0"/>
      </c:catAx>
      <c:valAx>
        <c:axId val="91611776"/>
        <c:scaling>
          <c:orientation val="minMax"/>
        </c:scaling>
        <c:delete val="0"/>
        <c:axPos val="l"/>
        <c:majorGridlines>
          <c:spPr>
            <a:ln w="9525" cap="flat" cmpd="sng" algn="ctr">
              <a:solidFill>
                <a:schemeClr val="tx1">
                  <a:lumMod val="15000"/>
                  <a:lumOff val="85000"/>
                </a:schemeClr>
              </a:solidFill>
              <a:round/>
            </a:ln>
            <a:effectLst/>
          </c:spPr>
        </c:majorGridlines>
        <c:numFmt formatCode="_-[$$-409]* #,##0.0_ ;_-[$$-409]* \-#,##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6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 depot % chg</a:t>
            </a:r>
            <a:r>
              <a:rPr lang="en-US" baseline="0"/>
              <a:t> in revenues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0182737258852742"/>
          <c:y val="0.13219108092532339"/>
          <c:w val="0.86674726265277446"/>
          <c:h val="0.78873150276840143"/>
        </c:manualLayout>
      </c:layout>
      <c:barChart>
        <c:barDir val="col"/>
        <c:grouping val="clustered"/>
        <c:varyColors val="0"/>
        <c:ser>
          <c:idx val="0"/>
          <c:order val="0"/>
          <c:spPr>
            <a:solidFill>
              <a:srgbClr val="00B050"/>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45C4-4E86-83FB-48EBDF7D1955}"/>
              </c:ext>
            </c:extLst>
          </c:dPt>
          <c:dPt>
            <c:idx val="15"/>
            <c:invertIfNegative val="0"/>
            <c:bubble3D val="0"/>
            <c:spPr>
              <a:solidFill>
                <a:srgbClr val="FF0000"/>
              </a:solidFill>
              <a:ln>
                <a:noFill/>
              </a:ln>
              <a:effectLst/>
            </c:spPr>
            <c:extLst>
              <c:ext xmlns:c16="http://schemas.microsoft.com/office/drawing/2014/chart" uri="{C3380CC4-5D6E-409C-BE32-E72D297353CC}">
                <c16:uniqueId val="{00000003-45C4-4E86-83FB-48EBDF7D1955}"/>
              </c:ext>
            </c:extLst>
          </c:dPt>
          <c:cat>
            <c:numRef>
              <c:f>'5.Story&amp;estimations'!$L$59:$L$74</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formatCode="0">
                  <c:v>2024</c:v>
                </c:pt>
              </c:numCache>
            </c:numRef>
          </c:cat>
          <c:val>
            <c:numRef>
              <c:f>'5.Story&amp;estimations'!$M$59:$M$74</c:f>
              <c:numCache>
                <c:formatCode>0.00%</c:formatCode>
                <c:ptCount val="16"/>
                <c:pt idx="1">
                  <c:v>-7.1709123555156545E-2</c:v>
                </c:pt>
                <c:pt idx="2">
                  <c:v>2.7517529013539651E-2</c:v>
                </c:pt>
                <c:pt idx="3">
                  <c:v>3.5266261746841769E-2</c:v>
                </c:pt>
                <c:pt idx="4">
                  <c:v>6.1922011506499043E-2</c:v>
                </c:pt>
                <c:pt idx="5">
                  <c:v>5.42847205500709E-2</c:v>
                </c:pt>
                <c:pt idx="6">
                  <c:v>5.5372278333248745E-2</c:v>
                </c:pt>
                <c:pt idx="7">
                  <c:v>6.4237279984610943E-2</c:v>
                </c:pt>
                <c:pt idx="8">
                  <c:v>6.8640630825020615E-2</c:v>
                </c:pt>
                <c:pt idx="9">
                  <c:v>6.6694857022041337E-2</c:v>
                </c:pt>
                <c:pt idx="10">
                  <c:v>7.2336081820344095E-2</c:v>
                </c:pt>
                <c:pt idx="11">
                  <c:v>1.8687097400256925E-2</c:v>
                </c:pt>
                <c:pt idx="12">
                  <c:v>0.19854842367883874</c:v>
                </c:pt>
                <c:pt idx="13">
                  <c:v>0.14417530845507531</c:v>
                </c:pt>
                <c:pt idx="14">
                  <c:v>4.1321275230389594E-2</c:v>
                </c:pt>
                <c:pt idx="15">
                  <c:v>-3.007566564804991E-2</c:v>
                </c:pt>
              </c:numCache>
            </c:numRef>
          </c:val>
          <c:extLst>
            <c:ext xmlns:c16="http://schemas.microsoft.com/office/drawing/2014/chart" uri="{C3380CC4-5D6E-409C-BE32-E72D297353CC}">
              <c16:uniqueId val="{00000004-45C4-4E86-83FB-48EBDF7D1955}"/>
            </c:ext>
          </c:extLst>
        </c:ser>
        <c:dLbls>
          <c:showLegendKey val="0"/>
          <c:showVal val="0"/>
          <c:showCatName val="0"/>
          <c:showSerName val="0"/>
          <c:showPercent val="0"/>
          <c:showBubbleSize val="0"/>
        </c:dLbls>
        <c:gapWidth val="219"/>
        <c:overlap val="-27"/>
        <c:axId val="1087537311"/>
        <c:axId val="1087527711"/>
      </c:barChart>
      <c:catAx>
        <c:axId val="108753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7527711"/>
        <c:crosses val="autoZero"/>
        <c:auto val="1"/>
        <c:lblAlgn val="ctr"/>
        <c:lblOffset val="100"/>
        <c:noMultiLvlLbl val="0"/>
      </c:catAx>
      <c:valAx>
        <c:axId val="10875277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87537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'5.Story&amp;estimations'!$Z$158</c:f>
              <c:strCache>
                <c:ptCount val="1"/>
                <c:pt idx="0">
                  <c:v>Home Depot total liabilities</c:v>
                </c:pt>
              </c:strCache>
            </c:strRef>
          </c:tx>
          <c:spPr>
            <a:solidFill>
              <a:schemeClr val="accent1"/>
            </a:solidFill>
            <a:ln>
              <a:noFill/>
            </a:ln>
            <a:effectLst/>
          </c:spPr>
          <c:invertIfNegative val="0"/>
          <c:cat>
            <c:numRef>
              <c:f>'5.Story&amp;estimations'!$Y$159:$Y$171</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'5.Story&amp;estimations'!$Z$159:$Z$171</c:f>
              <c:numCache>
                <c:formatCode>_-[$$-409]* #,##0_ ;_-[$$-409]* \-#,##0\ ;_-[$$-409]* "-"??_ ;_-@_ </c:formatCode>
                <c:ptCount val="13"/>
                <c:pt idx="0">
                  <c:v>22620</c:v>
                </c:pt>
                <c:pt idx="1">
                  <c:v>23307</c:v>
                </c:pt>
                <c:pt idx="2">
                  <c:v>27996</c:v>
                </c:pt>
                <c:pt idx="3">
                  <c:v>30624</c:v>
                </c:pt>
                <c:pt idx="4">
                  <c:v>35657</c:v>
                </c:pt>
                <c:pt idx="5">
                  <c:v>38633</c:v>
                </c:pt>
                <c:pt idx="6">
                  <c:v>43075</c:v>
                </c:pt>
                <c:pt idx="7">
                  <c:v>45881</c:v>
                </c:pt>
                <c:pt idx="8">
                  <c:v>54352</c:v>
                </c:pt>
                <c:pt idx="9">
                  <c:v>67282</c:v>
                </c:pt>
                <c:pt idx="10">
                  <c:v>73572</c:v>
                </c:pt>
                <c:pt idx="11">
                  <c:v>74883</c:v>
                </c:pt>
                <c:pt idx="12">
                  <c:v>75486</c:v>
                </c:pt>
              </c:numCache>
            </c:numRef>
          </c:val>
          <c:extLst>
            <c:ext xmlns:c16="http://schemas.microsoft.com/office/drawing/2014/chart" uri="{C3380CC4-5D6E-409C-BE32-E72D297353CC}">
              <c16:uniqueId val="{00000000-E7FB-49BB-9BA4-9643C948B836}"/>
            </c:ext>
          </c:extLst>
        </c:ser>
        <c:ser>
          <c:idx val="1"/>
          <c:order val="1"/>
          <c:tx>
            <c:strRef>
              <c:f>'5.Story&amp;estimations'!$AA$158</c:f>
              <c:strCache>
                <c:ptCount val="1"/>
                <c:pt idx="0">
                  <c:v>revenues</c:v>
                </c:pt>
              </c:strCache>
            </c:strRef>
          </c:tx>
          <c:spPr>
            <a:solidFill>
              <a:schemeClr val="accent2"/>
            </a:solidFill>
            <a:ln>
              <a:noFill/>
            </a:ln>
            <a:effectLst/>
          </c:spPr>
          <c:invertIfNegative val="0"/>
          <c:cat>
            <c:numRef>
              <c:f>'5.Story&amp;estimations'!$Y$159:$Y$171</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'5.Story&amp;estimations'!$AA$159:$AA$171</c:f>
              <c:numCache>
                <c:formatCode>_-[$$-409]* #,##0_ ;_-[$$-409]* \-#,##0\ ;_-[$$-409]* "-"??_ ;_-@_ </c:formatCode>
                <c:ptCount val="13"/>
                <c:pt idx="0">
                  <c:v>70395</c:v>
                </c:pt>
                <c:pt idx="1">
                  <c:v>74754</c:v>
                </c:pt>
                <c:pt idx="2">
                  <c:v>78812</c:v>
                </c:pt>
                <c:pt idx="3">
                  <c:v>83176</c:v>
                </c:pt>
                <c:pt idx="4">
                  <c:v>88519</c:v>
                </c:pt>
                <c:pt idx="5">
                  <c:v>94595</c:v>
                </c:pt>
                <c:pt idx="6">
                  <c:v>100904</c:v>
                </c:pt>
                <c:pt idx="7">
                  <c:v>108203</c:v>
                </c:pt>
                <c:pt idx="8">
                  <c:v>110225</c:v>
                </c:pt>
                <c:pt idx="9">
                  <c:v>132110</c:v>
                </c:pt>
                <c:pt idx="10">
                  <c:v>151157</c:v>
                </c:pt>
                <c:pt idx="11">
                  <c:v>157403</c:v>
                </c:pt>
                <c:pt idx="12">
                  <c:v>152669</c:v>
                </c:pt>
              </c:numCache>
            </c:numRef>
          </c:val>
          <c:extLst>
            <c:ext xmlns:c16="http://schemas.microsoft.com/office/drawing/2014/chart" uri="{C3380CC4-5D6E-409C-BE32-E72D297353CC}">
              <c16:uniqueId val="{00000001-E7FB-49BB-9BA4-9643C948B836}"/>
            </c:ext>
          </c:extLst>
        </c:ser>
        <c:dLbls>
          <c:showLegendKey val="0"/>
          <c:showVal val="0"/>
          <c:showCatName val="0"/>
          <c:showSerName val="0"/>
          <c:showPercent val="0"/>
          <c:showBubbleSize val="0"/>
        </c:dLbls>
        <c:gapWidth val="219"/>
        <c:overlap val="-27"/>
        <c:axId val="118744047"/>
        <c:axId val="118736847"/>
      </c:barChart>
      <c:catAx>
        <c:axId val="11874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8736847"/>
        <c:crosses val="autoZero"/>
        <c:auto val="1"/>
        <c:lblAlgn val="ctr"/>
        <c:lblOffset val="100"/>
        <c:noMultiLvlLbl val="0"/>
      </c:catAx>
      <c:valAx>
        <c:axId val="118736847"/>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874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'5.Story&amp;estimations'!$Z$158</c:f>
              <c:strCache>
                <c:ptCount val="1"/>
                <c:pt idx="0">
                  <c:v>Home Depot total liabilities</c:v>
                </c:pt>
              </c:strCache>
            </c:strRef>
          </c:tx>
          <c:spPr>
            <a:solidFill>
              <a:schemeClr val="accent1"/>
            </a:solidFill>
            <a:ln>
              <a:noFill/>
            </a:ln>
            <a:effectLst/>
          </c:spPr>
          <c:invertIfNegative val="0"/>
          <c:cat>
            <c:numRef>
              <c:f>'5.Story&amp;estimations'!$Y$159:$Y$171</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'5.Story&amp;estimations'!$Z$159:$Z$171</c:f>
              <c:numCache>
                <c:formatCode>_-[$$-409]* #,##0_ ;_-[$$-409]* \-#,##0\ ;_-[$$-409]* "-"??_ ;_-@_ </c:formatCode>
                <c:ptCount val="13"/>
                <c:pt idx="0">
                  <c:v>22620</c:v>
                </c:pt>
                <c:pt idx="1">
                  <c:v>23307</c:v>
                </c:pt>
                <c:pt idx="2">
                  <c:v>27996</c:v>
                </c:pt>
                <c:pt idx="3">
                  <c:v>30624</c:v>
                </c:pt>
                <c:pt idx="4">
                  <c:v>35657</c:v>
                </c:pt>
                <c:pt idx="5">
                  <c:v>38633</c:v>
                </c:pt>
                <c:pt idx="6">
                  <c:v>43075</c:v>
                </c:pt>
                <c:pt idx="7">
                  <c:v>45881</c:v>
                </c:pt>
                <c:pt idx="8">
                  <c:v>54352</c:v>
                </c:pt>
                <c:pt idx="9">
                  <c:v>67282</c:v>
                </c:pt>
                <c:pt idx="10">
                  <c:v>73572</c:v>
                </c:pt>
                <c:pt idx="11">
                  <c:v>74883</c:v>
                </c:pt>
                <c:pt idx="12">
                  <c:v>75486</c:v>
                </c:pt>
              </c:numCache>
            </c:numRef>
          </c:val>
          <c:extLst>
            <c:ext xmlns:c16="http://schemas.microsoft.com/office/drawing/2014/chart" uri="{C3380CC4-5D6E-409C-BE32-E72D297353CC}">
              <c16:uniqueId val="{00000000-E6D4-4A48-B026-1842D63D4598}"/>
            </c:ext>
          </c:extLst>
        </c:ser>
        <c:dLbls>
          <c:showLegendKey val="0"/>
          <c:showVal val="0"/>
          <c:showCatName val="0"/>
          <c:showSerName val="0"/>
          <c:showPercent val="0"/>
          <c:showBubbleSize val="0"/>
        </c:dLbls>
        <c:gapWidth val="219"/>
        <c:overlap val="-27"/>
        <c:axId val="152583455"/>
        <c:axId val="152572415"/>
      </c:barChart>
      <c:catAx>
        <c:axId val="15258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2572415"/>
        <c:crosses val="autoZero"/>
        <c:auto val="1"/>
        <c:lblAlgn val="ctr"/>
        <c:lblOffset val="100"/>
        <c:noMultiLvlLbl val="0"/>
      </c:catAx>
      <c:valAx>
        <c:axId val="152572415"/>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25834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liabilities </a:t>
            </a:r>
            <a:r>
              <a:rPr lang="en-US"/>
              <a:t>% chg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'5.Story&amp;estimations'!$Z$173</c:f>
              <c:strCache>
                <c:ptCount val="1"/>
                <c:pt idx="0">
                  <c:v>% chg</c:v>
                </c:pt>
              </c:strCache>
            </c:strRef>
          </c:tx>
          <c:spPr>
            <a:solidFill>
              <a:schemeClr val="accent1"/>
            </a:solidFill>
            <a:ln>
              <a:noFill/>
            </a:ln>
            <a:effectLst/>
          </c:spPr>
          <c:invertIfNegative val="0"/>
          <c:cat>
            <c:numRef>
              <c:f>'5.Story&amp;estimations'!$Y$174:$Y$186</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'5.Story&amp;estimations'!$Z$174:$Z$186</c:f>
              <c:numCache>
                <c:formatCode>0.00%</c:formatCode>
                <c:ptCount val="13"/>
                <c:pt idx="1">
                  <c:v>3.037135278514589E-2</c:v>
                </c:pt>
                <c:pt idx="2">
                  <c:v>0.20118419358990861</c:v>
                </c:pt>
                <c:pt idx="3">
                  <c:v>9.3870552936133736E-2</c:v>
                </c:pt>
                <c:pt idx="4">
                  <c:v>0.164348223615465</c:v>
                </c:pt>
                <c:pt idx="5">
                  <c:v>8.3461872844041843E-2</c:v>
                </c:pt>
                <c:pt idx="6">
                  <c:v>0.11497942173789248</c:v>
                </c:pt>
                <c:pt idx="7">
                  <c:v>6.5142193847939636E-2</c:v>
                </c:pt>
                <c:pt idx="8">
                  <c:v>0.18462980318650421</c:v>
                </c:pt>
                <c:pt idx="9">
                  <c:v>0.23789372976155432</c:v>
                </c:pt>
                <c:pt idx="10">
                  <c:v>9.3487113938349034E-2</c:v>
                </c:pt>
                <c:pt idx="11">
                  <c:v>1.7819279073560592E-2</c:v>
                </c:pt>
                <c:pt idx="12">
                  <c:v>8.0525619967148753E-3</c:v>
                </c:pt>
              </c:numCache>
            </c:numRef>
          </c:val>
          <c:extLst>
            <c:ext xmlns:c16="http://schemas.microsoft.com/office/drawing/2014/chart" uri="{C3380CC4-5D6E-409C-BE32-E72D297353CC}">
              <c16:uniqueId val="{00000000-EBF5-4EDE-ABB7-66C37DD582A6}"/>
            </c:ext>
          </c:extLst>
        </c:ser>
        <c:dLbls>
          <c:showLegendKey val="0"/>
          <c:showVal val="0"/>
          <c:showCatName val="0"/>
          <c:showSerName val="0"/>
          <c:showPercent val="0"/>
          <c:showBubbleSize val="0"/>
        </c:dLbls>
        <c:gapWidth val="219"/>
        <c:overlap val="-27"/>
        <c:axId val="107184895"/>
        <c:axId val="107165695"/>
      </c:barChart>
      <c:catAx>
        <c:axId val="107184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7165695"/>
        <c:crosses val="autoZero"/>
        <c:auto val="1"/>
        <c:lblAlgn val="ctr"/>
        <c:lblOffset val="100"/>
        <c:noMultiLvlLbl val="0"/>
      </c:catAx>
      <c:valAx>
        <c:axId val="1071656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7184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liabilities $ chg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'5.Story&amp;estimations'!$AD$173</c:f>
              <c:strCache>
                <c:ptCount val="1"/>
                <c:pt idx="0">
                  <c:v>$ chg</c:v>
                </c:pt>
              </c:strCache>
            </c:strRef>
          </c:tx>
          <c:spPr>
            <a:solidFill>
              <a:schemeClr val="accent1"/>
            </a:solidFill>
            <a:ln>
              <a:noFill/>
            </a:ln>
            <a:effectLst/>
          </c:spPr>
          <c:invertIfNegative val="0"/>
          <c:cat>
            <c:numRef>
              <c:f>'5.Story&amp;estimations'!$AC$174:$AC$186</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'5.Story&amp;estimations'!$AD$174:$AD$186</c:f>
              <c:numCache>
                <c:formatCode>_-[$$-409]* #,##0_ ;_-[$$-409]* \-#,##0\ ;_-[$$-409]* "-"??_ ;_-@_ </c:formatCode>
                <c:ptCount val="13"/>
                <c:pt idx="1">
                  <c:v>687</c:v>
                </c:pt>
                <c:pt idx="2">
                  <c:v>4689</c:v>
                </c:pt>
                <c:pt idx="3">
                  <c:v>2628</c:v>
                </c:pt>
                <c:pt idx="4">
                  <c:v>5033</c:v>
                </c:pt>
                <c:pt idx="5">
                  <c:v>2976</c:v>
                </c:pt>
                <c:pt idx="6">
                  <c:v>4442</c:v>
                </c:pt>
                <c:pt idx="7">
                  <c:v>2806</c:v>
                </c:pt>
                <c:pt idx="8">
                  <c:v>8471</c:v>
                </c:pt>
                <c:pt idx="9">
                  <c:v>12930</c:v>
                </c:pt>
                <c:pt idx="10">
                  <c:v>6290</c:v>
                </c:pt>
                <c:pt idx="11">
                  <c:v>1311</c:v>
                </c:pt>
                <c:pt idx="12">
                  <c:v>603</c:v>
                </c:pt>
              </c:numCache>
            </c:numRef>
          </c:val>
          <c:extLst>
            <c:ext xmlns:c16="http://schemas.microsoft.com/office/drawing/2014/chart" uri="{C3380CC4-5D6E-409C-BE32-E72D297353CC}">
              <c16:uniqueId val="{00000000-EDE0-43F5-8E23-FDB9C377FEA5}"/>
            </c:ext>
          </c:extLst>
        </c:ser>
        <c:dLbls>
          <c:showLegendKey val="0"/>
          <c:showVal val="0"/>
          <c:showCatName val="0"/>
          <c:showSerName val="0"/>
          <c:showPercent val="0"/>
          <c:showBubbleSize val="0"/>
        </c:dLbls>
        <c:gapWidth val="219"/>
        <c:overlap val="-27"/>
        <c:axId val="118762767"/>
        <c:axId val="118762287"/>
      </c:barChart>
      <c:catAx>
        <c:axId val="11876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8762287"/>
        <c:crosses val="autoZero"/>
        <c:auto val="1"/>
        <c:lblAlgn val="ctr"/>
        <c:lblOffset val="100"/>
        <c:noMultiLvlLbl val="0"/>
      </c:catAx>
      <c:valAx>
        <c:axId val="118762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8762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'5.Story&amp;estimations'!$B$194</c:f>
              <c:strCache>
                <c:ptCount val="1"/>
                <c:pt idx="0">
                  <c:v>growth in revenues</c:v>
                </c:pt>
              </c:strCache>
            </c:strRef>
          </c:tx>
          <c:spPr>
            <a:solidFill>
              <a:srgbClr val="00B050"/>
            </a:solidFill>
            <a:ln>
              <a:noFill/>
            </a:ln>
            <a:effectLst/>
          </c:spPr>
          <c:invertIfNegative val="0"/>
          <c:trendline>
            <c:spPr>
              <a:ln w="19050" cap="rnd">
                <a:solidFill>
                  <a:schemeClr val="accent1"/>
                </a:solidFill>
                <a:prstDash val="sysDot"/>
              </a:ln>
              <a:effectLst/>
            </c:spPr>
            <c:trendlineType val="linear"/>
            <c:dispRSqr val="0"/>
            <c:dispEq val="0"/>
          </c:trendline>
          <c:cat>
            <c:numRef>
              <c:f>'5.Story&amp;estimations'!$A$195:$A$201</c:f>
              <c:numCache>
                <c:formatCode>General</c:formatCode>
                <c:ptCount val="7"/>
                <c:pt idx="0">
                  <c:v>2013</c:v>
                </c:pt>
                <c:pt idx="1">
                  <c:v>2014</c:v>
                </c:pt>
                <c:pt idx="2">
                  <c:v>2015</c:v>
                </c:pt>
                <c:pt idx="3">
                  <c:v>2016</c:v>
                </c:pt>
                <c:pt idx="4">
                  <c:v>2017</c:v>
                </c:pt>
                <c:pt idx="5">
                  <c:v>2018</c:v>
                </c:pt>
                <c:pt idx="6">
                  <c:v>2019</c:v>
                </c:pt>
              </c:numCache>
            </c:numRef>
          </c:cat>
          <c:val>
            <c:numRef>
              <c:f>'5.Story&amp;estimations'!$B$195:$B$201</c:f>
              <c:numCache>
                <c:formatCode>0.00%</c:formatCode>
                <c:ptCount val="7"/>
                <c:pt idx="0">
                  <c:v>6.1922011506499043E-2</c:v>
                </c:pt>
                <c:pt idx="1">
                  <c:v>5.42847205500709E-2</c:v>
                </c:pt>
                <c:pt idx="2">
                  <c:v>5.5372278333248745E-2</c:v>
                </c:pt>
                <c:pt idx="3">
                  <c:v>6.4237279984610943E-2</c:v>
                </c:pt>
                <c:pt idx="4">
                  <c:v>6.8640630825020615E-2</c:v>
                </c:pt>
                <c:pt idx="5">
                  <c:v>6.6694857022041337E-2</c:v>
                </c:pt>
                <c:pt idx="6">
                  <c:v>7.2336081820344095E-2</c:v>
                </c:pt>
              </c:numCache>
            </c:numRef>
          </c:val>
          <c:extLst>
            <c:ext xmlns:c16="http://schemas.microsoft.com/office/drawing/2014/chart" uri="{C3380CC4-5D6E-409C-BE32-E72D297353CC}">
              <c16:uniqueId val="{00000000-7B17-44BC-A8AF-0032478317D2}"/>
            </c:ext>
          </c:extLst>
        </c:ser>
        <c:dLbls>
          <c:showLegendKey val="0"/>
          <c:showVal val="0"/>
          <c:showCatName val="0"/>
          <c:showSerName val="0"/>
          <c:showPercent val="0"/>
          <c:showBubbleSize val="0"/>
        </c:dLbls>
        <c:gapWidth val="219"/>
        <c:overlap val="-27"/>
        <c:axId val="152587775"/>
        <c:axId val="152584415"/>
      </c:barChart>
      <c:catAx>
        <c:axId val="15258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2584415"/>
        <c:crosses val="autoZero"/>
        <c:auto val="1"/>
        <c:lblAlgn val="ctr"/>
        <c:lblOffset val="100"/>
        <c:noMultiLvlLbl val="0"/>
      </c:catAx>
      <c:valAx>
        <c:axId val="1525844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2587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Margins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rgbClr val="00B050"/>
            </a:solidFill>
            <a:ln>
              <a:noFill/>
            </a:ln>
            <a:effectLst/>
          </c:spPr>
          <c:invertIfNegative val="0"/>
          <c:cat>
            <c:numRef>
              <c:f>'5.Story&amp;estimations'!$A$78:$A$90</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'5.Story&amp;estimations'!$B$78:$B$90</c:f>
              <c:numCache>
                <c:formatCode>0.00%</c:formatCode>
                <c:ptCount val="13"/>
                <c:pt idx="0">
                  <c:v>9.462319767028908E-2</c:v>
                </c:pt>
                <c:pt idx="1">
                  <c:v>0.10388741739572464</c:v>
                </c:pt>
                <c:pt idx="2">
                  <c:v>0.11630208597675482</c:v>
                </c:pt>
                <c:pt idx="3">
                  <c:v>0.12586563431759162</c:v>
                </c:pt>
                <c:pt idx="4">
                  <c:v>0.13301099199042013</c:v>
                </c:pt>
                <c:pt idx="5">
                  <c:v>0.1419419631058724</c:v>
                </c:pt>
                <c:pt idx="6">
                  <c:v>0.14549472766193611</c:v>
                </c:pt>
                <c:pt idx="7">
                  <c:v>0.14352651959742335</c:v>
                </c:pt>
                <c:pt idx="8">
                  <c:v>0.14373327285098661</c:v>
                </c:pt>
                <c:pt idx="9">
                  <c:v>0.13835440163500112</c:v>
                </c:pt>
                <c:pt idx="10">
                  <c:v>0.15242430056166767</c:v>
                </c:pt>
                <c:pt idx="11">
                  <c:v>0.15272262917479337</c:v>
                </c:pt>
                <c:pt idx="12">
                  <c:v>0.14206551428253281</c:v>
                </c:pt>
              </c:numCache>
            </c:numRef>
          </c:val>
          <c:extLst>
            <c:ext xmlns:c16="http://schemas.microsoft.com/office/drawing/2014/chart" uri="{C3380CC4-5D6E-409C-BE32-E72D297353CC}">
              <c16:uniqueId val="{00000000-570C-4013-9686-B14F24807A6F}"/>
            </c:ext>
          </c:extLst>
        </c:ser>
        <c:dLbls>
          <c:showLegendKey val="0"/>
          <c:showVal val="0"/>
          <c:showCatName val="0"/>
          <c:showSerName val="0"/>
          <c:showPercent val="0"/>
          <c:showBubbleSize val="0"/>
        </c:dLbls>
        <c:gapWidth val="219"/>
        <c:overlap val="-27"/>
        <c:axId val="289403936"/>
        <c:axId val="289415456"/>
      </c:barChart>
      <c:catAx>
        <c:axId val="28940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89415456"/>
        <c:crosses val="autoZero"/>
        <c:auto val="1"/>
        <c:lblAlgn val="ctr"/>
        <c:lblOffset val="100"/>
        <c:noMultiLvlLbl val="0"/>
      </c:catAx>
      <c:valAx>
        <c:axId val="2894154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89403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revenues,</a:t>
            </a:r>
            <a:r>
              <a:rPr lang="en-US" baseline="0"/>
              <a:t> gross profit, gross margins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'5.Story&amp;estimations'!$B$209</c:f>
              <c:strCache>
                <c:ptCount val="1"/>
                <c:pt idx="0">
                  <c:v>revenues</c:v>
                </c:pt>
              </c:strCache>
            </c:strRef>
          </c:tx>
          <c:spPr>
            <a:solidFill>
              <a:schemeClr val="accent1"/>
            </a:solidFill>
            <a:ln>
              <a:noFill/>
            </a:ln>
            <a:effectLst/>
          </c:spPr>
          <c:invertIfNegative val="0"/>
          <c:cat>
            <c:numRef>
              <c:f>'5.Story&amp;estimations'!$A$210:$A$225</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'5.Story&amp;estimations'!$B$210:$B$225</c:f>
              <c:numCache>
                <c:formatCode>_-[$$-409]* #,##0.0_ ;_-[$$-409]* \-#,##0.0\ ;_-[$$-409]* "-"??_ ;_-@_ </c:formatCode>
                <c:ptCount val="16"/>
                <c:pt idx="0">
                  <c:v>71288</c:v>
                </c:pt>
                <c:pt idx="1">
                  <c:v>66176</c:v>
                </c:pt>
                <c:pt idx="2">
                  <c:v>67997</c:v>
                </c:pt>
                <c:pt idx="3">
                  <c:v>70395</c:v>
                </c:pt>
                <c:pt idx="4">
                  <c:v>74754</c:v>
                </c:pt>
                <c:pt idx="5">
                  <c:v>78812</c:v>
                </c:pt>
                <c:pt idx="6">
                  <c:v>83176</c:v>
                </c:pt>
                <c:pt idx="7">
                  <c:v>88519</c:v>
                </c:pt>
                <c:pt idx="8">
                  <c:v>94595</c:v>
                </c:pt>
                <c:pt idx="9">
                  <c:v>100904</c:v>
                </c:pt>
                <c:pt idx="10">
                  <c:v>108203</c:v>
                </c:pt>
                <c:pt idx="11">
                  <c:v>110225</c:v>
                </c:pt>
                <c:pt idx="12">
                  <c:v>132110</c:v>
                </c:pt>
                <c:pt idx="13">
                  <c:v>151157</c:v>
                </c:pt>
                <c:pt idx="14">
                  <c:v>157403</c:v>
                </c:pt>
                <c:pt idx="15">
                  <c:v>152669</c:v>
                </c:pt>
              </c:numCache>
            </c:numRef>
          </c:val>
          <c:extLst>
            <c:ext xmlns:c16="http://schemas.microsoft.com/office/drawing/2014/chart" uri="{C3380CC4-5D6E-409C-BE32-E72D297353CC}">
              <c16:uniqueId val="{00000000-0559-44AA-8E4F-C78B3680B3EC}"/>
            </c:ext>
          </c:extLst>
        </c:ser>
        <c:ser>
          <c:idx val="1"/>
          <c:order val="1"/>
          <c:tx>
            <c:strRef>
              <c:f>'5.Story&amp;estimations'!$C$209</c:f>
              <c:strCache>
                <c:ptCount val="1"/>
                <c:pt idx="0">
                  <c:v>gross profit</c:v>
                </c:pt>
              </c:strCache>
            </c:strRef>
          </c:tx>
          <c:spPr>
            <a:solidFill>
              <a:schemeClr val="accent2"/>
            </a:solidFill>
            <a:ln>
              <a:noFill/>
            </a:ln>
            <a:effectLst/>
          </c:spPr>
          <c:invertIfNegative val="0"/>
          <c:cat>
            <c:numRef>
              <c:f>'5.Story&amp;estimations'!$A$210:$A$225</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'5.Story&amp;estimations'!$C$210:$C$225</c:f>
              <c:numCache>
                <c:formatCode>_-[$$-409]* #,##0_ ;_-[$$-409]* \-#,##0\ ;_-[$$-409]* "-"??_ ;_-@_ </c:formatCode>
                <c:ptCount val="16"/>
                <c:pt idx="0">
                  <c:v>23990</c:v>
                </c:pt>
                <c:pt idx="1">
                  <c:v>22412</c:v>
                </c:pt>
                <c:pt idx="2">
                  <c:v>23304</c:v>
                </c:pt>
                <c:pt idx="3">
                  <c:v>24262</c:v>
                </c:pt>
                <c:pt idx="4">
                  <c:v>25842</c:v>
                </c:pt>
                <c:pt idx="5">
                  <c:v>26915</c:v>
                </c:pt>
                <c:pt idx="6">
                  <c:v>28389</c:v>
                </c:pt>
                <c:pt idx="7">
                  <c:v>30265</c:v>
                </c:pt>
                <c:pt idx="8">
                  <c:v>32313</c:v>
                </c:pt>
                <c:pt idx="9">
                  <c:v>34356</c:v>
                </c:pt>
                <c:pt idx="10">
                  <c:v>37160</c:v>
                </c:pt>
                <c:pt idx="11">
                  <c:v>37572</c:v>
                </c:pt>
                <c:pt idx="12">
                  <c:v>44853</c:v>
                </c:pt>
                <c:pt idx="13">
                  <c:v>50832</c:v>
                </c:pt>
                <c:pt idx="14">
                  <c:v>52778</c:v>
                </c:pt>
                <c:pt idx="15">
                  <c:v>50960</c:v>
                </c:pt>
              </c:numCache>
            </c:numRef>
          </c:val>
          <c:extLst>
            <c:ext xmlns:c16="http://schemas.microsoft.com/office/drawing/2014/chart" uri="{C3380CC4-5D6E-409C-BE32-E72D297353CC}">
              <c16:uniqueId val="{00000001-0559-44AA-8E4F-C78B3680B3EC}"/>
            </c:ext>
          </c:extLst>
        </c:ser>
        <c:dLbls>
          <c:showLegendKey val="0"/>
          <c:showVal val="0"/>
          <c:showCatName val="0"/>
          <c:showSerName val="0"/>
          <c:showPercent val="0"/>
          <c:showBubbleSize val="0"/>
        </c:dLbls>
        <c:gapWidth val="219"/>
        <c:overlap val="-27"/>
        <c:axId val="114553695"/>
        <c:axId val="114569535"/>
      </c:barChart>
      <c:lineChart>
        <c:grouping val="standard"/>
        <c:varyColors val="0"/>
        <c:ser>
          <c:idx val="2"/>
          <c:order val="2"/>
          <c:tx>
            <c:strRef>
              <c:f>'5.Story&amp;estimations'!$D$209</c:f>
              <c:strCache>
                <c:ptCount val="1"/>
                <c:pt idx="0">
                  <c:v>gross margins</c:v>
                </c:pt>
              </c:strCache>
            </c:strRef>
          </c:tx>
          <c:spPr>
            <a:ln w="28575" cap="rnd">
              <a:solidFill>
                <a:schemeClr val="accent3"/>
              </a:solidFill>
              <a:round/>
            </a:ln>
            <a:effectLst/>
          </c:spPr>
          <c:marker>
            <c:symbol val="none"/>
          </c:marker>
          <c:cat>
            <c:numRef>
              <c:f>'5.Story&amp;estimations'!$A$210:$A$225</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'5.Story&amp;estimations'!$D$210:$D$225</c:f>
              <c:numCache>
                <c:formatCode>0.00%</c:formatCode>
                <c:ptCount val="16"/>
                <c:pt idx="0">
                  <c:v>0.33652227583885086</c:v>
                </c:pt>
                <c:pt idx="1">
                  <c:v>0.33867263056092844</c:v>
                </c:pt>
                <c:pt idx="2">
                  <c:v>0.34272100239716458</c:v>
                </c:pt>
                <c:pt idx="3">
                  <c:v>0.34465516016762554</c:v>
                </c:pt>
                <c:pt idx="4">
                  <c:v>0.34569387591299461</c:v>
                </c:pt>
                <c:pt idx="5">
                  <c:v>0.34150890727300409</c:v>
                </c:pt>
                <c:pt idx="6">
                  <c:v>0.34131239780705974</c:v>
                </c:pt>
                <c:pt idx="7">
                  <c:v>0.34190399801172627</c:v>
                </c:pt>
                <c:pt idx="8">
                  <c:v>0.34159310745811089</c:v>
                </c:pt>
                <c:pt idx="9">
                  <c:v>0.34048204233727108</c:v>
                </c:pt>
                <c:pt idx="10">
                  <c:v>0.34342855558533497</c:v>
                </c:pt>
                <c:pt idx="11">
                  <c:v>0.34086640961669312</c:v>
                </c:pt>
                <c:pt idx="12">
                  <c:v>0.33951252743925514</c:v>
                </c:pt>
                <c:pt idx="13">
                  <c:v>0.33628611311417927</c:v>
                </c:pt>
                <c:pt idx="14">
                  <c:v>0.33530491794946732</c:v>
                </c:pt>
                <c:pt idx="15">
                  <c:v>0.33379402498215094</c:v>
                </c:pt>
              </c:numCache>
            </c:numRef>
          </c:val>
          <c:smooth val="0"/>
          <c:extLst>
            <c:ext xmlns:c16="http://schemas.microsoft.com/office/drawing/2014/chart" uri="{C3380CC4-5D6E-409C-BE32-E72D297353CC}">
              <c16:uniqueId val="{00000002-0559-44AA-8E4F-C78B3680B3EC}"/>
            </c:ext>
          </c:extLst>
        </c:ser>
        <c:dLbls>
          <c:showLegendKey val="0"/>
          <c:showVal val="0"/>
          <c:showCatName val="0"/>
          <c:showSerName val="0"/>
          <c:showPercent val="0"/>
          <c:showBubbleSize val="0"/>
        </c:dLbls>
        <c:marker val="1"/>
        <c:smooth val="0"/>
        <c:axId val="114560415"/>
        <c:axId val="114560895"/>
      </c:lineChart>
      <c:catAx>
        <c:axId val="11455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4569535"/>
        <c:crosses val="autoZero"/>
        <c:auto val="1"/>
        <c:lblAlgn val="ctr"/>
        <c:lblOffset val="100"/>
        <c:noMultiLvlLbl val="0"/>
      </c:catAx>
      <c:valAx>
        <c:axId val="114569535"/>
        <c:scaling>
          <c:orientation val="minMax"/>
        </c:scaling>
        <c:delete val="0"/>
        <c:axPos val="l"/>
        <c:majorGridlines>
          <c:spPr>
            <a:ln w="9525" cap="flat" cmpd="sng" algn="ctr">
              <a:solidFill>
                <a:schemeClr val="tx1">
                  <a:lumMod val="15000"/>
                  <a:lumOff val="85000"/>
                </a:schemeClr>
              </a:solidFill>
              <a:round/>
            </a:ln>
            <a:effectLst/>
          </c:spPr>
        </c:majorGridlines>
        <c:numFmt formatCode="_-[$$-409]* #,##0.0_ ;_-[$$-409]* \-#,##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4553695"/>
        <c:crosses val="autoZero"/>
        <c:crossBetween val="between"/>
      </c:valAx>
      <c:valAx>
        <c:axId val="11456089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4560415"/>
        <c:crosses val="max"/>
        <c:crossBetween val="between"/>
      </c:valAx>
      <c:catAx>
        <c:axId val="114560415"/>
        <c:scaling>
          <c:orientation val="minMax"/>
        </c:scaling>
        <c:delete val="1"/>
        <c:axPos val="b"/>
        <c:numFmt formatCode="General" sourceLinked="1"/>
        <c:majorTickMark val="none"/>
        <c:minorTickMark val="none"/>
        <c:tickLblPos val="nextTo"/>
        <c:crossAx val="1145608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'5.Story&amp;estimations'!$Y$207</c:f>
              <c:strCache>
                <c:ptCount val="1"/>
                <c:pt idx="0">
                  <c:v>gross margins</c:v>
                </c:pt>
              </c:strCache>
            </c:strRef>
          </c:tx>
          <c:spPr>
            <a:solidFill>
              <a:srgbClr val="00B050"/>
            </a:solidFill>
            <a:ln>
              <a:noFill/>
            </a:ln>
            <a:effectLst/>
          </c:spPr>
          <c:invertIfNegative val="0"/>
          <c:cat>
            <c:numRef>
              <c:f>'5.Story&amp;estimations'!$X$208:$X$223</c:f>
              <c:numCache>
                <c:formatCode>General</c:formatCode>
                <c:ptCount val="16"/>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numCache>
            </c:numRef>
          </c:cat>
          <c:val>
            <c:numRef>
              <c:f>'5.Story&amp;estimations'!$Y$208:$Y$223</c:f>
              <c:numCache>
                <c:formatCode>0.00%</c:formatCode>
                <c:ptCount val="16"/>
                <c:pt idx="0">
                  <c:v>0.33652227583885103</c:v>
                </c:pt>
                <c:pt idx="1">
                  <c:v>0.33867263056092844</c:v>
                </c:pt>
                <c:pt idx="2">
                  <c:v>0.34272100239716458</c:v>
                </c:pt>
                <c:pt idx="3">
                  <c:v>0.34465516016762554</c:v>
                </c:pt>
                <c:pt idx="4">
                  <c:v>0.34569387591299461</c:v>
                </c:pt>
                <c:pt idx="5">
                  <c:v>0.34150890727300409</c:v>
                </c:pt>
                <c:pt idx="6">
                  <c:v>0.34131239780705974</c:v>
                </c:pt>
                <c:pt idx="7">
                  <c:v>0.34190399801172627</c:v>
                </c:pt>
                <c:pt idx="8">
                  <c:v>0.34159310745811089</c:v>
                </c:pt>
                <c:pt idx="9">
                  <c:v>0.34048204233727108</c:v>
                </c:pt>
                <c:pt idx="10">
                  <c:v>0.34342855558533497</c:v>
                </c:pt>
                <c:pt idx="11">
                  <c:v>0.34086640961669312</c:v>
                </c:pt>
                <c:pt idx="12">
                  <c:v>0.33951252743925514</c:v>
                </c:pt>
                <c:pt idx="13">
                  <c:v>0.33628611311417927</c:v>
                </c:pt>
                <c:pt idx="14">
                  <c:v>0.33530491794946732</c:v>
                </c:pt>
                <c:pt idx="15">
                  <c:v>0.33379402498215094</c:v>
                </c:pt>
              </c:numCache>
            </c:numRef>
          </c:val>
          <c:extLst>
            <c:ext xmlns:c16="http://schemas.microsoft.com/office/drawing/2014/chart" uri="{C3380CC4-5D6E-409C-BE32-E72D297353CC}">
              <c16:uniqueId val="{00000000-BE62-4B42-865D-EC33532E9634}"/>
            </c:ext>
          </c:extLst>
        </c:ser>
        <c:dLbls>
          <c:showLegendKey val="0"/>
          <c:showVal val="0"/>
          <c:showCatName val="0"/>
          <c:showSerName val="0"/>
          <c:showPercent val="0"/>
          <c:showBubbleSize val="0"/>
        </c:dLbls>
        <c:gapWidth val="219"/>
        <c:overlap val="-27"/>
        <c:axId val="114569055"/>
        <c:axId val="114570495"/>
      </c:barChart>
      <c:catAx>
        <c:axId val="11456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4570495"/>
        <c:crosses val="autoZero"/>
        <c:auto val="1"/>
        <c:lblAlgn val="ctr"/>
        <c:lblOffset val="100"/>
        <c:noMultiLvlLbl val="0"/>
      </c:catAx>
      <c:valAx>
        <c:axId val="1145704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45690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'5.Story&amp;estimations'!$B$265</c:f>
              <c:strCache>
                <c:ptCount val="1"/>
                <c:pt idx="0">
                  <c:v>revenues</c:v>
                </c:pt>
              </c:strCache>
            </c:strRef>
          </c:tx>
          <c:spPr>
            <a:solidFill>
              <a:schemeClr val="accent1"/>
            </a:solidFill>
            <a:ln>
              <a:noFill/>
            </a:ln>
            <a:effectLst/>
          </c:spPr>
          <c:invertIfNegative val="0"/>
          <c:cat>
            <c:numRef>
              <c:f>'5.Story&amp;estimations'!$A$266:$A$278</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'5.Story&amp;estimations'!$B$266:$B$278</c:f>
              <c:numCache>
                <c:formatCode>_-[$$-409]* #,##0.0_ ;_-[$$-409]* \-#,##0.0\ ;_-[$$-409]* "-"??_ ;_-@_ </c:formatCode>
                <c:ptCount val="13"/>
                <c:pt idx="0">
                  <c:v>70395</c:v>
                </c:pt>
                <c:pt idx="1">
                  <c:v>74754</c:v>
                </c:pt>
                <c:pt idx="2">
                  <c:v>78812</c:v>
                </c:pt>
                <c:pt idx="3">
                  <c:v>83176</c:v>
                </c:pt>
                <c:pt idx="4">
                  <c:v>88519</c:v>
                </c:pt>
                <c:pt idx="5">
                  <c:v>94595</c:v>
                </c:pt>
                <c:pt idx="6">
                  <c:v>100904</c:v>
                </c:pt>
                <c:pt idx="7">
                  <c:v>108203</c:v>
                </c:pt>
                <c:pt idx="8">
                  <c:v>110225</c:v>
                </c:pt>
                <c:pt idx="9">
                  <c:v>132110</c:v>
                </c:pt>
                <c:pt idx="10">
                  <c:v>151157</c:v>
                </c:pt>
                <c:pt idx="11">
                  <c:v>157403</c:v>
                </c:pt>
                <c:pt idx="12">
                  <c:v>152669</c:v>
                </c:pt>
              </c:numCache>
            </c:numRef>
          </c:val>
          <c:extLst>
            <c:ext xmlns:c16="http://schemas.microsoft.com/office/drawing/2014/chart" uri="{C3380CC4-5D6E-409C-BE32-E72D297353CC}">
              <c16:uniqueId val="{00000000-27C3-4A29-B5BA-3FFE29F8DC3E}"/>
            </c:ext>
          </c:extLst>
        </c:ser>
        <c:ser>
          <c:idx val="1"/>
          <c:order val="1"/>
          <c:tx>
            <c:strRef>
              <c:f>'5.Story&amp;estimations'!$C$265</c:f>
              <c:strCache>
                <c:ptCount val="1"/>
                <c:pt idx="0">
                  <c:v>bv equity</c:v>
                </c:pt>
              </c:strCache>
            </c:strRef>
          </c:tx>
          <c:spPr>
            <a:solidFill>
              <a:schemeClr val="accent2"/>
            </a:solidFill>
            <a:ln>
              <a:noFill/>
            </a:ln>
            <a:effectLst/>
          </c:spPr>
          <c:invertIfNegative val="0"/>
          <c:cat>
            <c:numRef>
              <c:f>'5.Story&amp;estimations'!$A$266:$A$278</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'5.Story&amp;estimations'!$C$266:$C$278</c:f>
              <c:numCache>
                <c:formatCode>_-[$$-409]* #,##0.00_ ;_-[$$-409]* \-#,##0.00\ ;_-[$$-409]* "-"??_ ;_-@_ </c:formatCode>
                <c:ptCount val="13"/>
                <c:pt idx="0">
                  <c:v>17898</c:v>
                </c:pt>
                <c:pt idx="1">
                  <c:v>17777</c:v>
                </c:pt>
                <c:pt idx="2">
                  <c:v>12522</c:v>
                </c:pt>
                <c:pt idx="3">
                  <c:v>9322</c:v>
                </c:pt>
                <c:pt idx="4">
                  <c:v>6316</c:v>
                </c:pt>
                <c:pt idx="5">
                  <c:v>4333</c:v>
                </c:pt>
                <c:pt idx="6">
                  <c:v>1454</c:v>
                </c:pt>
                <c:pt idx="7">
                  <c:v>-1878</c:v>
                </c:pt>
                <c:pt idx="8">
                  <c:v>-3116</c:v>
                </c:pt>
                <c:pt idx="9">
                  <c:v>3299</c:v>
                </c:pt>
                <c:pt idx="10">
                  <c:v>-1696</c:v>
                </c:pt>
                <c:pt idx="11">
                  <c:v>1562</c:v>
                </c:pt>
                <c:pt idx="12">
                  <c:v>1044</c:v>
                </c:pt>
              </c:numCache>
            </c:numRef>
          </c:val>
          <c:extLst>
            <c:ext xmlns:c16="http://schemas.microsoft.com/office/drawing/2014/chart" uri="{C3380CC4-5D6E-409C-BE32-E72D297353CC}">
              <c16:uniqueId val="{00000001-27C3-4A29-B5BA-3FFE29F8DC3E}"/>
            </c:ext>
          </c:extLst>
        </c:ser>
        <c:ser>
          <c:idx val="2"/>
          <c:order val="2"/>
          <c:tx>
            <c:strRef>
              <c:f>'5.Story&amp;estimations'!$D$265</c:f>
              <c:strCache>
                <c:ptCount val="1"/>
                <c:pt idx="0">
                  <c:v>bv debt</c:v>
                </c:pt>
              </c:strCache>
            </c:strRef>
          </c:tx>
          <c:spPr>
            <a:solidFill>
              <a:schemeClr val="accent3"/>
            </a:solidFill>
            <a:ln>
              <a:noFill/>
            </a:ln>
            <a:effectLst/>
          </c:spPr>
          <c:invertIfNegative val="0"/>
          <c:cat>
            <c:numRef>
              <c:f>'5.Story&amp;estimations'!$A$266:$A$278</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'5.Story&amp;estimations'!$D$266:$D$278</c:f>
              <c:numCache>
                <c:formatCode>_-[$$-409]* #,##0.0_ ;_-[$$-409]* \-#,##0.0\ ;_-[$$-409]* "-"??_ ;_-@_ </c:formatCode>
                <c:ptCount val="13"/>
                <c:pt idx="0">
                  <c:v>10758</c:v>
                </c:pt>
                <c:pt idx="1">
                  <c:v>9475</c:v>
                </c:pt>
                <c:pt idx="2">
                  <c:v>14691</c:v>
                </c:pt>
                <c:pt idx="3">
                  <c:v>16869</c:v>
                </c:pt>
                <c:pt idx="4">
                  <c:v>20789</c:v>
                </c:pt>
                <c:pt idx="5">
                  <c:v>22349</c:v>
                </c:pt>
                <c:pt idx="6">
                  <c:v>24267</c:v>
                </c:pt>
                <c:pt idx="7">
                  <c:v>26807</c:v>
                </c:pt>
                <c:pt idx="8">
                  <c:v>28670</c:v>
                </c:pt>
                <c:pt idx="9">
                  <c:v>35822</c:v>
                </c:pt>
                <c:pt idx="10">
                  <c:v>36604</c:v>
                </c:pt>
                <c:pt idx="11">
                  <c:v>41962</c:v>
                </c:pt>
                <c:pt idx="12">
                  <c:v>42743</c:v>
                </c:pt>
              </c:numCache>
            </c:numRef>
          </c:val>
          <c:extLst>
            <c:ext xmlns:c16="http://schemas.microsoft.com/office/drawing/2014/chart" uri="{C3380CC4-5D6E-409C-BE32-E72D297353CC}">
              <c16:uniqueId val="{00000002-27C3-4A29-B5BA-3FFE29F8DC3E}"/>
            </c:ext>
          </c:extLst>
        </c:ser>
        <c:ser>
          <c:idx val="3"/>
          <c:order val="3"/>
          <c:tx>
            <c:strRef>
              <c:f>'5.Story&amp;estimations'!$E$265</c:f>
              <c:strCache>
                <c:ptCount val="1"/>
                <c:pt idx="0">
                  <c:v>cash</c:v>
                </c:pt>
              </c:strCache>
            </c:strRef>
          </c:tx>
          <c:spPr>
            <a:solidFill>
              <a:schemeClr val="accent4"/>
            </a:solidFill>
            <a:ln>
              <a:noFill/>
            </a:ln>
            <a:effectLst/>
          </c:spPr>
          <c:invertIfNegative val="0"/>
          <c:cat>
            <c:numRef>
              <c:f>'5.Story&amp;estimations'!$A$266:$A$278</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'5.Story&amp;estimations'!$E$266:$E$278</c:f>
              <c:numCache>
                <c:formatCode>_-[$$-409]* #,##0_ ;_-[$$-409]* \-#,##0\ ;_-[$$-409]* "-"??_ ;_-@_ </c:formatCode>
                <c:ptCount val="13"/>
                <c:pt idx="0">
                  <c:v>1987</c:v>
                </c:pt>
                <c:pt idx="1">
                  <c:v>2494</c:v>
                </c:pt>
                <c:pt idx="2">
                  <c:v>1929</c:v>
                </c:pt>
                <c:pt idx="3">
                  <c:v>1723</c:v>
                </c:pt>
                <c:pt idx="4">
                  <c:v>2216</c:v>
                </c:pt>
                <c:pt idx="5">
                  <c:v>2538</c:v>
                </c:pt>
                <c:pt idx="6">
                  <c:v>3595</c:v>
                </c:pt>
                <c:pt idx="7">
                  <c:v>1778</c:v>
                </c:pt>
                <c:pt idx="8">
                  <c:v>2133</c:v>
                </c:pt>
                <c:pt idx="9">
                  <c:v>7895</c:v>
                </c:pt>
                <c:pt idx="10">
                  <c:v>2343</c:v>
                </c:pt>
                <c:pt idx="11">
                  <c:v>2757</c:v>
                </c:pt>
                <c:pt idx="12">
                  <c:v>3760</c:v>
                </c:pt>
              </c:numCache>
            </c:numRef>
          </c:val>
          <c:extLst>
            <c:ext xmlns:c16="http://schemas.microsoft.com/office/drawing/2014/chart" uri="{C3380CC4-5D6E-409C-BE32-E72D297353CC}">
              <c16:uniqueId val="{00000003-27C3-4A29-B5BA-3FFE29F8DC3E}"/>
            </c:ext>
          </c:extLst>
        </c:ser>
        <c:dLbls>
          <c:showLegendKey val="0"/>
          <c:showVal val="0"/>
          <c:showCatName val="0"/>
          <c:showSerName val="0"/>
          <c:showPercent val="0"/>
          <c:showBubbleSize val="0"/>
        </c:dLbls>
        <c:gapWidth val="219"/>
        <c:overlap val="-27"/>
        <c:axId val="200831631"/>
        <c:axId val="200831151"/>
      </c:barChart>
      <c:catAx>
        <c:axId val="20083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00831151"/>
        <c:crosses val="autoZero"/>
        <c:auto val="1"/>
        <c:lblAlgn val="ctr"/>
        <c:lblOffset val="100"/>
        <c:noMultiLvlLbl val="0"/>
      </c:catAx>
      <c:valAx>
        <c:axId val="200831151"/>
        <c:scaling>
          <c:orientation val="minMax"/>
        </c:scaling>
        <c:delete val="0"/>
        <c:axPos val="l"/>
        <c:majorGridlines>
          <c:spPr>
            <a:ln w="9525" cap="flat" cmpd="sng" algn="ctr">
              <a:solidFill>
                <a:schemeClr val="tx1">
                  <a:lumMod val="15000"/>
                  <a:lumOff val="85000"/>
                </a:schemeClr>
              </a:solidFill>
              <a:round/>
            </a:ln>
            <a:effectLst/>
          </c:spPr>
        </c:majorGridlines>
        <c:numFmt formatCode="_-[$$-409]* #,##0.0_ ;_-[$$-409]* \-#,##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00831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to capital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4"/>
          <c:order val="4"/>
          <c:tx>
            <c:strRef>
              <c:f>'5.Story&amp;estimations'!$F$265</c:f>
              <c:strCache>
                <c:ptCount val="1"/>
                <c:pt idx="0">
                  <c:v>sales to invested capital</c:v>
                </c:pt>
              </c:strCache>
            </c:strRef>
          </c:tx>
          <c:spPr>
            <a:solidFill>
              <a:schemeClr val="accent5"/>
            </a:solidFill>
            <a:ln>
              <a:noFill/>
            </a:ln>
            <a:effectLst/>
          </c:spPr>
          <c:invertIfNegative val="0"/>
          <c:cat>
            <c:numRef>
              <c:f>'5.Story&amp;estimations'!$A$266:$A$278</c:f>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f>'5.Story&amp;estimations'!$F$266:$F$278</c:f>
              <c:numCache>
                <c:formatCode>General</c:formatCode>
                <c:ptCount val="13"/>
                <c:pt idx="0">
                  <c:v>2.639581536615546</c:v>
                </c:pt>
                <c:pt idx="1">
                  <c:v>3.0193876726714599</c:v>
                </c:pt>
                <c:pt idx="2">
                  <c:v>3.1170700838474925</c:v>
                </c:pt>
                <c:pt idx="3">
                  <c:v>3.3993787804479321</c:v>
                </c:pt>
                <c:pt idx="4">
                  <c:v>3.5565510868255052</c:v>
                </c:pt>
                <c:pt idx="5">
                  <c:v>3.9179506295559974</c:v>
                </c:pt>
                <c:pt idx="6">
                  <c:v>4.5604266473831689</c:v>
                </c:pt>
                <c:pt idx="7">
                  <c:v>4.6737937886052441</c:v>
                </c:pt>
                <c:pt idx="8">
                  <c:v>4.7062465308910806</c:v>
                </c:pt>
                <c:pt idx="9">
                  <c:v>4.2307692307692308</c:v>
                </c:pt>
                <c:pt idx="10">
                  <c:v>4.6417012129586981</c:v>
                </c:pt>
                <c:pt idx="11">
                  <c:v>3.8610395663158927</c:v>
                </c:pt>
                <c:pt idx="12">
                  <c:v>3.8141504484472981</c:v>
                </c:pt>
              </c:numCache>
            </c:numRef>
          </c:val>
          <c:extLst>
            <c:ext xmlns:c16="http://schemas.microsoft.com/office/drawing/2014/chart" uri="{C3380CC4-5D6E-409C-BE32-E72D297353CC}">
              <c16:uniqueId val="{00000004-D1EE-49B0-A623-9D24FEAAA3ED}"/>
            </c:ext>
          </c:extLst>
        </c:ser>
        <c:dLbls>
          <c:showLegendKey val="0"/>
          <c:showVal val="0"/>
          <c:showCatName val="0"/>
          <c:showSerName val="0"/>
          <c:showPercent val="0"/>
          <c:showBubbleSize val="0"/>
        </c:dLbls>
        <c:gapWidth val="219"/>
        <c:overlap val="-27"/>
        <c:axId val="114558975"/>
        <c:axId val="114570015"/>
        <c:extLst>
          <c:ext xmlns:c15="http://schemas.microsoft.com/office/drawing/2012/chart" uri="{02D57815-91ED-43cb-92C2-25804820EDAC}">
            <c15:filteredBarSeries>
              <c15:ser>
                <c:idx val="0"/>
                <c:order val="0"/>
                <c:tx>
                  <c:strRef>
                    <c:extLst>
                      <c:ext uri="{02D57815-91ED-43cb-92C2-25804820EDAC}">
                        <c15:formulaRef>
                          <c15:sqref>'5.Story&amp;estimations'!$B$265</c15:sqref>
                        </c15:formulaRef>
                      </c:ext>
                    </c:extLst>
                    <c:strCache>
                      <c:ptCount val="1"/>
                      <c:pt idx="0">
                        <c:v>revenues</c:v>
                      </c:pt>
                    </c:strCache>
                  </c:strRef>
                </c:tx>
                <c:spPr>
                  <a:solidFill>
                    <a:schemeClr val="accent1"/>
                  </a:solidFill>
                  <a:ln>
                    <a:noFill/>
                  </a:ln>
                  <a:effectLst/>
                </c:spPr>
                <c:invertIfNegative val="0"/>
                <c:cat>
                  <c:numRef>
                    <c:extLst>
                      <c:ext uri="{02D57815-91ED-43cb-92C2-25804820EDAC}">
                        <c15:formulaRef>
                          <c15:sqref>'5.Story&amp;estimations'!$A$266:$A$278</c15:sqref>
                        </c15:formulaRef>
                      </c:ext>
                    </c:extLst>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extLst>
                      <c:ext uri="{02D57815-91ED-43cb-92C2-25804820EDAC}">
                        <c15:formulaRef>
                          <c15:sqref>'5.Story&amp;estimations'!$B$266:$B$278</c15:sqref>
                        </c15:formulaRef>
                      </c:ext>
                    </c:extLst>
                    <c:numCache>
                      <c:formatCode>_-[$$-409]* #,##0.0_ ;_-[$$-409]* \-#,##0.0\ ;_-[$$-409]* "-"??_ ;_-@_ </c:formatCode>
                      <c:ptCount val="13"/>
                      <c:pt idx="0">
                        <c:v>70395</c:v>
                      </c:pt>
                      <c:pt idx="1">
                        <c:v>74754</c:v>
                      </c:pt>
                      <c:pt idx="2">
                        <c:v>78812</c:v>
                      </c:pt>
                      <c:pt idx="3">
                        <c:v>83176</c:v>
                      </c:pt>
                      <c:pt idx="4">
                        <c:v>88519</c:v>
                      </c:pt>
                      <c:pt idx="5">
                        <c:v>94595</c:v>
                      </c:pt>
                      <c:pt idx="6">
                        <c:v>100904</c:v>
                      </c:pt>
                      <c:pt idx="7">
                        <c:v>108203</c:v>
                      </c:pt>
                      <c:pt idx="8">
                        <c:v>110225</c:v>
                      </c:pt>
                      <c:pt idx="9">
                        <c:v>132110</c:v>
                      </c:pt>
                      <c:pt idx="10">
                        <c:v>151157</c:v>
                      </c:pt>
                      <c:pt idx="11">
                        <c:v>157403</c:v>
                      </c:pt>
                      <c:pt idx="12">
                        <c:v>152669</c:v>
                      </c:pt>
                    </c:numCache>
                  </c:numRef>
                </c:val>
                <c:extLst>
                  <c:ext xmlns:c16="http://schemas.microsoft.com/office/drawing/2014/chart" uri="{C3380CC4-5D6E-409C-BE32-E72D297353CC}">
                    <c16:uniqueId val="{00000000-D1EE-49B0-A623-9D24FEAAA3ED}"/>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'5.Story&amp;estimations'!$C$265</c15:sqref>
                        </c15:formulaRef>
                      </c:ext>
                    </c:extLst>
                    <c:strCache>
                      <c:ptCount val="1"/>
                      <c:pt idx="0">
                        <c:v>bv equity</c:v>
                      </c:pt>
                    </c:strCache>
                  </c:strRef>
                </c:tx>
                <c:spPr>
                  <a:solidFill>
                    <a:schemeClr val="accent2"/>
                  </a:solidFill>
                  <a:ln>
                    <a:noFill/>
                  </a:ln>
                  <a:effectLst/>
                </c:spPr>
                <c:invertIfNegative val="0"/>
                <c:cat>
                  <c:numRef>
                    <c:extLst xmlns:c15="http://schemas.microsoft.com/office/drawing/2012/chart">
                      <c:ext xmlns:c15="http://schemas.microsoft.com/office/drawing/2012/chart" uri="{02D57815-91ED-43cb-92C2-25804820EDAC}">
                        <c15:formulaRef>
                          <c15:sqref>'5.Story&amp;estimations'!$A$266:$A$278</c15:sqref>
                        </c15:formulaRef>
                      </c:ext>
                    </c:extLst>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extLst xmlns:c15="http://schemas.microsoft.com/office/drawing/2012/chart">
                      <c:ext xmlns:c15="http://schemas.microsoft.com/office/drawing/2012/chart" uri="{02D57815-91ED-43cb-92C2-25804820EDAC}">
                        <c15:formulaRef>
                          <c15:sqref>'5.Story&amp;estimations'!$C$266:$C$278</c15:sqref>
                        </c15:formulaRef>
                      </c:ext>
                    </c:extLst>
                    <c:numCache>
                      <c:formatCode>_-[$$-409]* #,##0.00_ ;_-[$$-409]* \-#,##0.00\ ;_-[$$-409]* "-"??_ ;_-@_ </c:formatCode>
                      <c:ptCount val="13"/>
                      <c:pt idx="0">
                        <c:v>17898</c:v>
                      </c:pt>
                      <c:pt idx="1">
                        <c:v>17777</c:v>
                      </c:pt>
                      <c:pt idx="2">
                        <c:v>12522</c:v>
                      </c:pt>
                      <c:pt idx="3">
                        <c:v>9322</c:v>
                      </c:pt>
                      <c:pt idx="4">
                        <c:v>6316</c:v>
                      </c:pt>
                      <c:pt idx="5">
                        <c:v>4333</c:v>
                      </c:pt>
                      <c:pt idx="6">
                        <c:v>1454</c:v>
                      </c:pt>
                      <c:pt idx="7">
                        <c:v>-1878</c:v>
                      </c:pt>
                      <c:pt idx="8">
                        <c:v>-3116</c:v>
                      </c:pt>
                      <c:pt idx="9">
                        <c:v>3299</c:v>
                      </c:pt>
                      <c:pt idx="10">
                        <c:v>-1696</c:v>
                      </c:pt>
                      <c:pt idx="11">
                        <c:v>1562</c:v>
                      </c:pt>
                      <c:pt idx="12">
                        <c:v>1044</c:v>
                      </c:pt>
                    </c:numCache>
                  </c:numRef>
                </c:val>
                <c:extLst xmlns:c15="http://schemas.microsoft.com/office/drawing/2012/chart">
                  <c:ext xmlns:c16="http://schemas.microsoft.com/office/drawing/2014/chart" uri="{C3380CC4-5D6E-409C-BE32-E72D297353CC}">
                    <c16:uniqueId val="{00000001-D1EE-49B0-A623-9D24FEAAA3ED}"/>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'5.Story&amp;estimations'!$D$265</c15:sqref>
                        </c15:formulaRef>
                      </c:ext>
                    </c:extLst>
                    <c:strCache>
                      <c:ptCount val="1"/>
                      <c:pt idx="0">
                        <c:v>bv debt</c:v>
                      </c:pt>
                    </c:strCache>
                  </c:strRef>
                </c:tx>
                <c:spPr>
                  <a:solidFill>
                    <a:schemeClr val="accent3"/>
                  </a:solidFill>
                  <a:ln>
                    <a:noFill/>
                  </a:ln>
                  <a:effectLst/>
                </c:spPr>
                <c:invertIfNegative val="0"/>
                <c:cat>
                  <c:numRef>
                    <c:extLst xmlns:c15="http://schemas.microsoft.com/office/drawing/2012/chart">
                      <c:ext xmlns:c15="http://schemas.microsoft.com/office/drawing/2012/chart" uri="{02D57815-91ED-43cb-92C2-25804820EDAC}">
                        <c15:formulaRef>
                          <c15:sqref>'5.Story&amp;estimations'!$A$266:$A$278</c15:sqref>
                        </c15:formulaRef>
                      </c:ext>
                    </c:extLst>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extLst xmlns:c15="http://schemas.microsoft.com/office/drawing/2012/chart">
                      <c:ext xmlns:c15="http://schemas.microsoft.com/office/drawing/2012/chart" uri="{02D57815-91ED-43cb-92C2-25804820EDAC}">
                        <c15:formulaRef>
                          <c15:sqref>'5.Story&amp;estimations'!$D$266:$D$278</c15:sqref>
                        </c15:formulaRef>
                      </c:ext>
                    </c:extLst>
                    <c:numCache>
                      <c:formatCode>_-[$$-409]* #,##0.0_ ;_-[$$-409]* \-#,##0.0\ ;_-[$$-409]* "-"??_ ;_-@_ </c:formatCode>
                      <c:ptCount val="13"/>
                      <c:pt idx="0">
                        <c:v>10758</c:v>
                      </c:pt>
                      <c:pt idx="1">
                        <c:v>9475</c:v>
                      </c:pt>
                      <c:pt idx="2">
                        <c:v>14691</c:v>
                      </c:pt>
                      <c:pt idx="3">
                        <c:v>16869</c:v>
                      </c:pt>
                      <c:pt idx="4">
                        <c:v>20789</c:v>
                      </c:pt>
                      <c:pt idx="5">
                        <c:v>22349</c:v>
                      </c:pt>
                      <c:pt idx="6">
                        <c:v>24267</c:v>
                      </c:pt>
                      <c:pt idx="7">
                        <c:v>26807</c:v>
                      </c:pt>
                      <c:pt idx="8">
                        <c:v>28670</c:v>
                      </c:pt>
                      <c:pt idx="9">
                        <c:v>35822</c:v>
                      </c:pt>
                      <c:pt idx="10">
                        <c:v>36604</c:v>
                      </c:pt>
                      <c:pt idx="11">
                        <c:v>41962</c:v>
                      </c:pt>
                      <c:pt idx="12">
                        <c:v>42743</c:v>
                      </c:pt>
                    </c:numCache>
                  </c:numRef>
                </c:val>
                <c:extLst xmlns:c15="http://schemas.microsoft.com/office/drawing/2012/chart">
                  <c:ext xmlns:c16="http://schemas.microsoft.com/office/drawing/2014/chart" uri="{C3380CC4-5D6E-409C-BE32-E72D297353CC}">
                    <c16:uniqueId val="{00000002-D1EE-49B0-A623-9D24FEAAA3ED}"/>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'5.Story&amp;estimations'!$E$265</c15:sqref>
                        </c15:formulaRef>
                      </c:ext>
                    </c:extLst>
                    <c:strCache>
                      <c:ptCount val="1"/>
                      <c:pt idx="0">
                        <c:v>cash</c:v>
                      </c:pt>
                    </c:strCache>
                  </c:strRef>
                </c:tx>
                <c:spPr>
                  <a:solidFill>
                    <a:schemeClr val="accent4"/>
                  </a:solidFill>
                  <a:ln>
                    <a:noFill/>
                  </a:ln>
                  <a:effectLst/>
                </c:spPr>
                <c:invertIfNegative val="0"/>
                <c:cat>
                  <c:numRef>
                    <c:extLst xmlns:c15="http://schemas.microsoft.com/office/drawing/2012/chart">
                      <c:ext xmlns:c15="http://schemas.microsoft.com/office/drawing/2012/chart" uri="{02D57815-91ED-43cb-92C2-25804820EDAC}">
                        <c15:formulaRef>
                          <c15:sqref>'5.Story&amp;estimations'!$A$266:$A$278</c15:sqref>
                        </c15:formulaRef>
                      </c:ext>
                    </c:extLst>
                    <c:numCache>
                      <c:formatCode>General</c:formatCode>
                      <c:ptCount val="13"/>
                      <c:pt idx="0">
                        <c:v>2012</c:v>
                      </c:pt>
                      <c:pt idx="1">
                        <c:v>2013</c:v>
                      </c:pt>
                      <c:pt idx="2">
                        <c:v>2014</c:v>
                      </c:pt>
                      <c:pt idx="3">
                        <c:v>2015</c:v>
                      </c:pt>
                      <c:pt idx="4">
                        <c:v>2016</c:v>
                      </c:pt>
                      <c:pt idx="5">
                        <c:v>2017</c:v>
                      </c:pt>
                      <c:pt idx="6">
                        <c:v>2018</c:v>
                      </c:pt>
                      <c:pt idx="7">
                        <c:v>2019</c:v>
                      </c:pt>
                      <c:pt idx="8">
                        <c:v>2020</c:v>
                      </c:pt>
                      <c:pt idx="9">
                        <c:v>2021</c:v>
                      </c:pt>
                      <c:pt idx="10">
                        <c:v>2022</c:v>
                      </c:pt>
                      <c:pt idx="11">
                        <c:v>2023</c:v>
                      </c:pt>
                      <c:pt idx="12">
                        <c:v>2024</c:v>
                      </c:pt>
                    </c:numCache>
                  </c:numRef>
                </c:cat>
                <c:val>
                  <c:numRef>
                    <c:extLst xmlns:c15="http://schemas.microsoft.com/office/drawing/2012/chart">
                      <c:ext xmlns:c15="http://schemas.microsoft.com/office/drawing/2012/chart" uri="{02D57815-91ED-43cb-92C2-25804820EDAC}">
                        <c15:formulaRef>
                          <c15:sqref>'5.Story&amp;estimations'!$E$266:$E$278</c15:sqref>
                        </c15:formulaRef>
                      </c:ext>
                    </c:extLst>
                    <c:numCache>
                      <c:formatCode>_-[$$-409]* #,##0_ ;_-[$$-409]* \-#,##0\ ;_-[$$-409]* "-"??_ ;_-@_ </c:formatCode>
                      <c:ptCount val="13"/>
                      <c:pt idx="0">
                        <c:v>1987</c:v>
                      </c:pt>
                      <c:pt idx="1">
                        <c:v>2494</c:v>
                      </c:pt>
                      <c:pt idx="2">
                        <c:v>1929</c:v>
                      </c:pt>
                      <c:pt idx="3">
                        <c:v>1723</c:v>
                      </c:pt>
                      <c:pt idx="4">
                        <c:v>2216</c:v>
                      </c:pt>
                      <c:pt idx="5">
                        <c:v>2538</c:v>
                      </c:pt>
                      <c:pt idx="6">
                        <c:v>3595</c:v>
                      </c:pt>
                      <c:pt idx="7">
                        <c:v>1778</c:v>
                      </c:pt>
                      <c:pt idx="8">
                        <c:v>2133</c:v>
                      </c:pt>
                      <c:pt idx="9">
                        <c:v>7895</c:v>
                      </c:pt>
                      <c:pt idx="10">
                        <c:v>2343</c:v>
                      </c:pt>
                      <c:pt idx="11">
                        <c:v>2757</c:v>
                      </c:pt>
                      <c:pt idx="12">
                        <c:v>3760</c:v>
                      </c:pt>
                    </c:numCache>
                  </c:numRef>
                </c:val>
                <c:extLst xmlns:c15="http://schemas.microsoft.com/office/drawing/2012/chart">
                  <c:ext xmlns:c16="http://schemas.microsoft.com/office/drawing/2014/chart" uri="{C3380CC4-5D6E-409C-BE32-E72D297353CC}">
                    <c16:uniqueId val="{00000003-D1EE-49B0-A623-9D24FEAAA3ED}"/>
                  </c:ext>
                </c:extLst>
              </c15:ser>
            </c15:filteredBarSeries>
          </c:ext>
        </c:extLst>
      </c:barChart>
      <c:catAx>
        <c:axId val="11455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4570015"/>
        <c:crosses val="autoZero"/>
        <c:auto val="1"/>
        <c:lblAlgn val="ctr"/>
        <c:lblOffset val="100"/>
        <c:noMultiLvlLbl val="0"/>
      </c:catAx>
      <c:valAx>
        <c:axId val="11457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4558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chart" Target="../charts/chart7.xml"/><Relationship Id="rId18" Type="http://schemas.openxmlformats.org/officeDocument/2006/relationships/image" Target="../media/image21.png"/><Relationship Id="rId3" Type="http://schemas.openxmlformats.org/officeDocument/2006/relationships/image" Target="../media/image14.png"/><Relationship Id="rId7" Type="http://schemas.openxmlformats.org/officeDocument/2006/relationships/image" Target="../media/image17.png"/><Relationship Id="rId12" Type="http://schemas.openxmlformats.org/officeDocument/2006/relationships/chart" Target="../charts/chart6.xml"/><Relationship Id="rId17" Type="http://schemas.openxmlformats.org/officeDocument/2006/relationships/chart" Target="../charts/chart10.xml"/><Relationship Id="rId2" Type="http://schemas.openxmlformats.org/officeDocument/2006/relationships/image" Target="../media/image13.png"/><Relationship Id="rId16" Type="http://schemas.openxmlformats.org/officeDocument/2006/relationships/image" Target="../media/image20.png"/><Relationship Id="rId20" Type="http://schemas.openxmlformats.org/officeDocument/2006/relationships/chart" Target="../charts/chart12.xml"/><Relationship Id="rId1" Type="http://schemas.openxmlformats.org/officeDocument/2006/relationships/image" Target="../media/image12.jpeg"/><Relationship Id="rId6" Type="http://schemas.openxmlformats.org/officeDocument/2006/relationships/image" Target="../media/image16.png"/><Relationship Id="rId11" Type="http://schemas.openxmlformats.org/officeDocument/2006/relationships/chart" Target="../charts/chart5.xml"/><Relationship Id="rId5" Type="http://schemas.openxmlformats.org/officeDocument/2006/relationships/image" Target="../media/image15.png"/><Relationship Id="rId15" Type="http://schemas.openxmlformats.org/officeDocument/2006/relationships/chart" Target="../charts/chart9.xml"/><Relationship Id="rId10" Type="http://schemas.openxmlformats.org/officeDocument/2006/relationships/chart" Target="../charts/chart4.xml"/><Relationship Id="rId19" Type="http://schemas.openxmlformats.org/officeDocument/2006/relationships/chart" Target="../charts/chart11.xml"/><Relationship Id="rId4" Type="http://schemas.openxmlformats.org/officeDocument/2006/relationships/chart" Target="../charts/chart3.xml"/><Relationship Id="rId9" Type="http://schemas.openxmlformats.org/officeDocument/2006/relationships/image" Target="../media/image19.png"/><Relationship Id="rId1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chart" Target="../charts/chart13.xml"/><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chart" Target="../charts/chart32.xml"/><Relationship Id="rId3" Type="http://schemas.openxmlformats.org/officeDocument/2006/relationships/chart" Target="../charts/chart17.xml"/><Relationship Id="rId21" Type="http://schemas.openxmlformats.org/officeDocument/2006/relationships/image" Target="../media/image25.png"/><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20" Type="http://schemas.openxmlformats.org/officeDocument/2006/relationships/image" Target="../media/image24.png"/><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23" Type="http://schemas.openxmlformats.org/officeDocument/2006/relationships/chart" Target="../charts/chart35.xml"/><Relationship Id="rId10" Type="http://schemas.openxmlformats.org/officeDocument/2006/relationships/chart" Target="../charts/chart24.xml"/><Relationship Id="rId19" Type="http://schemas.openxmlformats.org/officeDocument/2006/relationships/chart" Target="../charts/chart33.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 Id="rId22" Type="http://schemas.openxmlformats.org/officeDocument/2006/relationships/chart" Target="../charts/chart34.xml"/></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0</xdr:row>
      <xdr:rowOff>123825</xdr:rowOff>
    </xdr:from>
    <xdr:to>
      <xdr:col>25</xdr:col>
      <xdr:colOff>95479</xdr:colOff>
      <xdr:row>9</xdr:row>
      <xdr:rowOff>156321</xdr:rowOff>
    </xdr:to>
    <xdr:pic>
      <xdr:nvPicPr>
        <xdr:cNvPr id="2" name="Picture 1" descr="U.S. Securities and Exchange Commission - Wikipedia">
          <a:extLst>
            <a:ext uri="{FF2B5EF4-FFF2-40B4-BE49-F238E27FC236}">
              <a16:creationId xmlns:a16="http://schemas.microsoft.com/office/drawing/2014/main" id="{5C0E89AF-88E8-4718-BBFE-94C6313451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73400" y="123825"/>
          <a:ext cx="1695679" cy="1680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391583</xdr:colOff>
      <xdr:row>0</xdr:row>
      <xdr:rowOff>142874</xdr:rowOff>
    </xdr:from>
    <xdr:to>
      <xdr:col>13</xdr:col>
      <xdr:colOff>61382</xdr:colOff>
      <xdr:row>10</xdr:row>
      <xdr:rowOff>57149</xdr:rowOff>
    </xdr:to>
    <xdr:pic>
      <xdr:nvPicPr>
        <xdr:cNvPr id="3" name="Picture 2" descr="Home Depot - BuiltWorlds">
          <a:extLst>
            <a:ext uri="{FF2B5EF4-FFF2-40B4-BE49-F238E27FC236}">
              <a16:creationId xmlns:a16="http://schemas.microsoft.com/office/drawing/2014/main" id="{51907C97-AC22-111C-9C47-1C66A4659A3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877983" y="142874"/>
          <a:ext cx="3098799"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128668</xdr:colOff>
      <xdr:row>28</xdr:row>
      <xdr:rowOff>19050</xdr:rowOff>
    </xdr:from>
    <xdr:to>
      <xdr:col>21</xdr:col>
      <xdr:colOff>152400</xdr:colOff>
      <xdr:row>45</xdr:row>
      <xdr:rowOff>114300</xdr:rowOff>
    </xdr:to>
    <xdr:pic>
      <xdr:nvPicPr>
        <xdr:cNvPr id="4" name="Picture 3">
          <a:extLst>
            <a:ext uri="{FF2B5EF4-FFF2-40B4-BE49-F238E27FC236}">
              <a16:creationId xmlns:a16="http://schemas.microsoft.com/office/drawing/2014/main" id="{FAF59E1E-B564-D092-A7B9-456AB23259C1}"/>
            </a:ext>
          </a:extLst>
        </xdr:cNvPr>
        <xdr:cNvPicPr>
          <a:picLocks noChangeAspect="1"/>
        </xdr:cNvPicPr>
      </xdr:nvPicPr>
      <xdr:blipFill>
        <a:blip xmlns:r="http://schemas.openxmlformats.org/officeDocument/2006/relationships" r:embed="rId3"/>
        <a:stretch>
          <a:fillRect/>
        </a:stretch>
      </xdr:blipFill>
      <xdr:spPr>
        <a:xfrm>
          <a:off x="9044068" y="5172075"/>
          <a:ext cx="5967332" cy="3171825"/>
        </a:xfrm>
        <a:prstGeom prst="rect">
          <a:avLst/>
        </a:prstGeom>
      </xdr:spPr>
    </xdr:pic>
    <xdr:clientData/>
  </xdr:twoCellAnchor>
  <xdr:twoCellAnchor editAs="oneCell">
    <xdr:from>
      <xdr:col>13</xdr:col>
      <xdr:colOff>107320</xdr:colOff>
      <xdr:row>48</xdr:row>
      <xdr:rowOff>57150</xdr:rowOff>
    </xdr:from>
    <xdr:to>
      <xdr:col>18</xdr:col>
      <xdr:colOff>627731</xdr:colOff>
      <xdr:row>56</xdr:row>
      <xdr:rowOff>38100</xdr:rowOff>
    </xdr:to>
    <xdr:pic>
      <xdr:nvPicPr>
        <xdr:cNvPr id="5" name="Picture 4">
          <a:extLst>
            <a:ext uri="{FF2B5EF4-FFF2-40B4-BE49-F238E27FC236}">
              <a16:creationId xmlns:a16="http://schemas.microsoft.com/office/drawing/2014/main" id="{9493974A-6DE0-1416-9359-A29F0C79CD68}"/>
            </a:ext>
          </a:extLst>
        </xdr:cNvPr>
        <xdr:cNvPicPr>
          <a:picLocks noChangeAspect="1"/>
        </xdr:cNvPicPr>
      </xdr:nvPicPr>
      <xdr:blipFill>
        <a:blip xmlns:r="http://schemas.openxmlformats.org/officeDocument/2006/relationships" r:embed="rId4"/>
        <a:stretch>
          <a:fillRect/>
        </a:stretch>
      </xdr:blipFill>
      <xdr:spPr>
        <a:xfrm>
          <a:off x="9022720" y="8420100"/>
          <a:ext cx="4178011" cy="1428750"/>
        </a:xfrm>
        <a:prstGeom prst="rect">
          <a:avLst/>
        </a:prstGeom>
      </xdr:spPr>
    </xdr:pic>
    <xdr:clientData/>
  </xdr:twoCellAnchor>
  <xdr:twoCellAnchor editAs="oneCell">
    <xdr:from>
      <xdr:col>12</xdr:col>
      <xdr:colOff>600075</xdr:colOff>
      <xdr:row>57</xdr:row>
      <xdr:rowOff>142875</xdr:rowOff>
    </xdr:from>
    <xdr:to>
      <xdr:col>15</xdr:col>
      <xdr:colOff>523627</xdr:colOff>
      <xdr:row>63</xdr:row>
      <xdr:rowOff>104640</xdr:rowOff>
    </xdr:to>
    <xdr:pic>
      <xdr:nvPicPr>
        <xdr:cNvPr id="7" name="Picture 6">
          <a:extLst>
            <a:ext uri="{FF2B5EF4-FFF2-40B4-BE49-F238E27FC236}">
              <a16:creationId xmlns:a16="http://schemas.microsoft.com/office/drawing/2014/main" id="{383BD51F-4378-BF69-617F-06B779338592}"/>
            </a:ext>
          </a:extLst>
        </xdr:cNvPr>
        <xdr:cNvPicPr>
          <a:picLocks noChangeAspect="1"/>
        </xdr:cNvPicPr>
      </xdr:nvPicPr>
      <xdr:blipFill>
        <a:blip xmlns:r="http://schemas.openxmlformats.org/officeDocument/2006/relationships" r:embed="rId5"/>
        <a:stretch>
          <a:fillRect/>
        </a:stretch>
      </xdr:blipFill>
      <xdr:spPr>
        <a:xfrm>
          <a:off x="8829675" y="10134600"/>
          <a:ext cx="1980952" cy="1076190"/>
        </a:xfrm>
        <a:prstGeom prst="rect">
          <a:avLst/>
        </a:prstGeom>
      </xdr:spPr>
    </xdr:pic>
    <xdr:clientData/>
  </xdr:twoCellAnchor>
  <xdr:twoCellAnchor editAs="oneCell">
    <xdr:from>
      <xdr:col>15</xdr:col>
      <xdr:colOff>523875</xdr:colOff>
      <xdr:row>57</xdr:row>
      <xdr:rowOff>142875</xdr:rowOff>
    </xdr:from>
    <xdr:to>
      <xdr:col>17</xdr:col>
      <xdr:colOff>361770</xdr:colOff>
      <xdr:row>63</xdr:row>
      <xdr:rowOff>133212</xdr:rowOff>
    </xdr:to>
    <xdr:pic>
      <xdr:nvPicPr>
        <xdr:cNvPr id="8" name="Picture 7">
          <a:extLst>
            <a:ext uri="{FF2B5EF4-FFF2-40B4-BE49-F238E27FC236}">
              <a16:creationId xmlns:a16="http://schemas.microsoft.com/office/drawing/2014/main" id="{9098D2CC-2757-A052-1F60-CA9B300D551F}"/>
            </a:ext>
          </a:extLst>
        </xdr:cNvPr>
        <xdr:cNvPicPr>
          <a:picLocks noChangeAspect="1"/>
        </xdr:cNvPicPr>
      </xdr:nvPicPr>
      <xdr:blipFill>
        <a:blip xmlns:r="http://schemas.openxmlformats.org/officeDocument/2006/relationships" r:embed="rId6"/>
        <a:stretch>
          <a:fillRect/>
        </a:stretch>
      </xdr:blipFill>
      <xdr:spPr>
        <a:xfrm>
          <a:off x="10810875" y="10134600"/>
          <a:ext cx="1438095" cy="1104762"/>
        </a:xfrm>
        <a:prstGeom prst="rect">
          <a:avLst/>
        </a:prstGeom>
      </xdr:spPr>
    </xdr:pic>
    <xdr:clientData/>
  </xdr:twoCellAnchor>
  <xdr:twoCellAnchor editAs="oneCell">
    <xdr:from>
      <xdr:col>0</xdr:col>
      <xdr:colOff>219076</xdr:colOff>
      <xdr:row>70</xdr:row>
      <xdr:rowOff>142875</xdr:rowOff>
    </xdr:from>
    <xdr:to>
      <xdr:col>10</xdr:col>
      <xdr:colOff>466726</xdr:colOff>
      <xdr:row>79</xdr:row>
      <xdr:rowOff>171221</xdr:rowOff>
    </xdr:to>
    <xdr:pic>
      <xdr:nvPicPr>
        <xdr:cNvPr id="9" name="Picture 8">
          <a:extLst>
            <a:ext uri="{FF2B5EF4-FFF2-40B4-BE49-F238E27FC236}">
              <a16:creationId xmlns:a16="http://schemas.microsoft.com/office/drawing/2014/main" id="{D7614066-A700-76A4-0D21-B3FE995F9C9B}"/>
            </a:ext>
          </a:extLst>
        </xdr:cNvPr>
        <xdr:cNvPicPr>
          <a:picLocks noChangeAspect="1"/>
        </xdr:cNvPicPr>
      </xdr:nvPicPr>
      <xdr:blipFill>
        <a:blip xmlns:r="http://schemas.openxmlformats.org/officeDocument/2006/relationships" r:embed="rId7"/>
        <a:stretch>
          <a:fillRect/>
        </a:stretch>
      </xdr:blipFill>
      <xdr:spPr>
        <a:xfrm>
          <a:off x="219076" y="13087350"/>
          <a:ext cx="7105650" cy="1828571"/>
        </a:xfrm>
        <a:prstGeom prst="rect">
          <a:avLst/>
        </a:prstGeom>
      </xdr:spPr>
    </xdr:pic>
    <xdr:clientData/>
  </xdr:twoCellAnchor>
  <xdr:twoCellAnchor>
    <xdr:from>
      <xdr:col>20</xdr:col>
      <xdr:colOff>414337</xdr:colOff>
      <xdr:row>66</xdr:row>
      <xdr:rowOff>161925</xdr:rowOff>
    </xdr:from>
    <xdr:to>
      <xdr:col>26</xdr:col>
      <xdr:colOff>414337</xdr:colOff>
      <xdr:row>80</xdr:row>
      <xdr:rowOff>114300</xdr:rowOff>
    </xdr:to>
    <xdr:graphicFrame macro="">
      <xdr:nvGraphicFramePr>
        <xdr:cNvPr id="10" name="Chart 9">
          <a:extLst>
            <a:ext uri="{FF2B5EF4-FFF2-40B4-BE49-F238E27FC236}">
              <a16:creationId xmlns:a16="http://schemas.microsoft.com/office/drawing/2014/main" id="{6190A308-2064-D09B-73B6-0507D7239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209550</xdr:colOff>
      <xdr:row>66</xdr:row>
      <xdr:rowOff>123825</xdr:rowOff>
    </xdr:from>
    <xdr:to>
      <xdr:col>20</xdr:col>
      <xdr:colOff>295275</xdr:colOff>
      <xdr:row>80</xdr:row>
      <xdr:rowOff>57150</xdr:rowOff>
    </xdr:to>
    <xdr:graphicFrame macro="">
      <xdr:nvGraphicFramePr>
        <xdr:cNvPr id="11" name="Chart 10">
          <a:extLst>
            <a:ext uri="{FF2B5EF4-FFF2-40B4-BE49-F238E27FC236}">
              <a16:creationId xmlns:a16="http://schemas.microsoft.com/office/drawing/2014/main" id="{0338570F-A8CE-24AA-C060-094380F652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11</xdr:col>
      <xdr:colOff>47624</xdr:colOff>
      <xdr:row>84</xdr:row>
      <xdr:rowOff>38100</xdr:rowOff>
    </xdr:from>
    <xdr:to>
      <xdr:col>18</xdr:col>
      <xdr:colOff>561975</xdr:colOff>
      <xdr:row>101</xdr:row>
      <xdr:rowOff>66166</xdr:rowOff>
    </xdr:to>
    <xdr:pic>
      <xdr:nvPicPr>
        <xdr:cNvPr id="13" name="Picture 12">
          <a:extLst>
            <a:ext uri="{FF2B5EF4-FFF2-40B4-BE49-F238E27FC236}">
              <a16:creationId xmlns:a16="http://schemas.microsoft.com/office/drawing/2014/main" id="{96F61660-E051-7F22-35D7-1C8C129DC4C2}"/>
            </a:ext>
          </a:extLst>
        </xdr:cNvPr>
        <xdr:cNvPicPr>
          <a:picLocks noChangeAspect="1"/>
        </xdr:cNvPicPr>
      </xdr:nvPicPr>
      <xdr:blipFill>
        <a:blip xmlns:r="http://schemas.openxmlformats.org/officeDocument/2006/relationships" r:embed="rId10"/>
        <a:stretch>
          <a:fillRect/>
        </a:stretch>
      </xdr:blipFill>
      <xdr:spPr>
        <a:xfrm>
          <a:off x="7591424" y="15697200"/>
          <a:ext cx="5543551" cy="3104641"/>
        </a:xfrm>
        <a:prstGeom prst="rect">
          <a:avLst/>
        </a:prstGeom>
      </xdr:spPr>
    </xdr:pic>
    <xdr:clientData/>
  </xdr:twoCellAnchor>
  <xdr:twoCellAnchor editAs="oneCell">
    <xdr:from>
      <xdr:col>10</xdr:col>
      <xdr:colOff>672011</xdr:colOff>
      <xdr:row>103</xdr:row>
      <xdr:rowOff>28575</xdr:rowOff>
    </xdr:from>
    <xdr:to>
      <xdr:col>19</xdr:col>
      <xdr:colOff>142875</xdr:colOff>
      <xdr:row>124</xdr:row>
      <xdr:rowOff>168161</xdr:rowOff>
    </xdr:to>
    <xdr:pic>
      <xdr:nvPicPr>
        <xdr:cNvPr id="15" name="Picture 14">
          <a:extLst>
            <a:ext uri="{FF2B5EF4-FFF2-40B4-BE49-F238E27FC236}">
              <a16:creationId xmlns:a16="http://schemas.microsoft.com/office/drawing/2014/main" id="{002EB760-4B40-0737-9033-B6DC5D6059A1}"/>
            </a:ext>
          </a:extLst>
        </xdr:cNvPr>
        <xdr:cNvPicPr>
          <a:picLocks noChangeAspect="1"/>
        </xdr:cNvPicPr>
      </xdr:nvPicPr>
      <xdr:blipFill>
        <a:blip xmlns:r="http://schemas.openxmlformats.org/officeDocument/2006/relationships" r:embed="rId11"/>
        <a:stretch>
          <a:fillRect/>
        </a:stretch>
      </xdr:blipFill>
      <xdr:spPr>
        <a:xfrm>
          <a:off x="7530011" y="19126200"/>
          <a:ext cx="5871664" cy="3949586"/>
        </a:xfrm>
        <a:prstGeom prst="rect">
          <a:avLst/>
        </a:prstGeom>
      </xdr:spPr>
    </xdr:pic>
    <xdr:clientData/>
  </xdr:twoCellAnchor>
  <xdr:twoCellAnchor editAs="oneCell">
    <xdr:from>
      <xdr:col>11</xdr:col>
      <xdr:colOff>38909</xdr:colOff>
      <xdr:row>127</xdr:row>
      <xdr:rowOff>38100</xdr:rowOff>
    </xdr:from>
    <xdr:to>
      <xdr:col>19</xdr:col>
      <xdr:colOff>208667</xdr:colOff>
      <xdr:row>148</xdr:row>
      <xdr:rowOff>76200</xdr:rowOff>
    </xdr:to>
    <xdr:pic>
      <xdr:nvPicPr>
        <xdr:cNvPr id="16" name="Picture 15">
          <a:extLst>
            <a:ext uri="{FF2B5EF4-FFF2-40B4-BE49-F238E27FC236}">
              <a16:creationId xmlns:a16="http://schemas.microsoft.com/office/drawing/2014/main" id="{35CE9FA2-26DD-C827-D980-8BF9B0916F7B}"/>
            </a:ext>
          </a:extLst>
        </xdr:cNvPr>
        <xdr:cNvPicPr>
          <a:picLocks noChangeAspect="1"/>
        </xdr:cNvPicPr>
      </xdr:nvPicPr>
      <xdr:blipFill>
        <a:blip xmlns:r="http://schemas.openxmlformats.org/officeDocument/2006/relationships" r:embed="rId12"/>
        <a:stretch>
          <a:fillRect/>
        </a:stretch>
      </xdr:blipFill>
      <xdr:spPr>
        <a:xfrm>
          <a:off x="7582709" y="23488650"/>
          <a:ext cx="5884758" cy="3838575"/>
        </a:xfrm>
        <a:prstGeom prst="rect">
          <a:avLst/>
        </a:prstGeom>
      </xdr:spPr>
    </xdr:pic>
    <xdr:clientData/>
  </xdr:twoCellAnchor>
  <xdr:twoCellAnchor editAs="oneCell">
    <xdr:from>
      <xdr:col>10</xdr:col>
      <xdr:colOff>660922</xdr:colOff>
      <xdr:row>151</xdr:row>
      <xdr:rowOff>38100</xdr:rowOff>
    </xdr:from>
    <xdr:to>
      <xdr:col>21</xdr:col>
      <xdr:colOff>74040</xdr:colOff>
      <xdr:row>170</xdr:row>
      <xdr:rowOff>179932</xdr:rowOff>
    </xdr:to>
    <xdr:pic>
      <xdr:nvPicPr>
        <xdr:cNvPr id="17" name="Picture 16">
          <a:extLst>
            <a:ext uri="{FF2B5EF4-FFF2-40B4-BE49-F238E27FC236}">
              <a16:creationId xmlns:a16="http://schemas.microsoft.com/office/drawing/2014/main" id="{A5FD874B-C4BA-5510-7F69-DB81DBAA33C7}"/>
            </a:ext>
          </a:extLst>
        </xdr:cNvPr>
        <xdr:cNvPicPr>
          <a:picLocks noChangeAspect="1"/>
        </xdr:cNvPicPr>
      </xdr:nvPicPr>
      <xdr:blipFill>
        <a:blip xmlns:r="http://schemas.openxmlformats.org/officeDocument/2006/relationships" r:embed="rId13"/>
        <a:stretch>
          <a:fillRect/>
        </a:stretch>
      </xdr:blipFill>
      <xdr:spPr>
        <a:xfrm>
          <a:off x="7518922" y="27832050"/>
          <a:ext cx="7414118" cy="35803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112833</xdr:colOff>
      <xdr:row>1</xdr:row>
      <xdr:rowOff>142875</xdr:rowOff>
    </xdr:from>
    <xdr:to>
      <xdr:col>21</xdr:col>
      <xdr:colOff>241789</xdr:colOff>
      <xdr:row>22</xdr:row>
      <xdr:rowOff>9525</xdr:rowOff>
    </xdr:to>
    <xdr:pic>
      <xdr:nvPicPr>
        <xdr:cNvPr id="2" name="Picture 1" descr="Business Life Cycle - Understanding the 5 Different Stages">
          <a:extLst>
            <a:ext uri="{FF2B5EF4-FFF2-40B4-BE49-F238E27FC236}">
              <a16:creationId xmlns:a16="http://schemas.microsoft.com/office/drawing/2014/main" id="{C1309636-655E-47AC-B5AE-E08C26F0F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28233" y="323850"/>
          <a:ext cx="5615357" cy="3743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464269</xdr:colOff>
      <xdr:row>16</xdr:row>
      <xdr:rowOff>209551</xdr:rowOff>
    </xdr:from>
    <xdr:to>
      <xdr:col>8</xdr:col>
      <xdr:colOff>206188</xdr:colOff>
      <xdr:row>39</xdr:row>
      <xdr:rowOff>1608</xdr:rowOff>
    </xdr:to>
    <xdr:pic>
      <xdr:nvPicPr>
        <xdr:cNvPr id="4" name="Picture 3">
          <a:extLst>
            <a:ext uri="{FF2B5EF4-FFF2-40B4-BE49-F238E27FC236}">
              <a16:creationId xmlns:a16="http://schemas.microsoft.com/office/drawing/2014/main" id="{A5AA5A4A-5BAD-DCB9-8C75-3050C34DB4B6}"/>
            </a:ext>
          </a:extLst>
        </xdr:cNvPr>
        <xdr:cNvPicPr>
          <a:picLocks noChangeAspect="1"/>
        </xdr:cNvPicPr>
      </xdr:nvPicPr>
      <xdr:blipFill>
        <a:blip xmlns:r="http://schemas.openxmlformats.org/officeDocument/2006/relationships" r:embed="rId2"/>
        <a:stretch>
          <a:fillRect/>
        </a:stretch>
      </xdr:blipFill>
      <xdr:spPr>
        <a:xfrm>
          <a:off x="464269" y="3133726"/>
          <a:ext cx="6422306" cy="4000426"/>
        </a:xfrm>
        <a:prstGeom prst="rect">
          <a:avLst/>
        </a:prstGeom>
      </xdr:spPr>
    </xdr:pic>
    <xdr:clientData/>
  </xdr:twoCellAnchor>
  <xdr:twoCellAnchor editAs="oneCell">
    <xdr:from>
      <xdr:col>11</xdr:col>
      <xdr:colOff>154920</xdr:colOff>
      <xdr:row>46</xdr:row>
      <xdr:rowOff>47626</xdr:rowOff>
    </xdr:from>
    <xdr:to>
      <xdr:col>24</xdr:col>
      <xdr:colOff>560377</xdr:colOff>
      <xdr:row>66</xdr:row>
      <xdr:rowOff>9526</xdr:rowOff>
    </xdr:to>
    <xdr:pic>
      <xdr:nvPicPr>
        <xdr:cNvPr id="6" name="Picture 5">
          <a:extLst>
            <a:ext uri="{FF2B5EF4-FFF2-40B4-BE49-F238E27FC236}">
              <a16:creationId xmlns:a16="http://schemas.microsoft.com/office/drawing/2014/main" id="{C39E5561-4BCA-C793-D6BA-6DDF1E5EBF7D}"/>
            </a:ext>
          </a:extLst>
        </xdr:cNvPr>
        <xdr:cNvPicPr>
          <a:picLocks noChangeAspect="1"/>
        </xdr:cNvPicPr>
      </xdr:nvPicPr>
      <xdr:blipFill>
        <a:blip xmlns:r="http://schemas.openxmlformats.org/officeDocument/2006/relationships" r:embed="rId3"/>
        <a:stretch>
          <a:fillRect/>
        </a:stretch>
      </xdr:blipFill>
      <xdr:spPr>
        <a:xfrm>
          <a:off x="7698720" y="8515351"/>
          <a:ext cx="9320857" cy="3600450"/>
        </a:xfrm>
        <a:prstGeom prst="rect">
          <a:avLst/>
        </a:prstGeom>
      </xdr:spPr>
    </xdr:pic>
    <xdr:clientData/>
  </xdr:twoCellAnchor>
  <xdr:absoluteAnchor>
    <xdr:pos x="7934325" y="12420599"/>
    <xdr:ext cx="9372600" cy="4343401"/>
    <xdr:graphicFrame macro="">
      <xdr:nvGraphicFramePr>
        <xdr:cNvPr id="7" name="Chart 6">
          <a:extLst>
            <a:ext uri="{FF2B5EF4-FFF2-40B4-BE49-F238E27FC236}">
              <a16:creationId xmlns:a16="http://schemas.microsoft.com/office/drawing/2014/main" id="{9F8949C0-1DD8-41FE-B31A-C5672296ABA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9</xdr:col>
      <xdr:colOff>633692</xdr:colOff>
      <xdr:row>95</xdr:row>
      <xdr:rowOff>17369</xdr:rowOff>
    </xdr:from>
    <xdr:to>
      <xdr:col>28</xdr:col>
      <xdr:colOff>552888</xdr:colOff>
      <xdr:row>99</xdr:row>
      <xdr:rowOff>10487</xdr:rowOff>
    </xdr:to>
    <xdr:pic>
      <xdr:nvPicPr>
        <xdr:cNvPr id="3" name="Picture 2">
          <a:extLst>
            <a:ext uri="{FF2B5EF4-FFF2-40B4-BE49-F238E27FC236}">
              <a16:creationId xmlns:a16="http://schemas.microsoft.com/office/drawing/2014/main" id="{3344FEBF-F2B2-1BB9-91D7-D9A12A8C8E3A}"/>
            </a:ext>
          </a:extLst>
        </xdr:cNvPr>
        <xdr:cNvPicPr>
          <a:picLocks noChangeAspect="1"/>
        </xdr:cNvPicPr>
      </xdr:nvPicPr>
      <xdr:blipFill>
        <a:blip xmlns:r="http://schemas.openxmlformats.org/officeDocument/2006/relationships" r:embed="rId5"/>
        <a:stretch>
          <a:fillRect/>
        </a:stretch>
      </xdr:blipFill>
      <xdr:spPr>
        <a:xfrm>
          <a:off x="7088280" y="17296840"/>
          <a:ext cx="13052490" cy="721500"/>
        </a:xfrm>
        <a:prstGeom prst="rect">
          <a:avLst/>
        </a:prstGeom>
      </xdr:spPr>
    </xdr:pic>
    <xdr:clientData/>
  </xdr:twoCellAnchor>
  <xdr:twoCellAnchor editAs="oneCell">
    <xdr:from>
      <xdr:col>10</xdr:col>
      <xdr:colOff>179854</xdr:colOff>
      <xdr:row>101</xdr:row>
      <xdr:rowOff>174252</xdr:rowOff>
    </xdr:from>
    <xdr:to>
      <xdr:col>28</xdr:col>
      <xdr:colOff>230394</xdr:colOff>
      <xdr:row>103</xdr:row>
      <xdr:rowOff>71126</xdr:rowOff>
    </xdr:to>
    <xdr:pic>
      <xdr:nvPicPr>
        <xdr:cNvPr id="5" name="Picture 4">
          <a:extLst>
            <a:ext uri="{FF2B5EF4-FFF2-40B4-BE49-F238E27FC236}">
              <a16:creationId xmlns:a16="http://schemas.microsoft.com/office/drawing/2014/main" id="{98FF2DA9-BAE2-E180-BCA8-A2B68E41BA23}"/>
            </a:ext>
          </a:extLst>
        </xdr:cNvPr>
        <xdr:cNvPicPr>
          <a:picLocks noChangeAspect="1"/>
        </xdr:cNvPicPr>
      </xdr:nvPicPr>
      <xdr:blipFill>
        <a:blip xmlns:r="http://schemas.openxmlformats.org/officeDocument/2006/relationships" r:embed="rId6"/>
        <a:stretch>
          <a:fillRect/>
        </a:stretch>
      </xdr:blipFill>
      <xdr:spPr>
        <a:xfrm>
          <a:off x="7318001" y="18540693"/>
          <a:ext cx="12500275" cy="255462"/>
        </a:xfrm>
        <a:prstGeom prst="rect">
          <a:avLst/>
        </a:prstGeom>
      </xdr:spPr>
    </xdr:pic>
    <xdr:clientData/>
  </xdr:twoCellAnchor>
  <xdr:twoCellAnchor editAs="oneCell">
    <xdr:from>
      <xdr:col>10</xdr:col>
      <xdr:colOff>200585</xdr:colOff>
      <xdr:row>103</xdr:row>
      <xdr:rowOff>50427</xdr:rowOff>
    </xdr:from>
    <xdr:to>
      <xdr:col>28</xdr:col>
      <xdr:colOff>215271</xdr:colOff>
      <xdr:row>104</xdr:row>
      <xdr:rowOff>126595</xdr:rowOff>
    </xdr:to>
    <xdr:pic>
      <xdr:nvPicPr>
        <xdr:cNvPr id="8" name="Picture 7">
          <a:extLst>
            <a:ext uri="{FF2B5EF4-FFF2-40B4-BE49-F238E27FC236}">
              <a16:creationId xmlns:a16="http://schemas.microsoft.com/office/drawing/2014/main" id="{D2A64823-D014-4D70-9BEC-B01156A39545}"/>
            </a:ext>
          </a:extLst>
        </xdr:cNvPr>
        <xdr:cNvPicPr>
          <a:picLocks noChangeAspect="1"/>
        </xdr:cNvPicPr>
      </xdr:nvPicPr>
      <xdr:blipFill>
        <a:blip xmlns:r="http://schemas.openxmlformats.org/officeDocument/2006/relationships" r:embed="rId7"/>
        <a:stretch>
          <a:fillRect/>
        </a:stretch>
      </xdr:blipFill>
      <xdr:spPr>
        <a:xfrm>
          <a:off x="7338732" y="18775456"/>
          <a:ext cx="12464421" cy="255463"/>
        </a:xfrm>
        <a:prstGeom prst="rect">
          <a:avLst/>
        </a:prstGeom>
      </xdr:spPr>
    </xdr:pic>
    <xdr:clientData/>
  </xdr:twoCellAnchor>
  <xdr:twoCellAnchor editAs="oneCell">
    <xdr:from>
      <xdr:col>2</xdr:col>
      <xdr:colOff>676275</xdr:colOff>
      <xdr:row>107</xdr:row>
      <xdr:rowOff>114300</xdr:rowOff>
    </xdr:from>
    <xdr:to>
      <xdr:col>8</xdr:col>
      <xdr:colOff>82456</xdr:colOff>
      <xdr:row>108</xdr:row>
      <xdr:rowOff>160244</xdr:rowOff>
    </xdr:to>
    <xdr:pic>
      <xdr:nvPicPr>
        <xdr:cNvPr id="9" name="Picture 8">
          <a:extLst>
            <a:ext uri="{FF2B5EF4-FFF2-40B4-BE49-F238E27FC236}">
              <a16:creationId xmlns:a16="http://schemas.microsoft.com/office/drawing/2014/main" id="{35E28184-A0B7-4CCF-A76E-83D11448128A}"/>
            </a:ext>
          </a:extLst>
        </xdr:cNvPr>
        <xdr:cNvPicPr>
          <a:picLocks noChangeAspect="1"/>
        </xdr:cNvPicPr>
      </xdr:nvPicPr>
      <xdr:blipFill>
        <a:blip xmlns:r="http://schemas.openxmlformats.org/officeDocument/2006/relationships" r:embed="rId8"/>
        <a:stretch>
          <a:fillRect/>
        </a:stretch>
      </xdr:blipFill>
      <xdr:spPr>
        <a:xfrm>
          <a:off x="2047875" y="19726275"/>
          <a:ext cx="4419693" cy="238125"/>
        </a:xfrm>
        <a:prstGeom prst="rect">
          <a:avLst/>
        </a:prstGeom>
      </xdr:spPr>
    </xdr:pic>
    <xdr:clientData/>
  </xdr:twoCellAnchor>
  <xdr:twoCellAnchor editAs="oneCell">
    <xdr:from>
      <xdr:col>2</xdr:col>
      <xdr:colOff>654983</xdr:colOff>
      <xdr:row>109</xdr:row>
      <xdr:rowOff>6724</xdr:rowOff>
    </xdr:from>
    <xdr:to>
      <xdr:col>8</xdr:col>
      <xdr:colOff>246512</xdr:colOff>
      <xdr:row>110</xdr:row>
      <xdr:rowOff>11180</xdr:rowOff>
    </xdr:to>
    <xdr:pic>
      <xdr:nvPicPr>
        <xdr:cNvPr id="10" name="Picture 9">
          <a:extLst>
            <a:ext uri="{FF2B5EF4-FFF2-40B4-BE49-F238E27FC236}">
              <a16:creationId xmlns:a16="http://schemas.microsoft.com/office/drawing/2014/main" id="{5DD3F7EF-03D8-4236-9EFF-A5F72CE67955}"/>
            </a:ext>
          </a:extLst>
        </xdr:cNvPr>
        <xdr:cNvPicPr>
          <a:picLocks noChangeAspect="1"/>
        </xdr:cNvPicPr>
      </xdr:nvPicPr>
      <xdr:blipFill>
        <a:blip xmlns:r="http://schemas.openxmlformats.org/officeDocument/2006/relationships" r:embed="rId9"/>
        <a:stretch>
          <a:fillRect/>
        </a:stretch>
      </xdr:blipFill>
      <xdr:spPr>
        <a:xfrm>
          <a:off x="2324659" y="19818724"/>
          <a:ext cx="4589353" cy="206162"/>
        </a:xfrm>
        <a:prstGeom prst="rect">
          <a:avLst/>
        </a:prstGeom>
      </xdr:spPr>
    </xdr:pic>
    <xdr:clientData/>
  </xdr:twoCellAnchor>
  <xdr:twoCellAnchor>
    <xdr:from>
      <xdr:col>0</xdr:col>
      <xdr:colOff>112056</xdr:colOff>
      <xdr:row>111</xdr:row>
      <xdr:rowOff>79561</xdr:rowOff>
    </xdr:from>
    <xdr:to>
      <xdr:col>6</xdr:col>
      <xdr:colOff>22409</xdr:colOff>
      <xdr:row>125</xdr:row>
      <xdr:rowOff>32496</xdr:rowOff>
    </xdr:to>
    <xdr:graphicFrame macro="">
      <xdr:nvGraphicFramePr>
        <xdr:cNvPr id="11" name="Chart 10">
          <a:extLst>
            <a:ext uri="{FF2B5EF4-FFF2-40B4-BE49-F238E27FC236}">
              <a16:creationId xmlns:a16="http://schemas.microsoft.com/office/drawing/2014/main" id="{05081E4E-9BC7-7931-073F-48DD615CCF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358588</xdr:colOff>
      <xdr:row>111</xdr:row>
      <xdr:rowOff>45945</xdr:rowOff>
    </xdr:from>
    <xdr:to>
      <xdr:col>15</xdr:col>
      <xdr:colOff>649942</xdr:colOff>
      <xdr:row>125</xdr:row>
      <xdr:rowOff>11206</xdr:rowOff>
    </xdr:to>
    <xdr:graphicFrame macro="">
      <xdr:nvGraphicFramePr>
        <xdr:cNvPr id="12" name="Chart 11">
          <a:extLst>
            <a:ext uri="{FF2B5EF4-FFF2-40B4-BE49-F238E27FC236}">
              <a16:creationId xmlns:a16="http://schemas.microsoft.com/office/drawing/2014/main" id="{6C704664-86A9-3574-158C-42ED3AF410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0</xdr:colOff>
      <xdr:row>135</xdr:row>
      <xdr:rowOff>158001</xdr:rowOff>
    </xdr:from>
    <xdr:to>
      <xdr:col>8</xdr:col>
      <xdr:colOff>235323</xdr:colOff>
      <xdr:row>152</xdr:row>
      <xdr:rowOff>22411</xdr:rowOff>
    </xdr:to>
    <xdr:graphicFrame macro="">
      <xdr:nvGraphicFramePr>
        <xdr:cNvPr id="14" name="Chart 13">
          <a:extLst>
            <a:ext uri="{FF2B5EF4-FFF2-40B4-BE49-F238E27FC236}">
              <a16:creationId xmlns:a16="http://schemas.microsoft.com/office/drawing/2014/main" id="{703A7DAB-2C98-4342-6FD2-41284012B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638735</xdr:colOff>
      <xdr:row>136</xdr:row>
      <xdr:rowOff>22411</xdr:rowOff>
    </xdr:from>
    <xdr:to>
      <xdr:col>16</xdr:col>
      <xdr:colOff>100854</xdr:colOff>
      <xdr:row>152</xdr:row>
      <xdr:rowOff>67235</xdr:rowOff>
    </xdr:to>
    <xdr:graphicFrame macro="">
      <xdr:nvGraphicFramePr>
        <xdr:cNvPr id="15" name="Chart 14">
          <a:extLst>
            <a:ext uri="{FF2B5EF4-FFF2-40B4-BE49-F238E27FC236}">
              <a16:creationId xmlns:a16="http://schemas.microsoft.com/office/drawing/2014/main" id="{073B6B19-FD3A-7C74-3A9A-18260D4D0A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493057</xdr:colOff>
      <xdr:row>135</xdr:row>
      <xdr:rowOff>113181</xdr:rowOff>
    </xdr:from>
    <xdr:to>
      <xdr:col>25</xdr:col>
      <xdr:colOff>201702</xdr:colOff>
      <xdr:row>151</xdr:row>
      <xdr:rowOff>134474</xdr:rowOff>
    </xdr:to>
    <xdr:graphicFrame macro="">
      <xdr:nvGraphicFramePr>
        <xdr:cNvPr id="16" name="Chart 15">
          <a:extLst>
            <a:ext uri="{FF2B5EF4-FFF2-40B4-BE49-F238E27FC236}">
              <a16:creationId xmlns:a16="http://schemas.microsoft.com/office/drawing/2014/main" id="{40000097-E508-4DFF-367E-37ED28986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212911</xdr:colOff>
      <xdr:row>111</xdr:row>
      <xdr:rowOff>23533</xdr:rowOff>
    </xdr:from>
    <xdr:to>
      <xdr:col>25</xdr:col>
      <xdr:colOff>56028</xdr:colOff>
      <xdr:row>125</xdr:row>
      <xdr:rowOff>112060</xdr:rowOff>
    </xdr:to>
    <xdr:graphicFrame macro="">
      <xdr:nvGraphicFramePr>
        <xdr:cNvPr id="17" name="Chart 16">
          <a:extLst>
            <a:ext uri="{FF2B5EF4-FFF2-40B4-BE49-F238E27FC236}">
              <a16:creationId xmlns:a16="http://schemas.microsoft.com/office/drawing/2014/main" id="{F7B7CCCF-948B-699B-1EE2-21C02D437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xdr:col>
      <xdr:colOff>0</xdr:colOff>
      <xdr:row>160</xdr:row>
      <xdr:rowOff>78441</xdr:rowOff>
    </xdr:from>
    <xdr:to>
      <xdr:col>8</xdr:col>
      <xdr:colOff>273202</xdr:colOff>
      <xdr:row>175</xdr:row>
      <xdr:rowOff>65219</xdr:rowOff>
    </xdr:to>
    <xdr:pic>
      <xdr:nvPicPr>
        <xdr:cNvPr id="18" name="Picture 17">
          <a:extLst>
            <a:ext uri="{FF2B5EF4-FFF2-40B4-BE49-F238E27FC236}">
              <a16:creationId xmlns:a16="http://schemas.microsoft.com/office/drawing/2014/main" id="{1AAC9B59-CC03-1F17-D297-03564B1AFA30}"/>
            </a:ext>
          </a:extLst>
        </xdr:cNvPr>
        <xdr:cNvPicPr>
          <a:picLocks noChangeAspect="1"/>
        </xdr:cNvPicPr>
      </xdr:nvPicPr>
      <xdr:blipFill>
        <a:blip xmlns:r="http://schemas.openxmlformats.org/officeDocument/2006/relationships" r:embed="rId16"/>
        <a:stretch>
          <a:fillRect/>
        </a:stretch>
      </xdr:blipFill>
      <xdr:spPr>
        <a:xfrm>
          <a:off x="683559" y="29684382"/>
          <a:ext cx="6257143" cy="2676190"/>
        </a:xfrm>
        <a:prstGeom prst="rect">
          <a:avLst/>
        </a:prstGeom>
      </xdr:spPr>
    </xdr:pic>
    <xdr:clientData/>
  </xdr:twoCellAnchor>
  <xdr:twoCellAnchor>
    <xdr:from>
      <xdr:col>0</xdr:col>
      <xdr:colOff>78440</xdr:colOff>
      <xdr:row>179</xdr:row>
      <xdr:rowOff>146796</xdr:rowOff>
    </xdr:from>
    <xdr:to>
      <xdr:col>8</xdr:col>
      <xdr:colOff>627529</xdr:colOff>
      <xdr:row>198</xdr:row>
      <xdr:rowOff>22411</xdr:rowOff>
    </xdr:to>
    <xdr:graphicFrame macro="">
      <xdr:nvGraphicFramePr>
        <xdr:cNvPr id="19" name="Chart 18">
          <a:extLst>
            <a:ext uri="{FF2B5EF4-FFF2-40B4-BE49-F238E27FC236}">
              <a16:creationId xmlns:a16="http://schemas.microsoft.com/office/drawing/2014/main" id="{353E796A-1CE2-F1A7-A2E6-4A42732CEF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9</xdr:col>
      <xdr:colOff>201707</xdr:colOff>
      <xdr:row>179</xdr:row>
      <xdr:rowOff>89647</xdr:rowOff>
    </xdr:from>
    <xdr:to>
      <xdr:col>19</xdr:col>
      <xdr:colOff>632786</xdr:colOff>
      <xdr:row>199</xdr:row>
      <xdr:rowOff>27573</xdr:rowOff>
    </xdr:to>
    <xdr:pic>
      <xdr:nvPicPr>
        <xdr:cNvPr id="21" name="Picture 20">
          <a:extLst>
            <a:ext uri="{FF2B5EF4-FFF2-40B4-BE49-F238E27FC236}">
              <a16:creationId xmlns:a16="http://schemas.microsoft.com/office/drawing/2014/main" id="{380A1937-5082-1F38-B4DF-C04FBFA18674}"/>
            </a:ext>
          </a:extLst>
        </xdr:cNvPr>
        <xdr:cNvPicPr>
          <a:picLocks noChangeAspect="1"/>
        </xdr:cNvPicPr>
      </xdr:nvPicPr>
      <xdr:blipFill>
        <a:blip xmlns:r="http://schemas.openxmlformats.org/officeDocument/2006/relationships" r:embed="rId18"/>
        <a:stretch>
          <a:fillRect/>
        </a:stretch>
      </xdr:blipFill>
      <xdr:spPr>
        <a:xfrm>
          <a:off x="6914031" y="33135794"/>
          <a:ext cx="7266667" cy="3523809"/>
        </a:xfrm>
        <a:prstGeom prst="rect">
          <a:avLst/>
        </a:prstGeom>
      </xdr:spPr>
    </xdr:pic>
    <xdr:clientData/>
  </xdr:twoCellAnchor>
  <xdr:twoCellAnchor>
    <xdr:from>
      <xdr:col>0</xdr:col>
      <xdr:colOff>420218</xdr:colOff>
      <xdr:row>202</xdr:row>
      <xdr:rowOff>79560</xdr:rowOff>
    </xdr:from>
    <xdr:to>
      <xdr:col>9</xdr:col>
      <xdr:colOff>414615</xdr:colOff>
      <xdr:row>224</xdr:row>
      <xdr:rowOff>44823</xdr:rowOff>
    </xdr:to>
    <xdr:graphicFrame macro="">
      <xdr:nvGraphicFramePr>
        <xdr:cNvPr id="22" name="Chart 21">
          <a:extLst>
            <a:ext uri="{FF2B5EF4-FFF2-40B4-BE49-F238E27FC236}">
              <a16:creationId xmlns:a16="http://schemas.microsoft.com/office/drawing/2014/main" id="{656D4D9E-3796-D9A7-07FD-478C16885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593911</xdr:colOff>
      <xdr:row>246</xdr:row>
      <xdr:rowOff>12325</xdr:rowOff>
    </xdr:from>
    <xdr:to>
      <xdr:col>15</xdr:col>
      <xdr:colOff>369792</xdr:colOff>
      <xdr:row>261</xdr:row>
      <xdr:rowOff>156882</xdr:rowOff>
    </xdr:to>
    <xdr:graphicFrame macro="">
      <xdr:nvGraphicFramePr>
        <xdr:cNvPr id="23" name="Chart 22">
          <a:extLst>
            <a:ext uri="{FF2B5EF4-FFF2-40B4-BE49-F238E27FC236}">
              <a16:creationId xmlns:a16="http://schemas.microsoft.com/office/drawing/2014/main" id="{CCED70B6-F6D1-B53E-6305-97487C88D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0.14454</cdr:x>
      <cdr:y>0.78401</cdr:y>
    </cdr:from>
    <cdr:to>
      <cdr:x>0.99421</cdr:x>
      <cdr:y>0.86438</cdr:y>
    </cdr:to>
    <cdr:sp macro="" textlink="">
      <cdr:nvSpPr>
        <cdr:cNvPr id="2" name="TextBox 1"/>
        <cdr:cNvSpPr txBox="1"/>
      </cdr:nvSpPr>
      <cdr:spPr>
        <a:xfrm xmlns:a="http://schemas.openxmlformats.org/drawingml/2006/main">
          <a:off x="1240480" y="4571147"/>
          <a:ext cx="7291971" cy="468594"/>
        </a:xfrm>
        <a:prstGeom xmlns:a="http://schemas.openxmlformats.org/drawingml/2006/main" prst="rect">
          <a:avLst/>
        </a:prstGeom>
      </cdr:spPr>
      <cdr:txBody>
        <a:bodyPr xmlns:a="http://schemas.openxmlformats.org/drawingml/2006/main" vertOverflow="clip" wrap="square" rtlCol="0">
          <a:spAutoFit/>
        </a:bodyPr>
        <a:lstStyle xmlns:a="http://schemas.openxmlformats.org/drawingml/2006/main"/>
        <a:p xmlns:a="http://schemas.openxmlformats.org/drawingml/2006/main">
          <a:r>
            <a:rPr lang="en-US" sz="1200"/>
            <a:t>The implied equity</a:t>
          </a:r>
          <a:r>
            <a:rPr lang="en-US" sz="1200" baseline="0"/>
            <a:t> risk premium is what stocks are priced to earn over and above the risk free rate. At the end of 2022, that premium was 5.94%, well above the historical average rate.</a:t>
          </a:r>
          <a:endParaRPr lang="en-US" sz="1200"/>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0</xdr:col>
      <xdr:colOff>571500</xdr:colOff>
      <xdr:row>29</xdr:row>
      <xdr:rowOff>123825</xdr:rowOff>
    </xdr:from>
    <xdr:to>
      <xdr:col>17</xdr:col>
      <xdr:colOff>579377</xdr:colOff>
      <xdr:row>48</xdr:row>
      <xdr:rowOff>28157</xdr:rowOff>
    </xdr:to>
    <xdr:pic>
      <xdr:nvPicPr>
        <xdr:cNvPr id="2" name="Picture 1">
          <a:extLst>
            <a:ext uri="{FF2B5EF4-FFF2-40B4-BE49-F238E27FC236}">
              <a16:creationId xmlns:a16="http://schemas.microsoft.com/office/drawing/2014/main" id="{1E46774B-52A4-5BEF-7876-1460FB2320EF}"/>
            </a:ext>
          </a:extLst>
        </xdr:cNvPr>
        <xdr:cNvPicPr>
          <a:picLocks noChangeAspect="1"/>
        </xdr:cNvPicPr>
      </xdr:nvPicPr>
      <xdr:blipFill>
        <a:blip xmlns:r="http://schemas.openxmlformats.org/officeDocument/2006/relationships" r:embed="rId1"/>
        <a:stretch>
          <a:fillRect/>
        </a:stretch>
      </xdr:blipFill>
      <xdr:spPr>
        <a:xfrm>
          <a:off x="571500" y="5438775"/>
          <a:ext cx="13180952" cy="3342857"/>
        </a:xfrm>
        <a:prstGeom prst="rect">
          <a:avLst/>
        </a:prstGeom>
      </xdr:spPr>
    </xdr:pic>
    <xdr:clientData/>
  </xdr:twoCellAnchor>
  <xdr:twoCellAnchor>
    <xdr:from>
      <xdr:col>5</xdr:col>
      <xdr:colOff>490537</xdr:colOff>
      <xdr:row>61</xdr:row>
      <xdr:rowOff>123825</xdr:rowOff>
    </xdr:from>
    <xdr:to>
      <xdr:col>12</xdr:col>
      <xdr:colOff>261937</xdr:colOff>
      <xdr:row>76</xdr:row>
      <xdr:rowOff>123825</xdr:rowOff>
    </xdr:to>
    <xdr:graphicFrame macro="">
      <xdr:nvGraphicFramePr>
        <xdr:cNvPr id="3" name="Chart 2">
          <a:extLst>
            <a:ext uri="{FF2B5EF4-FFF2-40B4-BE49-F238E27FC236}">
              <a16:creationId xmlns:a16="http://schemas.microsoft.com/office/drawing/2014/main" id="{E24267F4-0E3B-BCA5-988F-FC4CFD7A6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28575</xdr:colOff>
      <xdr:row>84</xdr:row>
      <xdr:rowOff>161926</xdr:rowOff>
    </xdr:from>
    <xdr:to>
      <xdr:col>16</xdr:col>
      <xdr:colOff>674044</xdr:colOff>
      <xdr:row>96</xdr:row>
      <xdr:rowOff>152516</xdr:rowOff>
    </xdr:to>
    <xdr:pic>
      <xdr:nvPicPr>
        <xdr:cNvPr id="6" name="Picture 5">
          <a:extLst>
            <a:ext uri="{FF2B5EF4-FFF2-40B4-BE49-F238E27FC236}">
              <a16:creationId xmlns:a16="http://schemas.microsoft.com/office/drawing/2014/main" id="{08F45EED-D5F4-F7C4-E083-E456C436C4CB}"/>
            </a:ext>
          </a:extLst>
        </xdr:cNvPr>
        <xdr:cNvPicPr>
          <a:picLocks noChangeAspect="1"/>
        </xdr:cNvPicPr>
      </xdr:nvPicPr>
      <xdr:blipFill>
        <a:blip xmlns:r="http://schemas.openxmlformats.org/officeDocument/2006/relationships" r:embed="rId3"/>
        <a:stretch>
          <a:fillRect/>
        </a:stretch>
      </xdr:blipFill>
      <xdr:spPr>
        <a:xfrm>
          <a:off x="28575" y="15487651"/>
          <a:ext cx="13113694" cy="2162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481011</xdr:colOff>
      <xdr:row>15</xdr:row>
      <xdr:rowOff>171449</xdr:rowOff>
    </xdr:from>
    <xdr:to>
      <xdr:col>7</xdr:col>
      <xdr:colOff>542924</xdr:colOff>
      <xdr:row>33</xdr:row>
      <xdr:rowOff>47624</xdr:rowOff>
    </xdr:to>
    <xdr:graphicFrame macro="">
      <xdr:nvGraphicFramePr>
        <xdr:cNvPr id="2" name="Chart 1">
          <a:extLst>
            <a:ext uri="{FF2B5EF4-FFF2-40B4-BE49-F238E27FC236}">
              <a16:creationId xmlns:a16="http://schemas.microsoft.com/office/drawing/2014/main" id="{969B96DA-7A53-39E1-13A9-0F2C03807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319087</xdr:colOff>
      <xdr:row>55</xdr:row>
      <xdr:rowOff>180974</xdr:rowOff>
    </xdr:from>
    <xdr:to>
      <xdr:col>10</xdr:col>
      <xdr:colOff>361951</xdr:colOff>
      <xdr:row>74</xdr:row>
      <xdr:rowOff>85724</xdr:rowOff>
    </xdr:to>
    <xdr:graphicFrame macro="">
      <xdr:nvGraphicFramePr>
        <xdr:cNvPr id="2" name="Chart 1">
          <a:extLst>
            <a:ext uri="{FF2B5EF4-FFF2-40B4-BE49-F238E27FC236}">
              <a16:creationId xmlns:a16="http://schemas.microsoft.com/office/drawing/2014/main" id="{7D88859F-B898-3A3E-0E71-65DF1E7204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104775</xdr:colOff>
      <xdr:row>74</xdr:row>
      <xdr:rowOff>57149</xdr:rowOff>
    </xdr:from>
    <xdr:to>
      <xdr:col>21</xdr:col>
      <xdr:colOff>28575</xdr:colOff>
      <xdr:row>92</xdr:row>
      <xdr:rowOff>161925</xdr:rowOff>
    </xdr:to>
    <xdr:graphicFrame macro="">
      <xdr:nvGraphicFramePr>
        <xdr:cNvPr id="3" name="Chart 2">
          <a:extLst>
            <a:ext uri="{FF2B5EF4-FFF2-40B4-BE49-F238E27FC236}">
              <a16:creationId xmlns:a16="http://schemas.microsoft.com/office/drawing/2014/main" id="{908281A5-85F7-B9BF-C582-7EA1DDAF0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23812</xdr:colOff>
      <xdr:row>75</xdr:row>
      <xdr:rowOff>57149</xdr:rowOff>
    </xdr:from>
    <xdr:to>
      <xdr:col>10</xdr:col>
      <xdr:colOff>390525</xdr:colOff>
      <xdr:row>92</xdr:row>
      <xdr:rowOff>85725</xdr:rowOff>
    </xdr:to>
    <xdr:graphicFrame macro="">
      <xdr:nvGraphicFramePr>
        <xdr:cNvPr id="4" name="Chart 3">
          <a:extLst>
            <a:ext uri="{FF2B5EF4-FFF2-40B4-BE49-F238E27FC236}">
              <a16:creationId xmlns:a16="http://schemas.microsoft.com/office/drawing/2014/main" id="{86991AC0-7E57-EAB6-32E0-2C98D3FA9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528637</xdr:colOff>
      <xdr:row>94</xdr:row>
      <xdr:rowOff>114299</xdr:rowOff>
    </xdr:from>
    <xdr:to>
      <xdr:col>10</xdr:col>
      <xdr:colOff>352425</xdr:colOff>
      <xdr:row>110</xdr:row>
      <xdr:rowOff>180974</xdr:rowOff>
    </xdr:to>
    <xdr:graphicFrame macro="">
      <xdr:nvGraphicFramePr>
        <xdr:cNvPr id="5" name="Chart 4">
          <a:extLst>
            <a:ext uri="{FF2B5EF4-FFF2-40B4-BE49-F238E27FC236}">
              <a16:creationId xmlns:a16="http://schemas.microsoft.com/office/drawing/2014/main" id="{5B6FC50B-A3CC-FF57-708F-5EE8F2B960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104774</xdr:colOff>
      <xdr:row>93</xdr:row>
      <xdr:rowOff>142874</xdr:rowOff>
    </xdr:from>
    <xdr:to>
      <xdr:col>21</xdr:col>
      <xdr:colOff>514349</xdr:colOff>
      <xdr:row>110</xdr:row>
      <xdr:rowOff>180974</xdr:rowOff>
    </xdr:to>
    <xdr:graphicFrame macro="">
      <xdr:nvGraphicFramePr>
        <xdr:cNvPr id="6" name="Chart 5">
          <a:extLst>
            <a:ext uri="{FF2B5EF4-FFF2-40B4-BE49-F238E27FC236}">
              <a16:creationId xmlns:a16="http://schemas.microsoft.com/office/drawing/2014/main" id="{1A82217C-D33C-EF3E-9B01-E99D45693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576262</xdr:colOff>
      <xdr:row>112</xdr:row>
      <xdr:rowOff>114300</xdr:rowOff>
    </xdr:from>
    <xdr:to>
      <xdr:col>10</xdr:col>
      <xdr:colOff>495300</xdr:colOff>
      <xdr:row>129</xdr:row>
      <xdr:rowOff>47625</xdr:rowOff>
    </xdr:to>
    <xdr:graphicFrame macro="">
      <xdr:nvGraphicFramePr>
        <xdr:cNvPr id="7" name="Chart 6">
          <a:extLst>
            <a:ext uri="{FF2B5EF4-FFF2-40B4-BE49-F238E27FC236}">
              <a16:creationId xmlns:a16="http://schemas.microsoft.com/office/drawing/2014/main" id="{2FBE5195-C61B-047B-6872-E27E4DFA9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657225</xdr:colOff>
      <xdr:row>134</xdr:row>
      <xdr:rowOff>104774</xdr:rowOff>
    </xdr:from>
    <xdr:to>
      <xdr:col>8</xdr:col>
      <xdr:colOff>342900</xdr:colOff>
      <xdr:row>152</xdr:row>
      <xdr:rowOff>28575</xdr:rowOff>
    </xdr:to>
    <xdr:graphicFrame macro="">
      <xdr:nvGraphicFramePr>
        <xdr:cNvPr id="8" name="Chart 7">
          <a:extLst>
            <a:ext uri="{FF2B5EF4-FFF2-40B4-BE49-F238E27FC236}">
              <a16:creationId xmlns:a16="http://schemas.microsoft.com/office/drawing/2014/main" id="{9A8DF337-235B-4F90-BEDF-65E4708A8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481011</xdr:colOff>
      <xdr:row>134</xdr:row>
      <xdr:rowOff>104774</xdr:rowOff>
    </xdr:from>
    <xdr:to>
      <xdr:col>18</xdr:col>
      <xdr:colOff>19050</xdr:colOff>
      <xdr:row>152</xdr:row>
      <xdr:rowOff>57150</xdr:rowOff>
    </xdr:to>
    <xdr:graphicFrame macro="">
      <xdr:nvGraphicFramePr>
        <xdr:cNvPr id="9" name="Chart 8">
          <a:extLst>
            <a:ext uri="{FF2B5EF4-FFF2-40B4-BE49-F238E27FC236}">
              <a16:creationId xmlns:a16="http://schemas.microsoft.com/office/drawing/2014/main" id="{FFD738C2-F27F-2E20-9C89-33C17591B2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161925</xdr:colOff>
      <xdr:row>57</xdr:row>
      <xdr:rowOff>42862</xdr:rowOff>
    </xdr:from>
    <xdr:to>
      <xdr:col>21</xdr:col>
      <xdr:colOff>257175</xdr:colOff>
      <xdr:row>73</xdr:row>
      <xdr:rowOff>38100</xdr:rowOff>
    </xdr:to>
    <xdr:graphicFrame macro="">
      <xdr:nvGraphicFramePr>
        <xdr:cNvPr id="10" name="Chart 9">
          <a:extLst>
            <a:ext uri="{FF2B5EF4-FFF2-40B4-BE49-F238E27FC236}">
              <a16:creationId xmlns:a16="http://schemas.microsoft.com/office/drawing/2014/main" id="{B602F008-D73D-1AD3-BE4C-571A1B9DD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155</xdr:row>
      <xdr:rowOff>104775</xdr:rowOff>
    </xdr:from>
    <xdr:to>
      <xdr:col>7</xdr:col>
      <xdr:colOff>333375</xdr:colOff>
      <xdr:row>170</xdr:row>
      <xdr:rowOff>95249</xdr:rowOff>
    </xdr:to>
    <xdr:graphicFrame macro="">
      <xdr:nvGraphicFramePr>
        <xdr:cNvPr id="11" name="Chart 10">
          <a:extLst>
            <a:ext uri="{FF2B5EF4-FFF2-40B4-BE49-F238E27FC236}">
              <a16:creationId xmlns:a16="http://schemas.microsoft.com/office/drawing/2014/main" id="{40A175F1-24F4-436E-869D-EA5FCF1B55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581026</xdr:colOff>
      <xdr:row>155</xdr:row>
      <xdr:rowOff>114301</xdr:rowOff>
    </xdr:from>
    <xdr:to>
      <xdr:col>16</xdr:col>
      <xdr:colOff>47625</xdr:colOff>
      <xdr:row>169</xdr:row>
      <xdr:rowOff>171451</xdr:rowOff>
    </xdr:to>
    <xdr:graphicFrame macro="">
      <xdr:nvGraphicFramePr>
        <xdr:cNvPr id="12" name="Chart 11">
          <a:extLst>
            <a:ext uri="{FF2B5EF4-FFF2-40B4-BE49-F238E27FC236}">
              <a16:creationId xmlns:a16="http://schemas.microsoft.com/office/drawing/2014/main" id="{C91E0E7B-98DE-4637-B7CA-4B0F54F18C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304800</xdr:colOff>
      <xdr:row>155</xdr:row>
      <xdr:rowOff>80961</xdr:rowOff>
    </xdr:from>
    <xdr:to>
      <xdr:col>24</xdr:col>
      <xdr:colOff>257175</xdr:colOff>
      <xdr:row>169</xdr:row>
      <xdr:rowOff>95250</xdr:rowOff>
    </xdr:to>
    <xdr:graphicFrame macro="">
      <xdr:nvGraphicFramePr>
        <xdr:cNvPr id="14" name="Chart 13">
          <a:extLst>
            <a:ext uri="{FF2B5EF4-FFF2-40B4-BE49-F238E27FC236}">
              <a16:creationId xmlns:a16="http://schemas.microsoft.com/office/drawing/2014/main" id="{F611907B-ECE5-3282-4726-AF852E5D5C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190500</xdr:colOff>
      <xdr:row>171</xdr:row>
      <xdr:rowOff>147637</xdr:rowOff>
    </xdr:from>
    <xdr:to>
      <xdr:col>6</xdr:col>
      <xdr:colOff>114300</xdr:colOff>
      <xdr:row>186</xdr:row>
      <xdr:rowOff>176212</xdr:rowOff>
    </xdr:to>
    <xdr:graphicFrame macro="">
      <xdr:nvGraphicFramePr>
        <xdr:cNvPr id="15" name="Chart 14">
          <a:extLst>
            <a:ext uri="{FF2B5EF4-FFF2-40B4-BE49-F238E27FC236}">
              <a16:creationId xmlns:a16="http://schemas.microsoft.com/office/drawing/2014/main" id="{AC6ECAA7-CB27-0E32-041C-6411E949E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628650</xdr:colOff>
      <xdr:row>172</xdr:row>
      <xdr:rowOff>33337</xdr:rowOff>
    </xdr:from>
    <xdr:to>
      <xdr:col>14</xdr:col>
      <xdr:colOff>400050</xdr:colOff>
      <xdr:row>187</xdr:row>
      <xdr:rowOff>61912</xdr:rowOff>
    </xdr:to>
    <xdr:graphicFrame macro="">
      <xdr:nvGraphicFramePr>
        <xdr:cNvPr id="17" name="Chart 16">
          <a:extLst>
            <a:ext uri="{FF2B5EF4-FFF2-40B4-BE49-F238E27FC236}">
              <a16:creationId xmlns:a16="http://schemas.microsoft.com/office/drawing/2014/main" id="{693E2050-092B-3E26-963F-7829CCAA83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304799</xdr:colOff>
      <xdr:row>172</xdr:row>
      <xdr:rowOff>9525</xdr:rowOff>
    </xdr:from>
    <xdr:to>
      <xdr:col>22</xdr:col>
      <xdr:colOff>485774</xdr:colOff>
      <xdr:row>187</xdr:row>
      <xdr:rowOff>176212</xdr:rowOff>
    </xdr:to>
    <xdr:graphicFrame macro="">
      <xdr:nvGraphicFramePr>
        <xdr:cNvPr id="18" name="Chart 17">
          <a:extLst>
            <a:ext uri="{FF2B5EF4-FFF2-40B4-BE49-F238E27FC236}">
              <a16:creationId xmlns:a16="http://schemas.microsoft.com/office/drawing/2014/main" id="{86967F02-0AF2-6910-502B-B2DB042ABC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323850</xdr:colOff>
      <xdr:row>191</xdr:row>
      <xdr:rowOff>147637</xdr:rowOff>
    </xdr:from>
    <xdr:to>
      <xdr:col>8</xdr:col>
      <xdr:colOff>352425</xdr:colOff>
      <xdr:row>204</xdr:row>
      <xdr:rowOff>9525</xdr:rowOff>
    </xdr:to>
    <xdr:graphicFrame macro="">
      <xdr:nvGraphicFramePr>
        <xdr:cNvPr id="19" name="Chart 18">
          <a:extLst>
            <a:ext uri="{FF2B5EF4-FFF2-40B4-BE49-F238E27FC236}">
              <a16:creationId xmlns:a16="http://schemas.microsoft.com/office/drawing/2014/main" id="{56993932-2F2B-14B9-C8B0-77142176DF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342900</xdr:colOff>
      <xdr:row>241</xdr:row>
      <xdr:rowOff>114300</xdr:rowOff>
    </xdr:from>
    <xdr:to>
      <xdr:col>6</xdr:col>
      <xdr:colOff>642938</xdr:colOff>
      <xdr:row>260</xdr:row>
      <xdr:rowOff>85726</xdr:rowOff>
    </xdr:to>
    <xdr:graphicFrame macro="">
      <xdr:nvGraphicFramePr>
        <xdr:cNvPr id="20" name="Chart 19">
          <a:extLst>
            <a:ext uri="{FF2B5EF4-FFF2-40B4-BE49-F238E27FC236}">
              <a16:creationId xmlns:a16="http://schemas.microsoft.com/office/drawing/2014/main" id="{BB722E38-3C45-47DB-9CFF-F8B46BF57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123824</xdr:colOff>
      <xdr:row>207</xdr:row>
      <xdr:rowOff>90486</xdr:rowOff>
    </xdr:from>
    <xdr:to>
      <xdr:col>13</xdr:col>
      <xdr:colOff>133350</xdr:colOff>
      <xdr:row>224</xdr:row>
      <xdr:rowOff>85725</xdr:rowOff>
    </xdr:to>
    <xdr:graphicFrame macro="">
      <xdr:nvGraphicFramePr>
        <xdr:cNvPr id="21" name="Chart 20">
          <a:extLst>
            <a:ext uri="{FF2B5EF4-FFF2-40B4-BE49-F238E27FC236}">
              <a16:creationId xmlns:a16="http://schemas.microsoft.com/office/drawing/2014/main" id="{A42D42E5-63CD-5956-C036-3C8F846C3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561975</xdr:colOff>
      <xdr:row>206</xdr:row>
      <xdr:rowOff>200024</xdr:rowOff>
    </xdr:from>
    <xdr:to>
      <xdr:col>22</xdr:col>
      <xdr:colOff>266700</xdr:colOff>
      <xdr:row>224</xdr:row>
      <xdr:rowOff>9523</xdr:rowOff>
    </xdr:to>
    <xdr:graphicFrame macro="">
      <xdr:nvGraphicFramePr>
        <xdr:cNvPr id="23" name="Chart 22">
          <a:extLst>
            <a:ext uri="{FF2B5EF4-FFF2-40B4-BE49-F238E27FC236}">
              <a16:creationId xmlns:a16="http://schemas.microsoft.com/office/drawing/2014/main" id="{6B04625F-7E4D-EC11-5354-F23CD0CD5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0</xdr:col>
      <xdr:colOff>9525</xdr:colOff>
      <xdr:row>228</xdr:row>
      <xdr:rowOff>161925</xdr:rowOff>
    </xdr:from>
    <xdr:to>
      <xdr:col>9</xdr:col>
      <xdr:colOff>161012</xdr:colOff>
      <xdr:row>238</xdr:row>
      <xdr:rowOff>152175</xdr:rowOff>
    </xdr:to>
    <xdr:pic>
      <xdr:nvPicPr>
        <xdr:cNvPr id="24" name="Picture 23">
          <a:extLst>
            <a:ext uri="{FF2B5EF4-FFF2-40B4-BE49-F238E27FC236}">
              <a16:creationId xmlns:a16="http://schemas.microsoft.com/office/drawing/2014/main" id="{3AE28641-7E37-4DA2-DFF6-CE1CCEB49315}"/>
            </a:ext>
          </a:extLst>
        </xdr:cNvPr>
        <xdr:cNvPicPr>
          <a:picLocks noChangeAspect="1"/>
        </xdr:cNvPicPr>
      </xdr:nvPicPr>
      <xdr:blipFill>
        <a:blip xmlns:r="http://schemas.openxmlformats.org/officeDocument/2006/relationships" r:embed="rId20"/>
        <a:stretch>
          <a:fillRect/>
        </a:stretch>
      </xdr:blipFill>
      <xdr:spPr>
        <a:xfrm>
          <a:off x="9525" y="41900475"/>
          <a:ext cx="7304762" cy="1800000"/>
        </a:xfrm>
        <a:prstGeom prst="rect">
          <a:avLst/>
        </a:prstGeom>
      </xdr:spPr>
    </xdr:pic>
    <xdr:clientData/>
  </xdr:twoCellAnchor>
  <xdr:twoCellAnchor editAs="oneCell">
    <xdr:from>
      <xdr:col>9</xdr:col>
      <xdr:colOff>457200</xdr:colOff>
      <xdr:row>228</xdr:row>
      <xdr:rowOff>85725</xdr:rowOff>
    </xdr:from>
    <xdr:to>
      <xdr:col>20</xdr:col>
      <xdr:colOff>141962</xdr:colOff>
      <xdr:row>238</xdr:row>
      <xdr:rowOff>171213</xdr:rowOff>
    </xdr:to>
    <xdr:pic>
      <xdr:nvPicPr>
        <xdr:cNvPr id="25" name="Picture 24">
          <a:extLst>
            <a:ext uri="{FF2B5EF4-FFF2-40B4-BE49-F238E27FC236}">
              <a16:creationId xmlns:a16="http://schemas.microsoft.com/office/drawing/2014/main" id="{A42BF97E-334C-9F45-5451-DECA966B98EF}"/>
            </a:ext>
          </a:extLst>
        </xdr:cNvPr>
        <xdr:cNvPicPr>
          <a:picLocks noChangeAspect="1"/>
        </xdr:cNvPicPr>
      </xdr:nvPicPr>
      <xdr:blipFill>
        <a:blip xmlns:r="http://schemas.openxmlformats.org/officeDocument/2006/relationships" r:embed="rId21"/>
        <a:stretch>
          <a:fillRect/>
        </a:stretch>
      </xdr:blipFill>
      <xdr:spPr>
        <a:xfrm>
          <a:off x="7610475" y="41824275"/>
          <a:ext cx="7304762" cy="1895238"/>
        </a:xfrm>
        <a:prstGeom prst="rect">
          <a:avLst/>
        </a:prstGeom>
      </xdr:spPr>
    </xdr:pic>
    <xdr:clientData/>
  </xdr:twoCellAnchor>
  <xdr:twoCellAnchor>
    <xdr:from>
      <xdr:col>7</xdr:col>
      <xdr:colOff>200025</xdr:colOff>
      <xdr:row>262</xdr:row>
      <xdr:rowOff>33336</xdr:rowOff>
    </xdr:from>
    <xdr:to>
      <xdr:col>15</xdr:col>
      <xdr:colOff>104775</xdr:colOff>
      <xdr:row>280</xdr:row>
      <xdr:rowOff>9524</xdr:rowOff>
    </xdr:to>
    <xdr:graphicFrame macro="">
      <xdr:nvGraphicFramePr>
        <xdr:cNvPr id="26" name="Chart 25">
          <a:extLst>
            <a:ext uri="{FF2B5EF4-FFF2-40B4-BE49-F238E27FC236}">
              <a16:creationId xmlns:a16="http://schemas.microsoft.com/office/drawing/2014/main" id="{41CEFD2D-A0F4-AF03-042C-83D65942A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176212</xdr:colOff>
      <xdr:row>281</xdr:row>
      <xdr:rowOff>33336</xdr:rowOff>
    </xdr:from>
    <xdr:to>
      <xdr:col>9</xdr:col>
      <xdr:colOff>600075</xdr:colOff>
      <xdr:row>302</xdr:row>
      <xdr:rowOff>9524</xdr:rowOff>
    </xdr:to>
    <xdr:graphicFrame macro="">
      <xdr:nvGraphicFramePr>
        <xdr:cNvPr id="27" name="Chart 26">
          <a:extLst>
            <a:ext uri="{FF2B5EF4-FFF2-40B4-BE49-F238E27FC236}">
              <a16:creationId xmlns:a16="http://schemas.microsoft.com/office/drawing/2014/main" id="{5B8B05CD-2408-0D91-10E2-76358992B6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76200</xdr:colOff>
      <xdr:row>12</xdr:row>
      <xdr:rowOff>142875</xdr:rowOff>
    </xdr:from>
    <xdr:to>
      <xdr:col>25</xdr:col>
      <xdr:colOff>676273</xdr:colOff>
      <xdr:row>29</xdr:row>
      <xdr:rowOff>35005</xdr:rowOff>
    </xdr:to>
    <xdr:pic>
      <xdr:nvPicPr>
        <xdr:cNvPr id="2" name="Picture 1">
          <a:extLst>
            <a:ext uri="{FF2B5EF4-FFF2-40B4-BE49-F238E27FC236}">
              <a16:creationId xmlns:a16="http://schemas.microsoft.com/office/drawing/2014/main" id="{C65F8F8F-087E-C77E-6493-B753F6678BF6}"/>
            </a:ext>
          </a:extLst>
        </xdr:cNvPr>
        <xdr:cNvPicPr>
          <a:picLocks noChangeAspect="1"/>
        </xdr:cNvPicPr>
      </xdr:nvPicPr>
      <xdr:blipFill>
        <a:blip xmlns:r="http://schemas.openxmlformats.org/officeDocument/2006/relationships" r:embed="rId1"/>
        <a:stretch>
          <a:fillRect/>
        </a:stretch>
      </xdr:blipFill>
      <xdr:spPr>
        <a:xfrm>
          <a:off x="10363200" y="2314575"/>
          <a:ext cx="7458073" cy="2987755"/>
        </a:xfrm>
        <a:prstGeom prst="rect">
          <a:avLst/>
        </a:prstGeom>
      </xdr:spPr>
    </xdr:pic>
    <xdr:clientData/>
  </xdr:twoCellAnchor>
  <xdr:twoCellAnchor editAs="oneCell">
    <xdr:from>
      <xdr:col>20</xdr:col>
      <xdr:colOff>186267</xdr:colOff>
      <xdr:row>0</xdr:row>
      <xdr:rowOff>76201</xdr:rowOff>
    </xdr:from>
    <xdr:to>
      <xdr:col>24</xdr:col>
      <xdr:colOff>50799</xdr:colOff>
      <xdr:row>8</xdr:row>
      <xdr:rowOff>95251</xdr:rowOff>
    </xdr:to>
    <xdr:pic>
      <xdr:nvPicPr>
        <xdr:cNvPr id="3" name="Picture 2" descr="Home Depot - BuiltWorlds">
          <a:extLst>
            <a:ext uri="{FF2B5EF4-FFF2-40B4-BE49-F238E27FC236}">
              <a16:creationId xmlns:a16="http://schemas.microsoft.com/office/drawing/2014/main" id="{C1BD44C9-CF6E-48E6-86E9-AC997D7836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902267" y="76201"/>
          <a:ext cx="2607732"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672972</xdr:colOff>
      <xdr:row>0</xdr:row>
      <xdr:rowOff>104776</xdr:rowOff>
    </xdr:from>
    <xdr:to>
      <xdr:col>26</xdr:col>
      <xdr:colOff>57380</xdr:colOff>
      <xdr:row>8</xdr:row>
      <xdr:rowOff>85726</xdr:rowOff>
    </xdr:to>
    <xdr:pic>
      <xdr:nvPicPr>
        <xdr:cNvPr id="4" name="Picture 3" descr="U.S. Securities and Exchange Commission - Wikipedia">
          <a:extLst>
            <a:ext uri="{FF2B5EF4-FFF2-40B4-BE49-F238E27FC236}">
              <a16:creationId xmlns:a16="http://schemas.microsoft.com/office/drawing/2014/main" id="{83222CD1-4A57-4B31-BAEA-5209B968669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446372" y="104776"/>
          <a:ext cx="1441808"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c2016\Desktop\borsa\DCF\Companies\specifics\AAPL\5.5.24\histimpl.xls" TargetMode="External"/><Relationship Id="rId1" Type="http://schemas.openxmlformats.org/officeDocument/2006/relationships/externalLinkPath" Target="/Users/cc2016/Desktop/borsa/DCF/Companies/specifics/AAPL/5.5.24/histi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istorical Impl Premiums"/>
      <sheetName val="Implied Premiums"/>
      <sheetName val="implpremvsriskfree"/>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row r="7">
          <cell r="N7" t="str">
            <v>Implied Premium (DDM)</v>
          </cell>
        </row>
        <row r="8">
          <cell r="A8">
            <v>1960</v>
          </cell>
        </row>
        <row r="9">
          <cell r="A9">
            <v>1961</v>
          </cell>
          <cell r="Q9">
            <v>2.92E-2</v>
          </cell>
        </row>
        <row r="10">
          <cell r="A10">
            <v>1962</v>
          </cell>
          <cell r="Q10">
            <v>3.56E-2</v>
          </cell>
        </row>
        <row r="11">
          <cell r="A11">
            <v>1963</v>
          </cell>
          <cell r="Q11">
            <v>3.3799999999999997E-2</v>
          </cell>
        </row>
        <row r="12">
          <cell r="A12">
            <v>1964</v>
          </cell>
          <cell r="Q12">
            <v>3.3099999999999997E-2</v>
          </cell>
        </row>
        <row r="13">
          <cell r="A13">
            <v>1965</v>
          </cell>
          <cell r="Q13">
            <v>3.32E-2</v>
          </cell>
        </row>
        <row r="14">
          <cell r="A14">
            <v>1966</v>
          </cell>
          <cell r="Q14">
            <v>3.6799999999999999E-2</v>
          </cell>
        </row>
        <row r="15">
          <cell r="A15">
            <v>1967</v>
          </cell>
          <cell r="Q15">
            <v>3.2000000000000001E-2</v>
          </cell>
        </row>
        <row r="16">
          <cell r="A16">
            <v>1968</v>
          </cell>
          <cell r="Q16">
            <v>0.03</v>
          </cell>
        </row>
        <row r="17">
          <cell r="A17">
            <v>1969</v>
          </cell>
          <cell r="Q17">
            <v>3.7400000000000003E-2</v>
          </cell>
        </row>
        <row r="18">
          <cell r="A18">
            <v>1970</v>
          </cell>
          <cell r="Q18">
            <v>3.4099999999999998E-2</v>
          </cell>
        </row>
        <row r="19">
          <cell r="A19">
            <v>1971</v>
          </cell>
          <cell r="Q19">
            <v>3.09E-2</v>
          </cell>
        </row>
        <row r="20">
          <cell r="A20">
            <v>1972</v>
          </cell>
          <cell r="Q20">
            <v>2.7199999999999998E-2</v>
          </cell>
        </row>
        <row r="21">
          <cell r="A21">
            <v>1973</v>
          </cell>
          <cell r="Q21">
            <v>4.2999999999999997E-2</v>
          </cell>
        </row>
        <row r="22">
          <cell r="A22">
            <v>1974</v>
          </cell>
          <cell r="Q22">
            <v>5.5899999999999998E-2</v>
          </cell>
        </row>
        <row r="23">
          <cell r="A23">
            <v>1975</v>
          </cell>
          <cell r="Q23">
            <v>4.1300000000000003E-2</v>
          </cell>
        </row>
        <row r="24">
          <cell r="A24">
            <v>1976</v>
          </cell>
          <cell r="Q24">
            <v>4.5499999999999999E-2</v>
          </cell>
        </row>
        <row r="25">
          <cell r="A25">
            <v>1977</v>
          </cell>
          <cell r="Q25">
            <v>5.9200000000000003E-2</v>
          </cell>
        </row>
        <row r="26">
          <cell r="A26">
            <v>1978</v>
          </cell>
          <cell r="Q26">
            <v>5.7200000000000001E-2</v>
          </cell>
        </row>
        <row r="27">
          <cell r="A27">
            <v>1979</v>
          </cell>
          <cell r="Q27">
            <v>6.4500000000000002E-2</v>
          </cell>
        </row>
        <row r="28">
          <cell r="A28">
            <v>1980</v>
          </cell>
          <cell r="Q28">
            <v>5.0299999999999997E-2</v>
          </cell>
        </row>
        <row r="29">
          <cell r="A29">
            <v>1981</v>
          </cell>
          <cell r="Q29">
            <v>5.7299999999999997E-2</v>
          </cell>
        </row>
        <row r="30">
          <cell r="A30">
            <v>1982</v>
          </cell>
          <cell r="Q30">
            <v>4.9000000000000002E-2</v>
          </cell>
        </row>
        <row r="31">
          <cell r="A31">
            <v>1983</v>
          </cell>
          <cell r="Q31">
            <v>4.3099999999999999E-2</v>
          </cell>
        </row>
        <row r="32">
          <cell r="A32">
            <v>1984</v>
          </cell>
          <cell r="Q32">
            <v>5.11E-2</v>
          </cell>
        </row>
        <row r="33">
          <cell r="A33">
            <v>1985</v>
          </cell>
          <cell r="Q33">
            <v>3.8399999999999997E-2</v>
          </cell>
        </row>
        <row r="34">
          <cell r="A34">
            <v>1986</v>
          </cell>
          <cell r="Q34">
            <v>3.5799999999999998E-2</v>
          </cell>
        </row>
        <row r="35">
          <cell r="A35">
            <v>1987</v>
          </cell>
          <cell r="Q35">
            <v>3.9899999999999998E-2</v>
          </cell>
        </row>
        <row r="36">
          <cell r="A36">
            <v>1988</v>
          </cell>
          <cell r="Q36">
            <v>3.7699999999999997E-2</v>
          </cell>
        </row>
        <row r="37">
          <cell r="A37">
            <v>1989</v>
          </cell>
          <cell r="Q37">
            <v>3.5099999999999999E-2</v>
          </cell>
        </row>
        <row r="38">
          <cell r="A38">
            <v>1990</v>
          </cell>
          <cell r="Q38">
            <v>3.8899999999999997E-2</v>
          </cell>
        </row>
        <row r="39">
          <cell r="A39">
            <v>1991</v>
          </cell>
          <cell r="Q39">
            <v>3.4799999999999998E-2</v>
          </cell>
        </row>
        <row r="40">
          <cell r="A40">
            <v>1992</v>
          </cell>
          <cell r="Q40">
            <v>3.5499999999999997E-2</v>
          </cell>
        </row>
        <row r="41">
          <cell r="A41">
            <v>1993</v>
          </cell>
          <cell r="Q41">
            <v>3.1699999999999999E-2</v>
          </cell>
        </row>
        <row r="42">
          <cell r="A42">
            <v>1994</v>
          </cell>
          <cell r="Q42">
            <v>3.5499999999999997E-2</v>
          </cell>
        </row>
        <row r="43">
          <cell r="A43">
            <v>1995</v>
          </cell>
          <cell r="Q43">
            <v>3.2899999999999999E-2</v>
          </cell>
        </row>
        <row r="44">
          <cell r="A44">
            <v>1996</v>
          </cell>
          <cell r="Q44">
            <v>3.2000000000000001E-2</v>
          </cell>
        </row>
        <row r="45">
          <cell r="A45">
            <v>1997</v>
          </cell>
          <cell r="Q45">
            <v>2.7300000000000001E-2</v>
          </cell>
        </row>
        <row r="46">
          <cell r="A46">
            <v>1998</v>
          </cell>
          <cell r="Q46">
            <v>2.2599999999999999E-2</v>
          </cell>
        </row>
        <row r="47">
          <cell r="A47">
            <v>1999</v>
          </cell>
          <cell r="Q47">
            <v>2.0500000000000001E-2</v>
          </cell>
        </row>
        <row r="48">
          <cell r="A48">
            <v>2000</v>
          </cell>
          <cell r="Q48">
            <v>2.87E-2</v>
          </cell>
        </row>
        <row r="49">
          <cell r="A49">
            <v>2001</v>
          </cell>
          <cell r="Q49">
            <v>3.6200000000000003E-2</v>
          </cell>
        </row>
        <row r="50">
          <cell r="A50">
            <v>2002</v>
          </cell>
          <cell r="Q50">
            <v>4.1000000000000002E-2</v>
          </cell>
        </row>
        <row r="51">
          <cell r="A51">
            <v>2003</v>
          </cell>
          <cell r="Q51">
            <v>3.6900000000000002E-2</v>
          </cell>
        </row>
        <row r="52">
          <cell r="A52">
            <v>2004</v>
          </cell>
          <cell r="Q52">
            <v>3.6499999999999998E-2</v>
          </cell>
        </row>
        <row r="53">
          <cell r="A53">
            <v>2005</v>
          </cell>
          <cell r="Q53">
            <v>4.0800000000000003E-2</v>
          </cell>
        </row>
        <row r="54">
          <cell r="A54">
            <v>2006</v>
          </cell>
          <cell r="Q54">
            <v>4.1599999999999998E-2</v>
          </cell>
        </row>
        <row r="55">
          <cell r="A55">
            <v>2007</v>
          </cell>
          <cell r="Q55">
            <v>4.3700000000000003E-2</v>
          </cell>
        </row>
        <row r="56">
          <cell r="A56">
            <v>2008</v>
          </cell>
          <cell r="Q56">
            <v>6.4299999999999996E-2</v>
          </cell>
        </row>
        <row r="57">
          <cell r="A57">
            <v>2009</v>
          </cell>
          <cell r="Q57">
            <v>4.36E-2</v>
          </cell>
        </row>
        <row r="58">
          <cell r="A58">
            <v>2010</v>
          </cell>
          <cell r="Q58">
            <v>5.1999999999999998E-2</v>
          </cell>
        </row>
        <row r="59">
          <cell r="A59">
            <v>2011</v>
          </cell>
          <cell r="Q59">
            <v>6.0100000000000001E-2</v>
          </cell>
        </row>
        <row r="60">
          <cell r="A60">
            <v>2012</v>
          </cell>
          <cell r="Q60">
            <v>5.7799999999999997E-2</v>
          </cell>
        </row>
        <row r="61">
          <cell r="A61">
            <v>2013</v>
          </cell>
          <cell r="Q61">
            <v>4.9599999999999998E-2</v>
          </cell>
        </row>
        <row r="62">
          <cell r="A62">
            <v>2014</v>
          </cell>
          <cell r="Q62">
            <v>5.7799999999999997E-2</v>
          </cell>
        </row>
        <row r="63">
          <cell r="A63">
            <v>2015</v>
          </cell>
          <cell r="Q63">
            <v>6.1199999999999997E-2</v>
          </cell>
        </row>
        <row r="64">
          <cell r="A64">
            <v>2016</v>
          </cell>
          <cell r="Q64">
            <v>5.6899999999999999E-2</v>
          </cell>
        </row>
        <row r="65">
          <cell r="A65">
            <v>2017</v>
          </cell>
          <cell r="Q65">
            <v>5.0799999999999998E-2</v>
          </cell>
        </row>
        <row r="66">
          <cell r="A66">
            <v>2018</v>
          </cell>
          <cell r="Q66">
            <v>5.96E-2</v>
          </cell>
        </row>
        <row r="67">
          <cell r="A67">
            <v>2019</v>
          </cell>
          <cell r="Q67">
            <v>5.1999999999999998E-2</v>
          </cell>
        </row>
        <row r="68">
          <cell r="A68">
            <v>2020</v>
          </cell>
          <cell r="Q68">
            <v>4.7199999999999999E-2</v>
          </cell>
        </row>
        <row r="69">
          <cell r="A69">
            <v>2021</v>
          </cell>
          <cell r="Q69">
            <v>4.24E-2</v>
          </cell>
        </row>
        <row r="70">
          <cell r="A70">
            <v>2022</v>
          </cell>
          <cell r="Q70">
            <v>5.9400000000000001E-2</v>
          </cell>
        </row>
        <row r="71">
          <cell r="A71">
            <v>2023</v>
          </cell>
          <cell r="Q71">
            <v>4.5999999999999999E-2</v>
          </cell>
        </row>
      </sheetData>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2:AF188"/>
  <sheetViews>
    <sheetView showGridLines="0" showRowColHeaders="0" workbookViewId="0">
      <selection activeCell="N10" sqref="N10"/>
    </sheetView>
  </sheetViews>
  <sheetFormatPr defaultRowHeight="14.25" x14ac:dyDescent="0.2"/>
  <cols>
    <col min="16" max="16" width="12" bestFit="1" customWidth="1"/>
    <col min="21" max="21" width="12" bestFit="1" customWidth="1"/>
    <col min="24" max="24" width="12" bestFit="1" customWidth="1"/>
    <col min="29" max="29" width="12" bestFit="1" customWidth="1"/>
    <col min="32" max="32" width="13.125" customWidth="1"/>
  </cols>
  <sheetData>
    <row r="2" spans="1:9" ht="15" thickBot="1" x14ac:dyDescent="0.25"/>
    <row r="3" spans="1:9" x14ac:dyDescent="0.2">
      <c r="A3" s="189" t="s">
        <v>0</v>
      </c>
      <c r="B3" s="190"/>
      <c r="C3" s="190"/>
      <c r="D3" s="190"/>
      <c r="E3" s="190"/>
      <c r="F3" s="190"/>
      <c r="G3" s="190"/>
      <c r="H3" s="190"/>
      <c r="I3" s="191"/>
    </row>
    <row r="4" spans="1:9" x14ac:dyDescent="0.2">
      <c r="A4" s="192"/>
      <c r="B4" s="193"/>
      <c r="C4" s="193"/>
      <c r="D4" s="193"/>
      <c r="E4" s="193"/>
      <c r="F4" s="193"/>
      <c r="G4" s="193"/>
      <c r="H4" s="193"/>
      <c r="I4" s="194"/>
    </row>
    <row r="5" spans="1:9" x14ac:dyDescent="0.2">
      <c r="A5" s="192"/>
      <c r="B5" s="193"/>
      <c r="C5" s="193"/>
      <c r="D5" s="193"/>
      <c r="E5" s="193"/>
      <c r="F5" s="193"/>
      <c r="G5" s="193"/>
      <c r="H5" s="193"/>
      <c r="I5" s="194"/>
    </row>
    <row r="6" spans="1:9" x14ac:dyDescent="0.2">
      <c r="A6" s="192"/>
      <c r="B6" s="193"/>
      <c r="C6" s="193"/>
      <c r="D6" s="193"/>
      <c r="E6" s="193"/>
      <c r="F6" s="193"/>
      <c r="G6" s="193"/>
      <c r="H6" s="193"/>
      <c r="I6" s="194"/>
    </row>
    <row r="7" spans="1:9" ht="15" thickBot="1" x14ac:dyDescent="0.25">
      <c r="A7" s="195"/>
      <c r="B7" s="196"/>
      <c r="C7" s="196"/>
      <c r="D7" s="196"/>
      <c r="E7" s="196"/>
      <c r="F7" s="196"/>
      <c r="G7" s="196"/>
      <c r="H7" s="196"/>
      <c r="I7" s="197"/>
    </row>
    <row r="9" spans="1:9" x14ac:dyDescent="0.2">
      <c r="A9" s="198" t="s">
        <v>1</v>
      </c>
      <c r="B9" s="198"/>
      <c r="C9" s="198"/>
      <c r="D9" s="198"/>
      <c r="E9" s="198"/>
      <c r="F9" s="198"/>
      <c r="G9" s="198"/>
      <c r="H9" s="198"/>
      <c r="I9" s="198"/>
    </row>
    <row r="10" spans="1:9" x14ac:dyDescent="0.2">
      <c r="A10" s="198"/>
      <c r="B10" s="198"/>
      <c r="C10" s="198"/>
      <c r="D10" s="198"/>
      <c r="E10" s="198"/>
      <c r="F10" s="198"/>
      <c r="G10" s="198"/>
      <c r="H10" s="198"/>
      <c r="I10" s="198"/>
    </row>
    <row r="12" spans="1:9" ht="18" x14ac:dyDescent="0.25">
      <c r="A12" s="188" t="s">
        <v>30</v>
      </c>
      <c r="B12" s="188"/>
    </row>
    <row r="14" spans="1:9" x14ac:dyDescent="0.2">
      <c r="A14" t="s">
        <v>3</v>
      </c>
    </row>
    <row r="16" spans="1:9" ht="15" x14ac:dyDescent="0.25">
      <c r="A16" t="s">
        <v>4</v>
      </c>
    </row>
    <row r="17" spans="1:14" x14ac:dyDescent="0.2">
      <c r="A17" t="s">
        <v>2</v>
      </c>
    </row>
    <row r="18" spans="1:14" x14ac:dyDescent="0.2">
      <c r="A18" t="s">
        <v>5</v>
      </c>
    </row>
    <row r="20" spans="1:14" x14ac:dyDescent="0.2">
      <c r="A20" t="s">
        <v>6</v>
      </c>
    </row>
    <row r="21" spans="1:14" x14ac:dyDescent="0.2">
      <c r="A21" t="s">
        <v>87</v>
      </c>
    </row>
    <row r="23" spans="1:14" x14ac:dyDescent="0.2">
      <c r="A23" t="s">
        <v>7</v>
      </c>
    </row>
    <row r="25" spans="1:14" ht="15" x14ac:dyDescent="0.25">
      <c r="A25" t="s">
        <v>88</v>
      </c>
    </row>
    <row r="27" spans="1:14" x14ac:dyDescent="0.2">
      <c r="A27" t="s">
        <v>89</v>
      </c>
      <c r="N27" t="s">
        <v>17</v>
      </c>
    </row>
    <row r="28" spans="1:14" x14ac:dyDescent="0.2">
      <c r="A28" t="s">
        <v>8</v>
      </c>
    </row>
    <row r="29" spans="1:14" x14ac:dyDescent="0.2">
      <c r="A29" t="s">
        <v>9</v>
      </c>
    </row>
    <row r="30" spans="1:14" x14ac:dyDescent="0.2">
      <c r="A30" t="s">
        <v>10</v>
      </c>
    </row>
    <row r="31" spans="1:14" x14ac:dyDescent="0.2">
      <c r="A31" t="s">
        <v>90</v>
      </c>
    </row>
    <row r="33" spans="1:14" x14ac:dyDescent="0.2">
      <c r="A33" t="s">
        <v>11</v>
      </c>
    </row>
    <row r="34" spans="1:14" x14ac:dyDescent="0.2">
      <c r="A34" t="s">
        <v>13</v>
      </c>
    </row>
    <row r="35" spans="1:14" x14ac:dyDescent="0.2">
      <c r="A35" t="s">
        <v>14</v>
      </c>
    </row>
    <row r="36" spans="1:14" x14ac:dyDescent="0.2">
      <c r="A36" t="s">
        <v>15</v>
      </c>
    </row>
    <row r="38" spans="1:14" x14ac:dyDescent="0.2">
      <c r="A38" t="s">
        <v>91</v>
      </c>
    </row>
    <row r="39" spans="1:14" x14ac:dyDescent="0.2">
      <c r="A39" t="s">
        <v>12</v>
      </c>
    </row>
    <row r="40" spans="1:14" x14ac:dyDescent="0.2">
      <c r="A40" t="s">
        <v>92</v>
      </c>
    </row>
    <row r="41" spans="1:14" x14ac:dyDescent="0.2">
      <c r="A41" t="s">
        <v>16</v>
      </c>
    </row>
    <row r="43" spans="1:14" x14ac:dyDescent="0.2">
      <c r="A43" t="s">
        <v>26</v>
      </c>
    </row>
    <row r="44" spans="1:14" x14ac:dyDescent="0.2">
      <c r="A44" t="s">
        <v>93</v>
      </c>
    </row>
    <row r="45" spans="1:14" x14ac:dyDescent="0.2">
      <c r="A45" t="s">
        <v>27</v>
      </c>
    </row>
    <row r="47" spans="1:14" x14ac:dyDescent="0.2">
      <c r="A47" t="s">
        <v>28</v>
      </c>
    </row>
    <row r="48" spans="1:14" x14ac:dyDescent="0.2">
      <c r="A48" t="s">
        <v>29</v>
      </c>
      <c r="N48" t="s">
        <v>18</v>
      </c>
    </row>
    <row r="57" spans="14:30" x14ac:dyDescent="0.2">
      <c r="N57" t="s">
        <v>19</v>
      </c>
    </row>
    <row r="60" spans="14:30" ht="15" x14ac:dyDescent="0.25">
      <c r="S60" s="10" t="s">
        <v>25</v>
      </c>
      <c r="T60" s="11"/>
      <c r="U60" s="6" t="s">
        <v>22</v>
      </c>
      <c r="V60" s="6" t="s">
        <v>23</v>
      </c>
    </row>
    <row r="61" spans="14:30" ht="15" x14ac:dyDescent="0.25">
      <c r="S61" s="8" t="s">
        <v>20</v>
      </c>
      <c r="T61" s="9"/>
      <c r="U61" s="4">
        <v>140083</v>
      </c>
      <c r="V61" s="7">
        <f>U61/U63</f>
        <v>0.91756021196182591</v>
      </c>
    </row>
    <row r="62" spans="14:30" ht="15" x14ac:dyDescent="0.25">
      <c r="S62" s="8" t="s">
        <v>21</v>
      </c>
      <c r="T62" s="9"/>
      <c r="U62" s="4">
        <v>12586</v>
      </c>
      <c r="V62" s="7">
        <f>U62/U63</f>
        <v>8.2439788038174089E-2</v>
      </c>
    </row>
    <row r="63" spans="14:30" x14ac:dyDescent="0.2">
      <c r="S63" s="8" t="s">
        <v>24</v>
      </c>
      <c r="T63" s="9"/>
      <c r="U63" s="4">
        <f>SUM(U61:U62)</f>
        <v>152669</v>
      </c>
      <c r="V63" s="5">
        <f>SUM(V61:V62)</f>
        <v>1</v>
      </c>
    </row>
    <row r="64" spans="14:30" ht="15" thickBot="1" x14ac:dyDescent="0.25">
      <c r="AD64" t="s">
        <v>49</v>
      </c>
    </row>
    <row r="65" spans="1:32" ht="18.75" thickBot="1" x14ac:dyDescent="0.3">
      <c r="A65" s="188" t="s">
        <v>31</v>
      </c>
      <c r="B65" s="188"/>
      <c r="C65" s="188"/>
      <c r="Z65" s="12">
        <v>2024</v>
      </c>
      <c r="AA65" s="12" t="s">
        <v>33</v>
      </c>
      <c r="AB65">
        <v>2009</v>
      </c>
      <c r="AC65" s="3"/>
      <c r="AE65" s="2" t="str" cm="1">
        <f t="array" ref="AE65:AE80">_xlfn.SORTBY(AA65:AA80,_xlfn.SEQUENCE(ROWS(AA65:AA80)),-1)</f>
        <v>$71,288</v>
      </c>
      <c r="AF65" s="1">
        <v>71288</v>
      </c>
    </row>
    <row r="66" spans="1:32" ht="15.75" thickBot="1" x14ac:dyDescent="0.25">
      <c r="N66" t="s">
        <v>32</v>
      </c>
      <c r="Z66" s="12">
        <v>2023</v>
      </c>
      <c r="AA66" s="12" t="s">
        <v>34</v>
      </c>
      <c r="AB66">
        <v>2010</v>
      </c>
      <c r="AC66" s="3">
        <f t="shared" ref="AC66:AC80" si="0">(AF66-AF65)/AF65</f>
        <v>-7.1709123555156545E-2</v>
      </c>
      <c r="AE66" t="str">
        <v>$66,176</v>
      </c>
      <c r="AF66" s="1">
        <v>66176</v>
      </c>
    </row>
    <row r="67" spans="1:32" ht="15.75" thickBot="1" x14ac:dyDescent="0.25">
      <c r="A67" t="s">
        <v>50</v>
      </c>
      <c r="Z67" s="12">
        <v>2022</v>
      </c>
      <c r="AA67" s="12" t="s">
        <v>35</v>
      </c>
      <c r="AB67">
        <v>2011</v>
      </c>
      <c r="AC67" s="3">
        <f t="shared" si="0"/>
        <v>2.7517529013539651E-2</v>
      </c>
      <c r="AE67" t="str">
        <v>$67,997</v>
      </c>
      <c r="AF67" s="1">
        <v>67997</v>
      </c>
    </row>
    <row r="68" spans="1:32" ht="15.75" thickBot="1" x14ac:dyDescent="0.25">
      <c r="A68" s="13" t="s">
        <v>51</v>
      </c>
      <c r="Z68" s="12">
        <v>2021</v>
      </c>
      <c r="AA68" s="12" t="s">
        <v>36</v>
      </c>
      <c r="AB68">
        <v>2012</v>
      </c>
      <c r="AC68" s="3">
        <f t="shared" si="0"/>
        <v>3.5266261746841769E-2</v>
      </c>
      <c r="AE68" t="str">
        <v>$70,395</v>
      </c>
      <c r="AF68" s="1">
        <v>70395</v>
      </c>
    </row>
    <row r="69" spans="1:32" ht="15.75" thickBot="1" x14ac:dyDescent="0.25">
      <c r="A69" s="13" t="s">
        <v>52</v>
      </c>
      <c r="Z69" s="12">
        <v>2020</v>
      </c>
      <c r="AA69" s="12" t="s">
        <v>37</v>
      </c>
      <c r="AB69">
        <v>2013</v>
      </c>
      <c r="AC69" s="3">
        <f t="shared" si="0"/>
        <v>6.1922011506499043E-2</v>
      </c>
      <c r="AE69" t="str">
        <v>$74,754</v>
      </c>
      <c r="AF69" s="1">
        <v>74754</v>
      </c>
    </row>
    <row r="70" spans="1:32" ht="15.75" thickBot="1" x14ac:dyDescent="0.25">
      <c r="A70" s="13" t="s">
        <v>53</v>
      </c>
      <c r="Z70" s="12">
        <v>2019</v>
      </c>
      <c r="AA70" s="12" t="s">
        <v>38</v>
      </c>
      <c r="AB70">
        <v>2014</v>
      </c>
      <c r="AC70" s="3">
        <f t="shared" si="0"/>
        <v>5.42847205500709E-2</v>
      </c>
      <c r="AE70" t="str">
        <v>$78,812</v>
      </c>
      <c r="AF70" s="1">
        <v>78812</v>
      </c>
    </row>
    <row r="71" spans="1:32" ht="15.75" thickBot="1" x14ac:dyDescent="0.25">
      <c r="Z71" s="12">
        <v>2018</v>
      </c>
      <c r="AA71" s="12" t="s">
        <v>39</v>
      </c>
      <c r="AB71">
        <v>2015</v>
      </c>
      <c r="AC71" s="3">
        <f t="shared" si="0"/>
        <v>5.5372278333248745E-2</v>
      </c>
      <c r="AE71" t="str">
        <v>$83,176</v>
      </c>
      <c r="AF71" s="1">
        <v>83176</v>
      </c>
    </row>
    <row r="72" spans="1:32" ht="15.75" thickBot="1" x14ac:dyDescent="0.25">
      <c r="Z72" s="12">
        <v>2017</v>
      </c>
      <c r="AA72" s="12" t="s">
        <v>40</v>
      </c>
      <c r="AB72">
        <v>2016</v>
      </c>
      <c r="AC72" s="3">
        <f t="shared" si="0"/>
        <v>6.4237279984610943E-2</v>
      </c>
      <c r="AE72" t="str">
        <v>$88,519</v>
      </c>
      <c r="AF72" s="1">
        <v>88519</v>
      </c>
    </row>
    <row r="73" spans="1:32" ht="15.75" thickBot="1" x14ac:dyDescent="0.25">
      <c r="Z73" s="12">
        <v>2016</v>
      </c>
      <c r="AA73" s="12" t="s">
        <v>41</v>
      </c>
      <c r="AB73">
        <v>2017</v>
      </c>
      <c r="AC73" s="3">
        <f t="shared" si="0"/>
        <v>6.8640630825020615E-2</v>
      </c>
      <c r="AE73" t="str">
        <v>$94,595</v>
      </c>
      <c r="AF73" s="1">
        <v>94595</v>
      </c>
    </row>
    <row r="74" spans="1:32" ht="15.75" thickBot="1" x14ac:dyDescent="0.25">
      <c r="Z74" s="12">
        <v>2015</v>
      </c>
      <c r="AA74" s="12" t="s">
        <v>42</v>
      </c>
      <c r="AB74">
        <v>2018</v>
      </c>
      <c r="AC74" s="3">
        <f t="shared" si="0"/>
        <v>6.6694857022041337E-2</v>
      </c>
      <c r="AE74" t="str">
        <v>$100,904</v>
      </c>
      <c r="AF74" s="1">
        <v>100904</v>
      </c>
    </row>
    <row r="75" spans="1:32" ht="15.75" thickBot="1" x14ac:dyDescent="0.25">
      <c r="Z75" s="12">
        <v>2014</v>
      </c>
      <c r="AA75" s="12" t="s">
        <v>43</v>
      </c>
      <c r="AB75">
        <v>2019</v>
      </c>
      <c r="AC75" s="3">
        <f t="shared" si="0"/>
        <v>7.2336081820344095E-2</v>
      </c>
      <c r="AE75" t="str">
        <v>$108,203</v>
      </c>
      <c r="AF75" s="1">
        <v>108203</v>
      </c>
    </row>
    <row r="76" spans="1:32" ht="15.75" thickBot="1" x14ac:dyDescent="0.25">
      <c r="Z76" s="12">
        <v>2013</v>
      </c>
      <c r="AA76" s="12" t="s">
        <v>44</v>
      </c>
      <c r="AB76">
        <v>2020</v>
      </c>
      <c r="AC76" s="3">
        <f t="shared" si="0"/>
        <v>1.8687097400256925E-2</v>
      </c>
      <c r="AE76" t="str">
        <v>$110,225</v>
      </c>
      <c r="AF76" s="1">
        <v>110225</v>
      </c>
    </row>
    <row r="77" spans="1:32" ht="15.75" thickBot="1" x14ac:dyDescent="0.25">
      <c r="Z77" s="12">
        <v>2012</v>
      </c>
      <c r="AA77" s="12" t="s">
        <v>45</v>
      </c>
      <c r="AB77">
        <v>2021</v>
      </c>
      <c r="AC77" s="3">
        <f t="shared" si="0"/>
        <v>0.19854842367883874</v>
      </c>
      <c r="AE77" t="str">
        <v>$132,110</v>
      </c>
      <c r="AF77" s="1">
        <v>132110</v>
      </c>
    </row>
    <row r="78" spans="1:32" ht="15.75" thickBot="1" x14ac:dyDescent="0.25">
      <c r="Z78" s="12">
        <v>2011</v>
      </c>
      <c r="AA78" s="12" t="s">
        <v>46</v>
      </c>
      <c r="AB78">
        <v>2022</v>
      </c>
      <c r="AC78" s="3">
        <f t="shared" si="0"/>
        <v>0.14417530845507531</v>
      </c>
      <c r="AE78" t="str">
        <v>$151,157</v>
      </c>
      <c r="AF78" s="1">
        <v>151157</v>
      </c>
    </row>
    <row r="79" spans="1:32" ht="15.75" thickBot="1" x14ac:dyDescent="0.25">
      <c r="Z79" s="12">
        <v>2010</v>
      </c>
      <c r="AA79" s="12" t="s">
        <v>47</v>
      </c>
      <c r="AB79">
        <v>2023</v>
      </c>
      <c r="AC79" s="3">
        <f t="shared" si="0"/>
        <v>4.1321275230389594E-2</v>
      </c>
      <c r="AE79" t="str">
        <v>$157,403</v>
      </c>
      <c r="AF79" s="1">
        <v>157403</v>
      </c>
    </row>
    <row r="80" spans="1:32" ht="15" x14ac:dyDescent="0.2">
      <c r="Z80" s="12">
        <v>2009</v>
      </c>
      <c r="AA80" s="12" t="s">
        <v>48</v>
      </c>
      <c r="AB80">
        <v>2024</v>
      </c>
      <c r="AC80" s="3">
        <f t="shared" si="0"/>
        <v>-3.007566564804991E-2</v>
      </c>
      <c r="AE80" t="str">
        <v>$152,669</v>
      </c>
      <c r="AF80" s="1">
        <v>152669</v>
      </c>
    </row>
    <row r="82" spans="1:1" x14ac:dyDescent="0.2">
      <c r="A82" t="s">
        <v>94</v>
      </c>
    </row>
    <row r="84" spans="1:1" x14ac:dyDescent="0.2">
      <c r="A84" t="s">
        <v>59</v>
      </c>
    </row>
    <row r="85" spans="1:1" x14ac:dyDescent="0.2">
      <c r="A85" t="s">
        <v>54</v>
      </c>
    </row>
    <row r="86" spans="1:1" x14ac:dyDescent="0.2">
      <c r="A86" t="s">
        <v>55</v>
      </c>
    </row>
    <row r="87" spans="1:1" x14ac:dyDescent="0.2">
      <c r="A87" t="s">
        <v>56</v>
      </c>
    </row>
    <row r="88" spans="1:1" x14ac:dyDescent="0.2">
      <c r="A88" t="s">
        <v>57</v>
      </c>
    </row>
    <row r="89" spans="1:1" x14ac:dyDescent="0.2">
      <c r="A89" t="s">
        <v>58</v>
      </c>
    </row>
    <row r="105" spans="1:1" x14ac:dyDescent="0.2">
      <c r="A105" t="s">
        <v>65</v>
      </c>
    </row>
    <row r="106" spans="1:1" x14ac:dyDescent="0.2">
      <c r="A106" t="s">
        <v>60</v>
      </c>
    </row>
    <row r="107" spans="1:1" x14ac:dyDescent="0.2">
      <c r="A107" t="s">
        <v>61</v>
      </c>
    </row>
    <row r="108" spans="1:1" ht="15" x14ac:dyDescent="0.25">
      <c r="A108" t="s">
        <v>62</v>
      </c>
    </row>
    <row r="110" spans="1:1" x14ac:dyDescent="0.2">
      <c r="A110" t="s">
        <v>95</v>
      </c>
    </row>
    <row r="111" spans="1:1" x14ac:dyDescent="0.2">
      <c r="A111" t="s">
        <v>96</v>
      </c>
    </row>
    <row r="113" spans="1:1" x14ac:dyDescent="0.2">
      <c r="A113" t="s">
        <v>63</v>
      </c>
    </row>
    <row r="114" spans="1:1" x14ac:dyDescent="0.2">
      <c r="A114" t="s">
        <v>64</v>
      </c>
    </row>
    <row r="115" spans="1:1" x14ac:dyDescent="0.2">
      <c r="A115" t="s">
        <v>97</v>
      </c>
    </row>
    <row r="116" spans="1:1" x14ac:dyDescent="0.2">
      <c r="A116" t="s">
        <v>98</v>
      </c>
    </row>
    <row r="127" spans="1:1" x14ac:dyDescent="0.2">
      <c r="A127" t="s">
        <v>66</v>
      </c>
    </row>
    <row r="128" spans="1:1" x14ac:dyDescent="0.2">
      <c r="A128" t="s">
        <v>67</v>
      </c>
    </row>
    <row r="129" spans="1:1" x14ac:dyDescent="0.2">
      <c r="A129" t="s">
        <v>68</v>
      </c>
    </row>
    <row r="130" spans="1:1" x14ac:dyDescent="0.2">
      <c r="A130" t="s">
        <v>70</v>
      </c>
    </row>
    <row r="131" spans="1:1" x14ac:dyDescent="0.2">
      <c r="A131" t="s">
        <v>69</v>
      </c>
    </row>
    <row r="132" spans="1:1" x14ac:dyDescent="0.2">
      <c r="A132" t="s">
        <v>71</v>
      </c>
    </row>
    <row r="134" spans="1:1" x14ac:dyDescent="0.2">
      <c r="A134" t="s">
        <v>72</v>
      </c>
    </row>
    <row r="135" spans="1:1" x14ac:dyDescent="0.2">
      <c r="A135" t="s">
        <v>73</v>
      </c>
    </row>
    <row r="136" spans="1:1" x14ac:dyDescent="0.2">
      <c r="A136" t="s">
        <v>99</v>
      </c>
    </row>
    <row r="151" spans="1:12" x14ac:dyDescent="0.2">
      <c r="L151" t="s">
        <v>74</v>
      </c>
    </row>
    <row r="153" spans="1:12" x14ac:dyDescent="0.2">
      <c r="A153" t="s">
        <v>75</v>
      </c>
    </row>
    <row r="154" spans="1:12" x14ac:dyDescent="0.2">
      <c r="A154" t="s">
        <v>76</v>
      </c>
    </row>
    <row r="155" spans="1:12" x14ac:dyDescent="0.2">
      <c r="A155" t="s">
        <v>77</v>
      </c>
    </row>
    <row r="157" spans="1:12" x14ac:dyDescent="0.2">
      <c r="A157" t="s">
        <v>100</v>
      </c>
    </row>
    <row r="158" spans="1:12" x14ac:dyDescent="0.2">
      <c r="A158" t="s">
        <v>78</v>
      </c>
    </row>
    <row r="176" spans="1:2" ht="18" x14ac:dyDescent="0.25">
      <c r="A176" s="188" t="s">
        <v>79</v>
      </c>
      <c r="B176" s="188"/>
    </row>
    <row r="177" spans="1:1" x14ac:dyDescent="0.2">
      <c r="A177" t="s">
        <v>80</v>
      </c>
    </row>
    <row r="178" spans="1:1" x14ac:dyDescent="0.2">
      <c r="A178" t="s">
        <v>81</v>
      </c>
    </row>
    <row r="179" spans="1:1" x14ac:dyDescent="0.2">
      <c r="A179" t="s">
        <v>82</v>
      </c>
    </row>
    <row r="180" spans="1:1" x14ac:dyDescent="0.2">
      <c r="A180" t="s">
        <v>83</v>
      </c>
    </row>
    <row r="181" spans="1:1" x14ac:dyDescent="0.2">
      <c r="A181" t="s">
        <v>84</v>
      </c>
    </row>
    <row r="183" spans="1:1" x14ac:dyDescent="0.2">
      <c r="A183" t="s">
        <v>101</v>
      </c>
    </row>
    <row r="184" spans="1:1" x14ac:dyDescent="0.2">
      <c r="A184" t="s">
        <v>85</v>
      </c>
    </row>
    <row r="185" spans="1:1" x14ac:dyDescent="0.2">
      <c r="A185" t="s">
        <v>86</v>
      </c>
    </row>
    <row r="187" spans="1:1" ht="15" x14ac:dyDescent="0.25">
      <c r="A187" t="s">
        <v>119</v>
      </c>
    </row>
    <row r="188" spans="1:1" x14ac:dyDescent="0.2">
      <c r="A188" t="s">
        <v>118</v>
      </c>
    </row>
  </sheetData>
  <mergeCells count="5">
    <mergeCell ref="A12:B12"/>
    <mergeCell ref="A65:C65"/>
    <mergeCell ref="A176:B176"/>
    <mergeCell ref="A3:I7"/>
    <mergeCell ref="A9:I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13FB-646B-41C5-AE57-5F24AC1A58C9}">
  <sheetPr>
    <tabColor theme="5"/>
  </sheetPr>
  <dimension ref="A3:AI272"/>
  <sheetViews>
    <sheetView showGridLines="0" showRowColHeaders="0" topLeftCell="A177" zoomScale="85" zoomScaleNormal="85" workbookViewId="0">
      <selection activeCell="AD175" sqref="AD175:AE188"/>
    </sheetView>
  </sheetViews>
  <sheetFormatPr defaultRowHeight="14.25" x14ac:dyDescent="0.2"/>
  <cols>
    <col min="2" max="2" width="12.875" customWidth="1"/>
    <col min="3" max="3" width="12.5" customWidth="1"/>
    <col min="4" max="4" width="10.625" customWidth="1"/>
    <col min="5" max="5" width="10.75" customWidth="1"/>
    <col min="6" max="6" width="13.75" customWidth="1"/>
    <col min="9" max="9" width="13.5" bestFit="1" customWidth="1"/>
    <col min="28" max="28" width="10.875" customWidth="1"/>
    <col min="29" max="29" width="11.625" customWidth="1"/>
    <col min="30" max="30" width="11.125" bestFit="1" customWidth="1"/>
    <col min="31" max="31" width="14.875" customWidth="1"/>
    <col min="34" max="34" width="11.125" bestFit="1" customWidth="1"/>
  </cols>
  <sheetData>
    <row r="3" spans="1:7" ht="15" thickBot="1" x14ac:dyDescent="0.25"/>
    <row r="4" spans="1:7" x14ac:dyDescent="0.2">
      <c r="A4" s="199" t="s">
        <v>102</v>
      </c>
      <c r="B4" s="200"/>
      <c r="C4" s="200"/>
      <c r="D4" s="200"/>
      <c r="E4" s="200"/>
      <c r="F4" s="200"/>
      <c r="G4" s="201"/>
    </row>
    <row r="5" spans="1:7" x14ac:dyDescent="0.2">
      <c r="A5" s="202"/>
      <c r="B5" s="203"/>
      <c r="C5" s="203"/>
      <c r="D5" s="203"/>
      <c r="E5" s="203"/>
      <c r="F5" s="203"/>
      <c r="G5" s="204"/>
    </row>
    <row r="6" spans="1:7" x14ac:dyDescent="0.2">
      <c r="A6" s="202"/>
      <c r="B6" s="203"/>
      <c r="C6" s="203"/>
      <c r="D6" s="203"/>
      <c r="E6" s="203"/>
      <c r="F6" s="203"/>
      <c r="G6" s="204"/>
    </row>
    <row r="7" spans="1:7" ht="15" thickBot="1" x14ac:dyDescent="0.25">
      <c r="A7" s="205"/>
      <c r="B7" s="206"/>
      <c r="C7" s="206"/>
      <c r="D7" s="206"/>
      <c r="E7" s="206"/>
      <c r="F7" s="206"/>
      <c r="G7" s="207"/>
    </row>
    <row r="10" spans="1:7" x14ac:dyDescent="0.2">
      <c r="A10" t="s">
        <v>103</v>
      </c>
    </row>
    <row r="11" spans="1:7" x14ac:dyDescent="0.2">
      <c r="A11" t="s">
        <v>105</v>
      </c>
    </row>
    <row r="12" spans="1:7" ht="15" x14ac:dyDescent="0.25">
      <c r="A12" t="s">
        <v>106</v>
      </c>
    </row>
    <row r="13" spans="1:7" x14ac:dyDescent="0.2">
      <c r="A13" t="s">
        <v>107</v>
      </c>
    </row>
    <row r="15" spans="1:7" x14ac:dyDescent="0.2">
      <c r="A15" t="s">
        <v>108</v>
      </c>
    </row>
    <row r="17" spans="1:1" ht="18" x14ac:dyDescent="0.35">
      <c r="A17" s="14" t="s">
        <v>104</v>
      </c>
    </row>
    <row r="40" spans="1:1" ht="18" x14ac:dyDescent="0.25">
      <c r="A40" s="15" t="s">
        <v>109</v>
      </c>
    </row>
    <row r="43" spans="1:1" ht="15.75" x14ac:dyDescent="0.25">
      <c r="A43" s="16" t="s">
        <v>110</v>
      </c>
    </row>
    <row r="44" spans="1:1" x14ac:dyDescent="0.2">
      <c r="A44" t="s">
        <v>111</v>
      </c>
    </row>
    <row r="45" spans="1:1" x14ac:dyDescent="0.2">
      <c r="A45" t="s">
        <v>114</v>
      </c>
    </row>
    <row r="46" spans="1:1" x14ac:dyDescent="0.2">
      <c r="A46" t="s">
        <v>112</v>
      </c>
    </row>
    <row r="47" spans="1:1" x14ac:dyDescent="0.2">
      <c r="A47" t="s">
        <v>113</v>
      </c>
    </row>
    <row r="49" spans="2:4" ht="15" thickBot="1" x14ac:dyDescent="0.25"/>
    <row r="50" spans="2:4" x14ac:dyDescent="0.2">
      <c r="B50" s="19" t="s">
        <v>115</v>
      </c>
      <c r="C50" s="20" t="s">
        <v>116</v>
      </c>
      <c r="D50" t="s">
        <v>120</v>
      </c>
    </row>
    <row r="51" spans="2:4" x14ac:dyDescent="0.2">
      <c r="B51" s="21" t="s">
        <v>117</v>
      </c>
      <c r="C51" s="22">
        <v>4.573E-2</v>
      </c>
    </row>
    <row r="52" spans="2:4" x14ac:dyDescent="0.2">
      <c r="B52" s="26">
        <v>1</v>
      </c>
      <c r="C52" s="23">
        <v>0.05</v>
      </c>
      <c r="D52" t="s">
        <v>121</v>
      </c>
    </row>
    <row r="53" spans="2:4" x14ac:dyDescent="0.2">
      <c r="B53" s="26">
        <v>2</v>
      </c>
      <c r="C53" s="24">
        <v>4.165E-2</v>
      </c>
      <c r="D53" t="s">
        <v>122</v>
      </c>
    </row>
    <row r="54" spans="2:4" x14ac:dyDescent="0.2">
      <c r="B54" s="26">
        <v>3</v>
      </c>
      <c r="C54" s="24">
        <f>C53-D60</f>
        <v>3.8667812500000003E-2</v>
      </c>
      <c r="D54" t="s">
        <v>124</v>
      </c>
    </row>
    <row r="55" spans="2:4" x14ac:dyDescent="0.2">
      <c r="B55" s="26">
        <v>4</v>
      </c>
      <c r="C55" s="24">
        <f>C54-D61</f>
        <v>3.5685625000000006E-2</v>
      </c>
      <c r="D55" t="s">
        <v>124</v>
      </c>
    </row>
    <row r="56" spans="2:4" x14ac:dyDescent="0.2">
      <c r="B56" s="26">
        <v>5</v>
      </c>
      <c r="C56" s="24">
        <f>C55-D62</f>
        <v>3.2703437500000009E-2</v>
      </c>
      <c r="D56" t="s">
        <v>124</v>
      </c>
    </row>
    <row r="57" spans="2:4" x14ac:dyDescent="0.2">
      <c r="B57" s="26">
        <v>6</v>
      </c>
      <c r="C57" s="24">
        <f>C56-D63</f>
        <v>2.9721250000000008E-2</v>
      </c>
      <c r="D57" t="s">
        <v>124</v>
      </c>
    </row>
    <row r="58" spans="2:4" ht="15" thickBot="1" x14ac:dyDescent="0.25">
      <c r="B58" s="27">
        <v>7</v>
      </c>
      <c r="C58" s="25">
        <f t="shared" ref="C58" si="0">C57-G61</f>
        <v>2.9721250000000008E-2</v>
      </c>
      <c r="D58" t="s">
        <v>124</v>
      </c>
    </row>
    <row r="60" spans="2:4" x14ac:dyDescent="0.2">
      <c r="B60" t="s">
        <v>123</v>
      </c>
      <c r="D60" s="18">
        <f>9.543%/32</f>
        <v>2.9821874999999996E-3</v>
      </c>
    </row>
    <row r="61" spans="2:4" x14ac:dyDescent="0.2">
      <c r="D61" s="18">
        <f>D60</f>
        <v>2.9821874999999996E-3</v>
      </c>
    </row>
    <row r="62" spans="2:4" x14ac:dyDescent="0.2">
      <c r="D62" s="18">
        <f t="shared" ref="D62:D63" si="1">D61</f>
        <v>2.9821874999999996E-3</v>
      </c>
    </row>
    <row r="63" spans="2:4" x14ac:dyDescent="0.2">
      <c r="D63" s="18">
        <f t="shared" si="1"/>
        <v>2.9821874999999996E-3</v>
      </c>
    </row>
    <row r="69" spans="1:4" ht="15.75" x14ac:dyDescent="0.25">
      <c r="A69" s="16" t="s">
        <v>125</v>
      </c>
    </row>
    <row r="70" spans="1:4" x14ac:dyDescent="0.2">
      <c r="A70" s="28" t="s">
        <v>126</v>
      </c>
      <c r="B70" s="28"/>
    </row>
    <row r="71" spans="1:4" x14ac:dyDescent="0.2">
      <c r="A71" s="29" t="s">
        <v>127</v>
      </c>
      <c r="B71" s="30"/>
    </row>
    <row r="72" spans="1:4" x14ac:dyDescent="0.2">
      <c r="A72" s="31" t="s">
        <v>128</v>
      </c>
      <c r="B72" s="32"/>
    </row>
    <row r="73" spans="1:4" ht="15" x14ac:dyDescent="0.2">
      <c r="A73" s="33" t="s">
        <v>129</v>
      </c>
      <c r="B73" s="34"/>
    </row>
    <row r="74" spans="1:4" x14ac:dyDescent="0.2">
      <c r="A74" s="33"/>
      <c r="B74" s="34"/>
    </row>
    <row r="75" spans="1:4" x14ac:dyDescent="0.2">
      <c r="A75" s="33" t="s">
        <v>130</v>
      </c>
      <c r="B75" s="34"/>
    </row>
    <row r="76" spans="1:4" x14ac:dyDescent="0.2">
      <c r="A76" s="33" t="s">
        <v>131</v>
      </c>
      <c r="B76" s="34"/>
    </row>
    <row r="77" spans="1:4" x14ac:dyDescent="0.2">
      <c r="A77" s="33" t="s">
        <v>132</v>
      </c>
      <c r="B77" s="34"/>
      <c r="C77" t="s">
        <v>133</v>
      </c>
      <c r="D77" s="17">
        <f>AVERAGE(B81:B87)</f>
        <v>4.928571428571428E-2</v>
      </c>
    </row>
    <row r="78" spans="1:4" x14ac:dyDescent="0.2">
      <c r="A78" s="35" t="s">
        <v>134</v>
      </c>
      <c r="B78" s="36">
        <f>AVERAGE(4.24%,4.93%)</f>
        <v>4.5850000000000002E-2</v>
      </c>
    </row>
    <row r="79" spans="1:4" ht="15" thickBot="1" x14ac:dyDescent="0.25">
      <c r="A79" s="35"/>
      <c r="B79" s="36"/>
    </row>
    <row r="80" spans="1:4" x14ac:dyDescent="0.2">
      <c r="A80" s="37" t="s">
        <v>115</v>
      </c>
      <c r="B80" s="38" t="s">
        <v>135</v>
      </c>
      <c r="D80" t="s">
        <v>136</v>
      </c>
    </row>
    <row r="81" spans="1:4" x14ac:dyDescent="0.2">
      <c r="A81" s="39">
        <v>2024</v>
      </c>
      <c r="B81" s="40">
        <v>4.1500000000000002E-2</v>
      </c>
      <c r="C81">
        <v>1</v>
      </c>
      <c r="D81" t="s">
        <v>137</v>
      </c>
    </row>
    <row r="82" spans="1:4" x14ac:dyDescent="0.2">
      <c r="A82" s="39">
        <v>2025</v>
      </c>
      <c r="B82" s="40">
        <v>5.2999999999999999E-2</v>
      </c>
      <c r="C82">
        <v>2</v>
      </c>
      <c r="D82" t="s">
        <v>138</v>
      </c>
    </row>
    <row r="83" spans="1:4" x14ac:dyDescent="0.2">
      <c r="A83" s="39" t="s">
        <v>140</v>
      </c>
      <c r="B83" s="40">
        <v>0.06</v>
      </c>
      <c r="C83">
        <v>3</v>
      </c>
      <c r="D83" t="s">
        <v>139</v>
      </c>
    </row>
    <row r="84" spans="1:4" x14ac:dyDescent="0.2">
      <c r="A84" s="39">
        <v>2026</v>
      </c>
      <c r="B84" s="40">
        <v>5.2999999999999999E-2</v>
      </c>
      <c r="C84">
        <v>4</v>
      </c>
    </row>
    <row r="85" spans="1:4" x14ac:dyDescent="0.2">
      <c r="A85" s="39" t="s">
        <v>141</v>
      </c>
      <c r="B85" s="40">
        <v>0.05</v>
      </c>
      <c r="C85">
        <v>5</v>
      </c>
    </row>
    <row r="86" spans="1:4" x14ac:dyDescent="0.2">
      <c r="A86" s="39">
        <v>2028</v>
      </c>
      <c r="B86" s="40">
        <v>4.4999999999999998E-2</v>
      </c>
      <c r="C86">
        <v>6</v>
      </c>
    </row>
    <row r="87" spans="1:4" ht="15" thickBot="1" x14ac:dyDescent="0.25">
      <c r="A87" s="41">
        <v>2029</v>
      </c>
      <c r="B87" s="42">
        <v>4.2500000000000003E-2</v>
      </c>
      <c r="C87">
        <v>7</v>
      </c>
    </row>
    <row r="93" spans="1:4" ht="15.75" x14ac:dyDescent="0.25">
      <c r="A93" s="16" t="s">
        <v>142</v>
      </c>
    </row>
    <row r="94" spans="1:4" x14ac:dyDescent="0.2">
      <c r="A94" t="s">
        <v>143</v>
      </c>
    </row>
    <row r="95" spans="1:4" x14ac:dyDescent="0.2">
      <c r="A95" t="s">
        <v>144</v>
      </c>
    </row>
    <row r="96" spans="1:4" x14ac:dyDescent="0.2">
      <c r="A96" t="s">
        <v>145</v>
      </c>
    </row>
    <row r="99" spans="1:34" ht="15" thickBot="1" x14ac:dyDescent="0.25"/>
    <row r="100" spans="1:34" x14ac:dyDescent="0.2">
      <c r="A100" s="51" t="s">
        <v>115</v>
      </c>
      <c r="B100" s="52" t="s">
        <v>151</v>
      </c>
    </row>
    <row r="101" spans="1:34" x14ac:dyDescent="0.2">
      <c r="A101" s="47">
        <v>1</v>
      </c>
      <c r="B101" s="49">
        <f>AVERAGE(1.427,1.13)</f>
        <v>1.2785</v>
      </c>
      <c r="C101" t="s">
        <v>152</v>
      </c>
    </row>
    <row r="102" spans="1:34" x14ac:dyDescent="0.2">
      <c r="A102" s="47">
        <v>2</v>
      </c>
      <c r="B102" s="49">
        <v>1.2</v>
      </c>
      <c r="C102" t="s">
        <v>153</v>
      </c>
    </row>
    <row r="103" spans="1:34" x14ac:dyDescent="0.2">
      <c r="A103" s="47">
        <v>3</v>
      </c>
      <c r="B103" s="49">
        <v>1.1499999999999999</v>
      </c>
      <c r="C103" t="s">
        <v>154</v>
      </c>
    </row>
    <row r="104" spans="1:34" x14ac:dyDescent="0.2">
      <c r="A104" s="47">
        <v>4</v>
      </c>
      <c r="B104" s="49">
        <v>1.1000000000000001</v>
      </c>
      <c r="C104" t="s">
        <v>154</v>
      </c>
    </row>
    <row r="105" spans="1:34" x14ac:dyDescent="0.2">
      <c r="A105" s="47">
        <v>5</v>
      </c>
      <c r="B105" s="49">
        <v>1.05</v>
      </c>
      <c r="C105" t="s">
        <v>154</v>
      </c>
    </row>
    <row r="106" spans="1:34" x14ac:dyDescent="0.2">
      <c r="A106" s="47">
        <v>6</v>
      </c>
      <c r="B106" s="49">
        <v>1.03</v>
      </c>
      <c r="C106" t="s">
        <v>154</v>
      </c>
    </row>
    <row r="107" spans="1:34" ht="15" thickBot="1" x14ac:dyDescent="0.25">
      <c r="A107" s="48">
        <v>7</v>
      </c>
      <c r="B107" s="50">
        <v>1.01</v>
      </c>
      <c r="C107" t="s">
        <v>154</v>
      </c>
    </row>
    <row r="108" spans="1:34" ht="15" thickBot="1" x14ac:dyDescent="0.25">
      <c r="AB108" t="s">
        <v>174</v>
      </c>
      <c r="AE108" t="s">
        <v>49</v>
      </c>
      <c r="AH108" t="s">
        <v>196</v>
      </c>
    </row>
    <row r="109" spans="1:34" ht="15.75" thickBot="1" x14ac:dyDescent="0.25">
      <c r="AA109" s="12">
        <v>2024</v>
      </c>
      <c r="AB109" s="12" t="s">
        <v>159</v>
      </c>
      <c r="AC109">
        <v>2009</v>
      </c>
      <c r="AD109" s="1">
        <v>41164</v>
      </c>
      <c r="AE109" s="2"/>
      <c r="AF109" t="str" cm="1">
        <f t="array" ref="AF109:AF124">_xlfn.SORTBY(AB109:AB124,_xlfn.SEQUENCE(ROWS(AB109:AB124)),-1)</f>
        <v>$41,164</v>
      </c>
      <c r="AG109">
        <v>2009</v>
      </c>
    </row>
    <row r="110" spans="1:34" ht="15.75" thickBot="1" x14ac:dyDescent="0.25">
      <c r="AA110" s="12">
        <v>2023</v>
      </c>
      <c r="AB110" s="12" t="s">
        <v>160</v>
      </c>
      <c r="AC110">
        <v>2010</v>
      </c>
      <c r="AD110" s="1">
        <v>40877</v>
      </c>
      <c r="AE110" s="3">
        <f>(AD110-AD109)/AD109</f>
        <v>-6.9721115537848604E-3</v>
      </c>
      <c r="AF110" t="str">
        <v>$40,877</v>
      </c>
      <c r="AG110">
        <v>2010</v>
      </c>
      <c r="AH110" s="1">
        <f>AD110-AD109</f>
        <v>-287</v>
      </c>
    </row>
    <row r="111" spans="1:34" ht="15.75" thickBot="1" x14ac:dyDescent="0.3">
      <c r="A111" s="56" t="s">
        <v>194</v>
      </c>
      <c r="AA111" s="12">
        <v>2022</v>
      </c>
      <c r="AB111" s="12" t="s">
        <v>161</v>
      </c>
      <c r="AC111">
        <v>2011</v>
      </c>
      <c r="AD111" s="1">
        <v>40125</v>
      </c>
      <c r="AE111" s="3">
        <f t="shared" ref="AE111:AE124" si="2">(AD111-AD110)/AD110</f>
        <v>-1.8396653374758421E-2</v>
      </c>
      <c r="AF111" t="str">
        <v>$40,125</v>
      </c>
      <c r="AG111">
        <v>2011</v>
      </c>
      <c r="AH111" s="1">
        <f t="shared" ref="AH111:AH124" si="3">AD111-AD110</f>
        <v>-752</v>
      </c>
    </row>
    <row r="112" spans="1:34" ht="15.75" thickBot="1" x14ac:dyDescent="0.25">
      <c r="AA112" s="12">
        <v>2021</v>
      </c>
      <c r="AB112" s="12" t="s">
        <v>162</v>
      </c>
      <c r="AC112">
        <v>2012</v>
      </c>
      <c r="AD112" s="1">
        <v>40518</v>
      </c>
      <c r="AE112" s="3">
        <f t="shared" si="2"/>
        <v>9.7943925233644862E-3</v>
      </c>
      <c r="AF112" t="str">
        <v>$40,518</v>
      </c>
      <c r="AG112">
        <v>2012</v>
      </c>
      <c r="AH112" s="1">
        <f t="shared" si="3"/>
        <v>393</v>
      </c>
    </row>
    <row r="113" spans="1:34" ht="15.75" thickBot="1" x14ac:dyDescent="0.25">
      <c r="AA113" s="12">
        <v>2020</v>
      </c>
      <c r="AB113" s="12" t="s">
        <v>163</v>
      </c>
      <c r="AC113">
        <v>2013</v>
      </c>
      <c r="AD113" s="1">
        <v>41084</v>
      </c>
      <c r="AE113" s="3">
        <f t="shared" si="2"/>
        <v>1.3969100153018412E-2</v>
      </c>
      <c r="AF113" t="str">
        <v>$41,084</v>
      </c>
      <c r="AG113">
        <v>2013</v>
      </c>
      <c r="AH113" s="1">
        <f t="shared" si="3"/>
        <v>566</v>
      </c>
    </row>
    <row r="114" spans="1:34" ht="15.75" thickBot="1" x14ac:dyDescent="0.25">
      <c r="AA114" s="12">
        <v>2019</v>
      </c>
      <c r="AB114" s="12" t="s">
        <v>164</v>
      </c>
      <c r="AC114">
        <v>2014</v>
      </c>
      <c r="AD114" s="1">
        <v>40518</v>
      </c>
      <c r="AE114" s="3">
        <f t="shared" si="2"/>
        <v>-1.3776652711517866E-2</v>
      </c>
      <c r="AF114" t="str">
        <v>$40,518</v>
      </c>
      <c r="AG114">
        <v>2014</v>
      </c>
      <c r="AH114" s="1">
        <f t="shared" si="3"/>
        <v>-566</v>
      </c>
    </row>
    <row r="115" spans="1:34" ht="15.75" thickBot="1" x14ac:dyDescent="0.25">
      <c r="AA115" s="12">
        <v>2018</v>
      </c>
      <c r="AB115" s="12" t="s">
        <v>165</v>
      </c>
      <c r="AC115">
        <v>2015</v>
      </c>
      <c r="AD115" s="1">
        <v>39946</v>
      </c>
      <c r="AE115" s="3">
        <f t="shared" si="2"/>
        <v>-1.4117182486795991E-2</v>
      </c>
      <c r="AF115" t="str">
        <v>$39,946</v>
      </c>
      <c r="AG115">
        <v>2015</v>
      </c>
      <c r="AH115" s="1">
        <f t="shared" si="3"/>
        <v>-572</v>
      </c>
    </row>
    <row r="116" spans="1:34" ht="15.75" thickBot="1" x14ac:dyDescent="0.25">
      <c r="AA116" s="12">
        <v>2017</v>
      </c>
      <c r="AB116" s="12" t="s">
        <v>166</v>
      </c>
      <c r="AC116">
        <v>2016</v>
      </c>
      <c r="AD116" s="1">
        <v>41973</v>
      </c>
      <c r="AE116" s="3">
        <f t="shared" si="2"/>
        <v>5.0743503730035548E-2</v>
      </c>
      <c r="AF116" t="str">
        <v>$41,973</v>
      </c>
      <c r="AG116">
        <v>2016</v>
      </c>
      <c r="AH116" s="1">
        <f t="shared" si="3"/>
        <v>2027</v>
      </c>
    </row>
    <row r="117" spans="1:34" ht="15.75" thickBot="1" x14ac:dyDescent="0.25">
      <c r="AA117" s="12">
        <v>2016</v>
      </c>
      <c r="AB117" s="12" t="s">
        <v>167</v>
      </c>
      <c r="AC117">
        <v>2017</v>
      </c>
      <c r="AD117" s="1">
        <v>42966</v>
      </c>
      <c r="AE117" s="3">
        <f t="shared" si="2"/>
        <v>2.3658065899506826E-2</v>
      </c>
      <c r="AF117" t="str">
        <v>$42,966</v>
      </c>
      <c r="AG117">
        <v>2017</v>
      </c>
      <c r="AH117" s="1">
        <f t="shared" si="3"/>
        <v>993</v>
      </c>
    </row>
    <row r="118" spans="1:34" ht="15.75" thickBot="1" x14ac:dyDescent="0.25">
      <c r="AA118" s="12">
        <v>2015</v>
      </c>
      <c r="AB118" s="12" t="s">
        <v>168</v>
      </c>
      <c r="AC118">
        <v>2018</v>
      </c>
      <c r="AD118" s="1">
        <v>44529</v>
      </c>
      <c r="AE118" s="3">
        <f t="shared" si="2"/>
        <v>3.6377600893729926E-2</v>
      </c>
      <c r="AF118" t="str">
        <v>$44,529</v>
      </c>
      <c r="AG118">
        <v>2018</v>
      </c>
      <c r="AH118" s="1">
        <f t="shared" si="3"/>
        <v>1563</v>
      </c>
    </row>
    <row r="119" spans="1:34" ht="15.75" thickBot="1" x14ac:dyDescent="0.25">
      <c r="AA119" s="12">
        <v>2014</v>
      </c>
      <c r="AB119" s="12" t="s">
        <v>169</v>
      </c>
      <c r="AC119">
        <v>2019</v>
      </c>
      <c r="AD119" s="1">
        <v>44003</v>
      </c>
      <c r="AE119" s="3">
        <f t="shared" si="2"/>
        <v>-1.1812526668014103E-2</v>
      </c>
      <c r="AF119" t="str">
        <v>$44,003</v>
      </c>
      <c r="AG119">
        <v>2019</v>
      </c>
      <c r="AH119" s="1">
        <f t="shared" si="3"/>
        <v>-526</v>
      </c>
    </row>
    <row r="120" spans="1:34" ht="15.75" thickBot="1" x14ac:dyDescent="0.25">
      <c r="AA120" s="12">
        <v>2013</v>
      </c>
      <c r="AB120" s="12" t="s">
        <v>170</v>
      </c>
      <c r="AC120">
        <v>2020</v>
      </c>
      <c r="AD120" s="1">
        <v>51236</v>
      </c>
      <c r="AE120" s="3">
        <f>(AD120-AD119)/AD119</f>
        <v>0.16437515623934731</v>
      </c>
      <c r="AF120" t="str">
        <v>$51,236</v>
      </c>
      <c r="AG120">
        <v>2020</v>
      </c>
      <c r="AH120" s="1">
        <f t="shared" si="3"/>
        <v>7233</v>
      </c>
    </row>
    <row r="121" spans="1:34" ht="15.75" thickBot="1" x14ac:dyDescent="0.25">
      <c r="AA121" s="12">
        <v>2012</v>
      </c>
      <c r="AB121" s="12" t="s">
        <v>169</v>
      </c>
      <c r="AC121">
        <v>2021</v>
      </c>
      <c r="AD121" s="1">
        <v>70581</v>
      </c>
      <c r="AE121" s="3">
        <f t="shared" si="2"/>
        <v>0.37756655476618001</v>
      </c>
      <c r="AF121" t="str">
        <v>$70,581</v>
      </c>
      <c r="AG121">
        <v>2021</v>
      </c>
      <c r="AH121" s="1">
        <f t="shared" si="3"/>
        <v>19345</v>
      </c>
    </row>
    <row r="122" spans="1:34" ht="15.75" thickBot="1" x14ac:dyDescent="0.25">
      <c r="AA122" s="12">
        <v>2011</v>
      </c>
      <c r="AB122" s="12" t="s">
        <v>171</v>
      </c>
      <c r="AC122">
        <v>2022</v>
      </c>
      <c r="AD122" s="1">
        <v>71876</v>
      </c>
      <c r="AE122" s="3">
        <f t="shared" si="2"/>
        <v>1.8347713974015668E-2</v>
      </c>
      <c r="AF122" t="str">
        <v>$71,876</v>
      </c>
      <c r="AG122">
        <v>2022</v>
      </c>
      <c r="AH122" s="1">
        <f t="shared" si="3"/>
        <v>1295</v>
      </c>
    </row>
    <row r="123" spans="1:34" ht="15.75" thickBot="1" x14ac:dyDescent="0.25">
      <c r="AA123" s="12">
        <v>2010</v>
      </c>
      <c r="AB123" s="12" t="s">
        <v>172</v>
      </c>
      <c r="AC123">
        <v>2023</v>
      </c>
      <c r="AD123" s="1">
        <v>76445</v>
      </c>
      <c r="AE123" s="3">
        <f t="shared" si="2"/>
        <v>6.3567811230452451E-2</v>
      </c>
      <c r="AF123" t="str">
        <v>$76,445</v>
      </c>
      <c r="AG123">
        <v>2023</v>
      </c>
      <c r="AH123" s="1">
        <f t="shared" si="3"/>
        <v>4569</v>
      </c>
    </row>
    <row r="124" spans="1:34" ht="15" x14ac:dyDescent="0.2">
      <c r="AA124" s="12">
        <v>2009</v>
      </c>
      <c r="AB124" s="12" t="s">
        <v>173</v>
      </c>
      <c r="AC124">
        <v>2024</v>
      </c>
      <c r="AD124" s="1">
        <v>76530</v>
      </c>
      <c r="AE124" s="3">
        <f t="shared" si="2"/>
        <v>1.1119105239060763E-3</v>
      </c>
      <c r="AF124" t="str">
        <v>$76,530</v>
      </c>
      <c r="AG124">
        <v>2024</v>
      </c>
      <c r="AH124" s="1">
        <f t="shared" si="3"/>
        <v>85</v>
      </c>
    </row>
    <row r="125" spans="1:34" x14ac:dyDescent="0.2">
      <c r="AC125">
        <v>1</v>
      </c>
      <c r="AD125" s="1"/>
      <c r="AE125" s="2"/>
    </row>
    <row r="126" spans="1:34" x14ac:dyDescent="0.2">
      <c r="AC126">
        <v>2</v>
      </c>
      <c r="AD126" s="1"/>
      <c r="AE126" s="2"/>
    </row>
    <row r="127" spans="1:34" x14ac:dyDescent="0.2">
      <c r="AC127">
        <v>3</v>
      </c>
      <c r="AD127" s="1"/>
      <c r="AE127" s="2"/>
    </row>
    <row r="128" spans="1:34" x14ac:dyDescent="0.2">
      <c r="A128" t="s">
        <v>175</v>
      </c>
      <c r="AC128">
        <v>4</v>
      </c>
      <c r="AD128" s="1"/>
      <c r="AE128" s="2"/>
    </row>
    <row r="129" spans="1:35" x14ac:dyDescent="0.2">
      <c r="A129" t="s">
        <v>176</v>
      </c>
      <c r="AC129">
        <v>5</v>
      </c>
      <c r="AD129" s="1"/>
      <c r="AE129" s="2"/>
    </row>
    <row r="130" spans="1:35" x14ac:dyDescent="0.2">
      <c r="A130" t="s">
        <v>177</v>
      </c>
      <c r="AC130">
        <v>6</v>
      </c>
      <c r="AD130" s="1"/>
      <c r="AE130" s="2"/>
    </row>
    <row r="131" spans="1:35" x14ac:dyDescent="0.2">
      <c r="AC131">
        <v>7</v>
      </c>
      <c r="AD131" s="1"/>
      <c r="AE131" s="2"/>
    </row>
    <row r="132" spans="1:35" x14ac:dyDescent="0.2">
      <c r="A132" t="s">
        <v>178</v>
      </c>
      <c r="AD132" s="1"/>
    </row>
    <row r="133" spans="1:35" ht="15" thickBot="1" x14ac:dyDescent="0.25">
      <c r="A133" t="s">
        <v>179</v>
      </c>
      <c r="AH133" t="s">
        <v>196</v>
      </c>
      <c r="AI133" t="s">
        <v>195</v>
      </c>
    </row>
    <row r="134" spans="1:35" ht="15.75" thickBot="1" x14ac:dyDescent="0.25">
      <c r="AA134" s="12">
        <v>2024</v>
      </c>
      <c r="AB134" s="12" t="s">
        <v>180</v>
      </c>
      <c r="AC134">
        <v>2012</v>
      </c>
      <c r="AD134" s="1">
        <v>22620</v>
      </c>
      <c r="AF134" t="str" cm="1">
        <f t="array" ref="AF134:AF146">_xlfn.SORTBY(AB134:AB146,_xlfn.SEQUENCE(ROWS(AB134:AB146)),-1)</f>
        <v>$22,620</v>
      </c>
      <c r="AG134">
        <v>2012</v>
      </c>
      <c r="AI134" s="3"/>
    </row>
    <row r="135" spans="1:35" ht="15.75" thickBot="1" x14ac:dyDescent="0.3">
      <c r="A135" s="56" t="s">
        <v>193</v>
      </c>
      <c r="AA135" s="12">
        <v>2023</v>
      </c>
      <c r="AB135" s="12" t="s">
        <v>181</v>
      </c>
      <c r="AC135">
        <v>2013</v>
      </c>
      <c r="AD135" s="1">
        <v>23307</v>
      </c>
      <c r="AF135" t="str">
        <v>$23,307</v>
      </c>
      <c r="AG135">
        <v>2013</v>
      </c>
      <c r="AH135" s="1">
        <f>AD135-AD134</f>
        <v>687</v>
      </c>
      <c r="AI135" s="3">
        <f t="shared" ref="AI135:AI146" si="4">(AD135-AD134)/AD134</f>
        <v>3.037135278514589E-2</v>
      </c>
    </row>
    <row r="136" spans="1:35" ht="15.75" thickBot="1" x14ac:dyDescent="0.25">
      <c r="AA136" s="12">
        <v>2022</v>
      </c>
      <c r="AB136" s="12" t="s">
        <v>182</v>
      </c>
      <c r="AC136">
        <v>2014</v>
      </c>
      <c r="AD136" s="1">
        <v>27996</v>
      </c>
      <c r="AF136" t="str">
        <v>$27,996</v>
      </c>
      <c r="AG136">
        <v>2014</v>
      </c>
      <c r="AH136" s="1">
        <f>AD136-AD135</f>
        <v>4689</v>
      </c>
      <c r="AI136" s="3">
        <f t="shared" si="4"/>
        <v>0.20118419358990861</v>
      </c>
    </row>
    <row r="137" spans="1:35" ht="15.75" thickBot="1" x14ac:dyDescent="0.25">
      <c r="AA137" s="12">
        <v>2021</v>
      </c>
      <c r="AB137" s="12" t="s">
        <v>183</v>
      </c>
      <c r="AC137">
        <v>2015</v>
      </c>
      <c r="AD137" s="1">
        <v>30624</v>
      </c>
      <c r="AF137" t="str">
        <v>$30,624</v>
      </c>
      <c r="AG137">
        <v>2015</v>
      </c>
      <c r="AH137" s="1">
        <f t="shared" ref="AH137:AH146" si="5">AD137-AD136</f>
        <v>2628</v>
      </c>
      <c r="AI137" s="3">
        <f t="shared" si="4"/>
        <v>9.3870552936133736E-2</v>
      </c>
    </row>
    <row r="138" spans="1:35" ht="15.75" thickBot="1" x14ac:dyDescent="0.25">
      <c r="AA138" s="12">
        <v>2020</v>
      </c>
      <c r="AB138" s="12" t="s">
        <v>184</v>
      </c>
      <c r="AC138">
        <v>2016</v>
      </c>
      <c r="AD138" s="1">
        <v>35657</v>
      </c>
      <c r="AF138" t="str">
        <v>$35,657</v>
      </c>
      <c r="AG138">
        <v>2016</v>
      </c>
      <c r="AH138" s="1">
        <f t="shared" si="5"/>
        <v>5033</v>
      </c>
      <c r="AI138" s="3">
        <f t="shared" si="4"/>
        <v>0.164348223615465</v>
      </c>
    </row>
    <row r="139" spans="1:35" ht="15.75" thickBot="1" x14ac:dyDescent="0.25">
      <c r="AA139" s="12">
        <v>2019</v>
      </c>
      <c r="AB139" s="12" t="s">
        <v>185</v>
      </c>
      <c r="AC139">
        <v>2017</v>
      </c>
      <c r="AD139" s="1">
        <v>38633</v>
      </c>
      <c r="AF139" t="str">
        <v>$38,633</v>
      </c>
      <c r="AG139">
        <v>2017</v>
      </c>
      <c r="AH139" s="1">
        <f t="shared" si="5"/>
        <v>2976</v>
      </c>
      <c r="AI139" s="3">
        <f t="shared" si="4"/>
        <v>8.3461872844041843E-2</v>
      </c>
    </row>
    <row r="140" spans="1:35" ht="15.75" thickBot="1" x14ac:dyDescent="0.25">
      <c r="AA140" s="12">
        <v>2018</v>
      </c>
      <c r="AB140" s="12" t="s">
        <v>186</v>
      </c>
      <c r="AC140">
        <v>2018</v>
      </c>
      <c r="AD140" s="1">
        <v>43075</v>
      </c>
      <c r="AF140" t="str">
        <v>$43,075</v>
      </c>
      <c r="AG140">
        <v>2018</v>
      </c>
      <c r="AH140" s="1">
        <f t="shared" si="5"/>
        <v>4442</v>
      </c>
      <c r="AI140" s="3">
        <f t="shared" si="4"/>
        <v>0.11497942173789248</v>
      </c>
    </row>
    <row r="141" spans="1:35" ht="15.75" thickBot="1" x14ac:dyDescent="0.25">
      <c r="AA141" s="12">
        <v>2017</v>
      </c>
      <c r="AB141" s="12" t="s">
        <v>187</v>
      </c>
      <c r="AC141">
        <v>2019</v>
      </c>
      <c r="AD141" s="1">
        <v>45881</v>
      </c>
      <c r="AF141" t="str">
        <v>$45,881</v>
      </c>
      <c r="AG141">
        <v>2019</v>
      </c>
      <c r="AH141" s="1">
        <f t="shared" si="5"/>
        <v>2806</v>
      </c>
      <c r="AI141" s="3">
        <f t="shared" si="4"/>
        <v>6.5142193847939636E-2</v>
      </c>
    </row>
    <row r="142" spans="1:35" ht="15.75" thickBot="1" x14ac:dyDescent="0.25">
      <c r="AA142" s="12">
        <v>2016</v>
      </c>
      <c r="AB142" s="12" t="s">
        <v>188</v>
      </c>
      <c r="AC142">
        <v>2020</v>
      </c>
      <c r="AD142" s="1">
        <v>54352</v>
      </c>
      <c r="AF142" t="str">
        <v>$54,352</v>
      </c>
      <c r="AG142">
        <v>2020</v>
      </c>
      <c r="AH142" s="1">
        <f t="shared" si="5"/>
        <v>8471</v>
      </c>
      <c r="AI142" s="3">
        <f t="shared" si="4"/>
        <v>0.18462980318650421</v>
      </c>
    </row>
    <row r="143" spans="1:35" ht="15.75" thickBot="1" x14ac:dyDescent="0.25">
      <c r="AA143" s="12">
        <v>2015</v>
      </c>
      <c r="AB143" s="12" t="s">
        <v>189</v>
      </c>
      <c r="AC143">
        <v>2021</v>
      </c>
      <c r="AD143" s="1">
        <v>67282</v>
      </c>
      <c r="AF143" t="str">
        <v>$67,282</v>
      </c>
      <c r="AG143">
        <v>2021</v>
      </c>
      <c r="AH143" s="1">
        <f>AD143-AD142</f>
        <v>12930</v>
      </c>
      <c r="AI143" s="3">
        <f t="shared" si="4"/>
        <v>0.23789372976155432</v>
      </c>
    </row>
    <row r="144" spans="1:35" ht="15.75" thickBot="1" x14ac:dyDescent="0.25">
      <c r="AA144" s="12">
        <v>2014</v>
      </c>
      <c r="AB144" s="12" t="s">
        <v>190</v>
      </c>
      <c r="AC144">
        <v>2022</v>
      </c>
      <c r="AD144" s="1">
        <v>73572</v>
      </c>
      <c r="AF144" t="str">
        <v>$73,572</v>
      </c>
      <c r="AG144">
        <v>2022</v>
      </c>
      <c r="AH144" s="1">
        <f t="shared" si="5"/>
        <v>6290</v>
      </c>
      <c r="AI144" s="3">
        <f t="shared" si="4"/>
        <v>9.3487113938349034E-2</v>
      </c>
    </row>
    <row r="145" spans="1:35" ht="15.75" thickBot="1" x14ac:dyDescent="0.25">
      <c r="AA145" s="12">
        <v>2013</v>
      </c>
      <c r="AB145" s="12" t="s">
        <v>191</v>
      </c>
      <c r="AC145">
        <v>2023</v>
      </c>
      <c r="AD145" s="1">
        <v>74883</v>
      </c>
      <c r="AF145" t="str">
        <v>$74,883</v>
      </c>
      <c r="AG145">
        <v>2023</v>
      </c>
      <c r="AH145" s="1">
        <f t="shared" si="5"/>
        <v>1311</v>
      </c>
      <c r="AI145" s="3">
        <f t="shared" si="4"/>
        <v>1.7819279073560592E-2</v>
      </c>
    </row>
    <row r="146" spans="1:35" ht="15" x14ac:dyDescent="0.2">
      <c r="AA146" s="12">
        <v>2012</v>
      </c>
      <c r="AB146" s="12" t="s">
        <v>192</v>
      </c>
      <c r="AC146">
        <v>2024</v>
      </c>
      <c r="AD146" s="1">
        <v>75486</v>
      </c>
      <c r="AF146" t="str">
        <v>$75,486</v>
      </c>
      <c r="AG146">
        <v>2024</v>
      </c>
      <c r="AH146" s="1">
        <f t="shared" si="5"/>
        <v>603</v>
      </c>
      <c r="AI146" s="3">
        <f t="shared" si="4"/>
        <v>8.0525619967148753E-3</v>
      </c>
    </row>
    <row r="155" spans="1:35" x14ac:dyDescent="0.2">
      <c r="A155" t="s">
        <v>197</v>
      </c>
    </row>
    <row r="156" spans="1:35" x14ac:dyDescent="0.2">
      <c r="A156" t="s">
        <v>198</v>
      </c>
    </row>
    <row r="157" spans="1:35" x14ac:dyDescent="0.2">
      <c r="A157" t="s">
        <v>199</v>
      </c>
    </row>
    <row r="158" spans="1:35" x14ac:dyDescent="0.2">
      <c r="A158" t="s">
        <v>200</v>
      </c>
    </row>
    <row r="160" spans="1:35" x14ac:dyDescent="0.2">
      <c r="A160" t="s">
        <v>201</v>
      </c>
    </row>
    <row r="173" spans="27:32" x14ac:dyDescent="0.2">
      <c r="AB173" s="1"/>
    </row>
    <row r="174" spans="27:32" x14ac:dyDescent="0.2">
      <c r="AB174" s="1"/>
    </row>
    <row r="175" spans="27:32" x14ac:dyDescent="0.2">
      <c r="AB175" s="1" t="s">
        <v>203</v>
      </c>
      <c r="AC175" t="s">
        <v>204</v>
      </c>
      <c r="AE175" t="s">
        <v>205</v>
      </c>
      <c r="AF175" t="s">
        <v>209</v>
      </c>
    </row>
    <row r="176" spans="27:32" x14ac:dyDescent="0.2">
      <c r="AA176">
        <v>2012</v>
      </c>
      <c r="AB176" s="1">
        <v>40518</v>
      </c>
      <c r="AC176" s="1">
        <v>22620</v>
      </c>
      <c r="AD176">
        <v>2012</v>
      </c>
      <c r="AE176" s="1">
        <f t="shared" ref="AE176:AE188" si="6">AB176-AC176</f>
        <v>17898</v>
      </c>
    </row>
    <row r="177" spans="1:34" ht="15" x14ac:dyDescent="0.25">
      <c r="A177" s="56" t="s">
        <v>207</v>
      </c>
      <c r="AA177">
        <v>2013</v>
      </c>
      <c r="AB177" s="1">
        <v>41084</v>
      </c>
      <c r="AC177" s="1">
        <v>23307</v>
      </c>
      <c r="AD177">
        <v>2013</v>
      </c>
      <c r="AE177" s="1">
        <f t="shared" si="6"/>
        <v>17777</v>
      </c>
      <c r="AF177" s="3">
        <f>(AE177-AE176)/AE176</f>
        <v>-6.7605319030059228E-3</v>
      </c>
      <c r="AH177" s="55">
        <f>AVERAGE(AF177:AF188)</f>
        <v>-0.77638492750040078</v>
      </c>
    </row>
    <row r="178" spans="1:34" x14ac:dyDescent="0.2">
      <c r="A178" t="s">
        <v>202</v>
      </c>
      <c r="AA178">
        <v>2014</v>
      </c>
      <c r="AB178" s="1">
        <v>40518</v>
      </c>
      <c r="AC178" s="1">
        <v>27996</v>
      </c>
      <c r="AD178">
        <v>2014</v>
      </c>
      <c r="AE178" s="1">
        <f t="shared" si="6"/>
        <v>12522</v>
      </c>
      <c r="AF178" s="3">
        <f t="shared" ref="AF178:AF195" si="7">(AE178-AE177)/AE177</f>
        <v>-0.29560668279237218</v>
      </c>
    </row>
    <row r="179" spans="1:34" x14ac:dyDescent="0.2">
      <c r="K179" t="s">
        <v>206</v>
      </c>
      <c r="AA179">
        <v>2015</v>
      </c>
      <c r="AB179" s="1">
        <v>39946</v>
      </c>
      <c r="AC179" s="1">
        <v>30624</v>
      </c>
      <c r="AD179">
        <v>2015</v>
      </c>
      <c r="AE179" s="1">
        <f t="shared" si="6"/>
        <v>9322</v>
      </c>
      <c r="AF179" s="3">
        <f t="shared" si="7"/>
        <v>-0.25555023159239737</v>
      </c>
    </row>
    <row r="180" spans="1:34" x14ac:dyDescent="0.2">
      <c r="AA180">
        <v>2016</v>
      </c>
      <c r="AB180" s="1">
        <v>41973</v>
      </c>
      <c r="AC180" s="1">
        <v>35657</v>
      </c>
      <c r="AD180">
        <v>2016</v>
      </c>
      <c r="AE180" s="1">
        <f t="shared" si="6"/>
        <v>6316</v>
      </c>
      <c r="AF180" s="3">
        <f t="shared" si="7"/>
        <v>-0.3224629907745119</v>
      </c>
    </row>
    <row r="181" spans="1:34" x14ac:dyDescent="0.2">
      <c r="AA181">
        <v>2017</v>
      </c>
      <c r="AB181" s="1">
        <v>42966</v>
      </c>
      <c r="AC181" s="1">
        <v>38633</v>
      </c>
      <c r="AD181">
        <v>2017</v>
      </c>
      <c r="AE181" s="1">
        <f t="shared" si="6"/>
        <v>4333</v>
      </c>
      <c r="AF181" s="3">
        <f t="shared" si="7"/>
        <v>-0.31396453451551615</v>
      </c>
    </row>
    <row r="182" spans="1:34" x14ac:dyDescent="0.2">
      <c r="AA182">
        <v>2018</v>
      </c>
      <c r="AB182" s="1">
        <v>44529</v>
      </c>
      <c r="AC182" s="1">
        <v>43075</v>
      </c>
      <c r="AD182">
        <v>2018</v>
      </c>
      <c r="AE182" s="1">
        <f t="shared" si="6"/>
        <v>1454</v>
      </c>
      <c r="AF182" s="3">
        <f t="shared" si="7"/>
        <v>-0.66443572582506349</v>
      </c>
    </row>
    <row r="183" spans="1:34" x14ac:dyDescent="0.2">
      <c r="AA183">
        <v>2019</v>
      </c>
      <c r="AB183" s="1">
        <v>44003</v>
      </c>
      <c r="AC183" s="1">
        <v>45881</v>
      </c>
      <c r="AD183">
        <v>2019</v>
      </c>
      <c r="AE183" s="1">
        <f t="shared" si="6"/>
        <v>-1878</v>
      </c>
      <c r="AF183" s="3">
        <f t="shared" si="7"/>
        <v>-2.2916093535075652</v>
      </c>
    </row>
    <row r="184" spans="1:34" x14ac:dyDescent="0.2">
      <c r="AA184">
        <v>2020</v>
      </c>
      <c r="AB184" s="1">
        <v>51236</v>
      </c>
      <c r="AC184" s="1">
        <v>54352</v>
      </c>
      <c r="AD184">
        <v>2020</v>
      </c>
      <c r="AE184" s="1">
        <f t="shared" si="6"/>
        <v>-3116</v>
      </c>
      <c r="AF184" s="3">
        <f t="shared" si="7"/>
        <v>0.65921192758253466</v>
      </c>
    </row>
    <row r="185" spans="1:34" x14ac:dyDescent="0.2">
      <c r="AA185">
        <v>2021</v>
      </c>
      <c r="AB185" s="1">
        <v>70581</v>
      </c>
      <c r="AC185" s="1">
        <v>67282</v>
      </c>
      <c r="AD185">
        <v>2021</v>
      </c>
      <c r="AE185" s="1">
        <f t="shared" si="6"/>
        <v>3299</v>
      </c>
      <c r="AF185" s="3">
        <f t="shared" si="7"/>
        <v>-2.0587291399229781</v>
      </c>
    </row>
    <row r="186" spans="1:34" x14ac:dyDescent="0.2">
      <c r="AA186">
        <v>2022</v>
      </c>
      <c r="AB186" s="1">
        <v>71876</v>
      </c>
      <c r="AC186" s="1">
        <v>73572</v>
      </c>
      <c r="AD186">
        <v>2022</v>
      </c>
      <c r="AE186" s="1">
        <f t="shared" si="6"/>
        <v>-1696</v>
      </c>
      <c r="AF186" s="3">
        <f t="shared" si="7"/>
        <v>-1.5140951803576841</v>
      </c>
    </row>
    <row r="187" spans="1:34" x14ac:dyDescent="0.2">
      <c r="AA187">
        <v>2023</v>
      </c>
      <c r="AB187" s="1">
        <v>76445</v>
      </c>
      <c r="AC187" s="1">
        <v>74883</v>
      </c>
      <c r="AD187">
        <v>2023</v>
      </c>
      <c r="AE187" s="1">
        <f t="shared" si="6"/>
        <v>1562</v>
      </c>
      <c r="AF187" s="3">
        <f t="shared" si="7"/>
        <v>-1.9209905660377358</v>
      </c>
    </row>
    <row r="188" spans="1:34" x14ac:dyDescent="0.2">
      <c r="AA188">
        <v>2024</v>
      </c>
      <c r="AB188" s="1">
        <v>76530</v>
      </c>
      <c r="AC188" s="1">
        <v>75486</v>
      </c>
      <c r="AD188">
        <v>2024</v>
      </c>
      <c r="AE188" s="1">
        <f t="shared" si="6"/>
        <v>1044</v>
      </c>
      <c r="AF188" s="3">
        <f t="shared" si="7"/>
        <v>-0.33162612035851474</v>
      </c>
    </row>
    <row r="189" spans="1:34" x14ac:dyDescent="0.2">
      <c r="AC189" s="1"/>
      <c r="AD189" s="57">
        <v>2025</v>
      </c>
      <c r="AE189" s="58">
        <v>1000</v>
      </c>
      <c r="AF189" s="3">
        <f t="shared" si="7"/>
        <v>-4.2145593869731802E-2</v>
      </c>
    </row>
    <row r="190" spans="1:34" x14ac:dyDescent="0.2">
      <c r="AC190" s="1"/>
      <c r="AD190" s="57">
        <v>2026</v>
      </c>
      <c r="AE190" s="58">
        <v>900</v>
      </c>
      <c r="AF190" s="3">
        <f t="shared" si="7"/>
        <v>-0.1</v>
      </c>
    </row>
    <row r="191" spans="1:34" x14ac:dyDescent="0.2">
      <c r="AD191" s="57">
        <v>2027</v>
      </c>
      <c r="AE191" s="58">
        <v>800</v>
      </c>
      <c r="AF191" s="3">
        <f t="shared" si="7"/>
        <v>-0.1111111111111111</v>
      </c>
    </row>
    <row r="192" spans="1:34" x14ac:dyDescent="0.2">
      <c r="AD192" s="57">
        <v>2028</v>
      </c>
      <c r="AE192" s="58">
        <v>1000</v>
      </c>
      <c r="AF192" s="3">
        <f t="shared" si="7"/>
        <v>0.25</v>
      </c>
    </row>
    <row r="193" spans="1:32" x14ac:dyDescent="0.2">
      <c r="AD193" s="57">
        <v>2029</v>
      </c>
      <c r="AE193" s="58">
        <v>1200</v>
      </c>
      <c r="AF193" s="3">
        <f t="shared" si="7"/>
        <v>0.2</v>
      </c>
    </row>
    <row r="194" spans="1:32" x14ac:dyDescent="0.2">
      <c r="AD194" s="57">
        <v>2030</v>
      </c>
      <c r="AE194" s="58">
        <v>1700</v>
      </c>
      <c r="AF194" s="3">
        <f t="shared" si="7"/>
        <v>0.41666666666666669</v>
      </c>
    </row>
    <row r="195" spans="1:32" x14ac:dyDescent="0.2">
      <c r="AD195" s="57">
        <v>2031</v>
      </c>
      <c r="AE195" s="58">
        <v>2500</v>
      </c>
      <c r="AF195" s="3">
        <f t="shared" si="7"/>
        <v>0.47058823529411764</v>
      </c>
    </row>
    <row r="201" spans="1:32" x14ac:dyDescent="0.2">
      <c r="A201" t="s">
        <v>208</v>
      </c>
    </row>
    <row r="234" spans="1:6" ht="15.75" x14ac:dyDescent="0.25">
      <c r="A234" s="16" t="s">
        <v>211</v>
      </c>
    </row>
    <row r="236" spans="1:6" ht="15" thickBot="1" x14ac:dyDescent="0.25"/>
    <row r="237" spans="1:6" x14ac:dyDescent="0.2">
      <c r="B237" s="19" t="s">
        <v>115</v>
      </c>
      <c r="C237" s="53" t="s">
        <v>155</v>
      </c>
      <c r="D237" s="53" t="s">
        <v>156</v>
      </c>
      <c r="E237" s="53" t="s">
        <v>157</v>
      </c>
      <c r="F237" s="20" t="s">
        <v>158</v>
      </c>
    </row>
    <row r="238" spans="1:6" x14ac:dyDescent="0.2">
      <c r="B238" s="21">
        <v>1</v>
      </c>
      <c r="C238" s="5">
        <v>0.24</v>
      </c>
      <c r="D238" s="43">
        <f>23.11</f>
        <v>23.11</v>
      </c>
      <c r="E238" s="43">
        <f t="shared" ref="E238:E244" si="8">B101</f>
        <v>1.2785</v>
      </c>
      <c r="F238" s="44">
        <f>E238*(1+(1-C238)*D238)</f>
        <v>23.733562599999999</v>
      </c>
    </row>
    <row r="239" spans="1:6" x14ac:dyDescent="0.2">
      <c r="B239" s="21">
        <v>2</v>
      </c>
      <c r="C239" s="5">
        <f>C238</f>
        <v>0.24</v>
      </c>
      <c r="D239" s="43"/>
      <c r="E239" s="43">
        <f t="shared" si="8"/>
        <v>1.2</v>
      </c>
      <c r="F239" s="44"/>
    </row>
    <row r="240" spans="1:6" x14ac:dyDescent="0.2">
      <c r="B240" s="21">
        <v>3</v>
      </c>
      <c r="C240" s="5">
        <f t="shared" ref="C240:C244" si="9">C239</f>
        <v>0.24</v>
      </c>
      <c r="D240" s="43"/>
      <c r="E240" s="43">
        <f t="shared" si="8"/>
        <v>1.1499999999999999</v>
      </c>
      <c r="F240" s="44"/>
    </row>
    <row r="241" spans="1:9" x14ac:dyDescent="0.2">
      <c r="B241" s="21">
        <v>4</v>
      </c>
      <c r="C241" s="5">
        <f t="shared" si="9"/>
        <v>0.24</v>
      </c>
      <c r="D241" s="43"/>
      <c r="E241" s="43">
        <f t="shared" si="8"/>
        <v>1.1000000000000001</v>
      </c>
      <c r="F241" s="44"/>
    </row>
    <row r="242" spans="1:9" x14ac:dyDescent="0.2">
      <c r="B242" s="21">
        <v>5</v>
      </c>
      <c r="C242" s="5">
        <f t="shared" si="9"/>
        <v>0.24</v>
      </c>
      <c r="D242" s="43"/>
      <c r="E242" s="43">
        <f t="shared" si="8"/>
        <v>1.05</v>
      </c>
      <c r="F242" s="44"/>
    </row>
    <row r="243" spans="1:9" x14ac:dyDescent="0.2">
      <c r="B243" s="21">
        <v>6</v>
      </c>
      <c r="C243" s="5">
        <f t="shared" si="9"/>
        <v>0.24</v>
      </c>
      <c r="D243" s="43"/>
      <c r="E243" s="43">
        <f t="shared" si="8"/>
        <v>1.03</v>
      </c>
      <c r="F243" s="44"/>
    </row>
    <row r="244" spans="1:9" x14ac:dyDescent="0.2">
      <c r="B244" s="59">
        <v>7</v>
      </c>
      <c r="C244" s="60">
        <f t="shared" si="9"/>
        <v>0.24</v>
      </c>
      <c r="D244" s="61"/>
      <c r="E244" s="61">
        <f t="shared" si="8"/>
        <v>1.01</v>
      </c>
      <c r="F244" s="62"/>
    </row>
    <row r="245" spans="1:9" ht="15" thickBot="1" x14ac:dyDescent="0.25">
      <c r="B245" s="45" t="s">
        <v>210</v>
      </c>
      <c r="C245" s="63">
        <v>0.24</v>
      </c>
      <c r="D245" s="54"/>
      <c r="E245" s="54">
        <v>1</v>
      </c>
      <c r="F245" s="46"/>
    </row>
    <row r="250" spans="1:9" ht="15.75" x14ac:dyDescent="0.25">
      <c r="A250" s="16" t="s">
        <v>212</v>
      </c>
    </row>
    <row r="251" spans="1:9" ht="15" thickBot="1" x14ac:dyDescent="0.25"/>
    <row r="252" spans="1:9" ht="15" x14ac:dyDescent="0.25">
      <c r="B252" s="51" t="s">
        <v>115</v>
      </c>
      <c r="C252" s="64" t="s">
        <v>116</v>
      </c>
      <c r="D252" s="64" t="s">
        <v>135</v>
      </c>
      <c r="E252" s="64" t="s">
        <v>211</v>
      </c>
      <c r="F252" s="66" t="s">
        <v>212</v>
      </c>
      <c r="H252">
        <v>2025</v>
      </c>
      <c r="I252" s="69">
        <f>F253</f>
        <v>0.10305775</v>
      </c>
    </row>
    <row r="253" spans="1:9" ht="15" x14ac:dyDescent="0.25">
      <c r="B253" s="21">
        <v>1</v>
      </c>
      <c r="C253" s="65">
        <f>C52</f>
        <v>0.05</v>
      </c>
      <c r="D253" s="65">
        <f>B81</f>
        <v>4.1500000000000002E-2</v>
      </c>
      <c r="E253" s="43">
        <f>E238</f>
        <v>1.2785</v>
      </c>
      <c r="F253" s="67">
        <f>C253+(D253*E253)</f>
        <v>0.10305775</v>
      </c>
      <c r="H253">
        <v>2026</v>
      </c>
      <c r="I253" s="69">
        <f t="shared" ref="I253:I259" si="10">F254</f>
        <v>0.10524999999999998</v>
      </c>
    </row>
    <row r="254" spans="1:9" ht="15" x14ac:dyDescent="0.25">
      <c r="B254" s="21">
        <v>2</v>
      </c>
      <c r="C254" s="65">
        <f t="shared" ref="C254:C259" si="11">C53</f>
        <v>4.165E-2</v>
      </c>
      <c r="D254" s="65">
        <f t="shared" ref="D254:D259" si="12">B82</f>
        <v>5.2999999999999999E-2</v>
      </c>
      <c r="E254" s="43">
        <f t="shared" ref="E254:E260" si="13">E239</f>
        <v>1.2</v>
      </c>
      <c r="F254" s="67">
        <f t="shared" ref="F254:F259" si="14">C254+(D254*E254)</f>
        <v>0.10524999999999998</v>
      </c>
      <c r="H254">
        <v>2027</v>
      </c>
      <c r="I254" s="69">
        <f t="shared" si="10"/>
        <v>0.10766781249999999</v>
      </c>
    </row>
    <row r="255" spans="1:9" ht="15" x14ac:dyDescent="0.25">
      <c r="B255" s="21">
        <v>3</v>
      </c>
      <c r="C255" s="65">
        <f t="shared" si="11"/>
        <v>3.8667812500000003E-2</v>
      </c>
      <c r="D255" s="65">
        <f t="shared" si="12"/>
        <v>0.06</v>
      </c>
      <c r="E255" s="43">
        <f t="shared" si="13"/>
        <v>1.1499999999999999</v>
      </c>
      <c r="F255" s="67">
        <f t="shared" si="14"/>
        <v>0.10766781249999999</v>
      </c>
      <c r="H255">
        <v>2028</v>
      </c>
      <c r="I255" s="69">
        <f t="shared" si="10"/>
        <v>9.3985625000000017E-2</v>
      </c>
    </row>
    <row r="256" spans="1:9" ht="15" x14ac:dyDescent="0.25">
      <c r="B256" s="21">
        <v>4</v>
      </c>
      <c r="C256" s="65">
        <f t="shared" si="11"/>
        <v>3.5685625000000006E-2</v>
      </c>
      <c r="D256" s="65">
        <f t="shared" si="12"/>
        <v>5.2999999999999999E-2</v>
      </c>
      <c r="E256" s="43">
        <f t="shared" si="13"/>
        <v>1.1000000000000001</v>
      </c>
      <c r="F256" s="67">
        <f t="shared" si="14"/>
        <v>9.3985625000000017E-2</v>
      </c>
      <c r="H256">
        <v>2029</v>
      </c>
      <c r="I256" s="69">
        <f t="shared" si="10"/>
        <v>8.5203437500000007E-2</v>
      </c>
    </row>
    <row r="257" spans="1:9" ht="15" x14ac:dyDescent="0.25">
      <c r="B257" s="21">
        <v>5</v>
      </c>
      <c r="C257" s="65">
        <f t="shared" si="11"/>
        <v>3.2703437500000009E-2</v>
      </c>
      <c r="D257" s="65">
        <f t="shared" si="12"/>
        <v>0.05</v>
      </c>
      <c r="E257" s="43">
        <f t="shared" si="13"/>
        <v>1.05</v>
      </c>
      <c r="F257" s="67">
        <f t="shared" si="14"/>
        <v>8.5203437500000007E-2</v>
      </c>
      <c r="H257">
        <v>2030</v>
      </c>
      <c r="I257" s="69">
        <f t="shared" si="10"/>
        <v>7.6071250000000007E-2</v>
      </c>
    </row>
    <row r="258" spans="1:9" ht="15" x14ac:dyDescent="0.25">
      <c r="B258" s="21">
        <v>6</v>
      </c>
      <c r="C258" s="65">
        <f t="shared" si="11"/>
        <v>2.9721250000000008E-2</v>
      </c>
      <c r="D258" s="65">
        <f t="shared" si="12"/>
        <v>4.4999999999999998E-2</v>
      </c>
      <c r="E258" s="43">
        <f t="shared" si="13"/>
        <v>1.03</v>
      </c>
      <c r="F258" s="67">
        <f t="shared" si="14"/>
        <v>7.6071250000000007E-2</v>
      </c>
      <c r="H258">
        <v>2031</v>
      </c>
      <c r="I258" s="69">
        <f t="shared" si="10"/>
        <v>7.2646250000000009E-2</v>
      </c>
    </row>
    <row r="259" spans="1:9" ht="15" x14ac:dyDescent="0.25">
      <c r="B259" s="21">
        <v>7</v>
      </c>
      <c r="C259" s="65">
        <f t="shared" si="11"/>
        <v>2.9721250000000008E-2</v>
      </c>
      <c r="D259" s="65">
        <f t="shared" si="12"/>
        <v>4.2500000000000003E-2</v>
      </c>
      <c r="E259" s="43">
        <f t="shared" si="13"/>
        <v>1.01</v>
      </c>
      <c r="F259" s="67">
        <f t="shared" si="14"/>
        <v>7.2646250000000009E-2</v>
      </c>
      <c r="H259" t="s">
        <v>210</v>
      </c>
      <c r="I259" s="69">
        <f t="shared" si="10"/>
        <v>7.0000000000000007E-2</v>
      </c>
    </row>
    <row r="260" spans="1:9" ht="15" thickBot="1" x14ac:dyDescent="0.25">
      <c r="B260" s="45" t="s">
        <v>210</v>
      </c>
      <c r="C260" s="65"/>
      <c r="D260" s="65">
        <f>4.25%</f>
        <v>4.2500000000000003E-2</v>
      </c>
      <c r="E260" s="43">
        <f t="shared" si="13"/>
        <v>1</v>
      </c>
      <c r="F260" s="68">
        <f>7%</f>
        <v>7.0000000000000007E-2</v>
      </c>
      <c r="I260" s="69"/>
    </row>
    <row r="268" spans="1:9" ht="15.75" x14ac:dyDescent="0.25">
      <c r="A268" s="16" t="s">
        <v>213</v>
      </c>
    </row>
    <row r="270" spans="1:9" x14ac:dyDescent="0.2">
      <c r="A270" t="s">
        <v>214</v>
      </c>
      <c r="C270" s="1">
        <v>325</v>
      </c>
    </row>
    <row r="271" spans="1:9" ht="15" thickBot="1" x14ac:dyDescent="0.25">
      <c r="A271" t="s">
        <v>215</v>
      </c>
      <c r="C271" s="70">
        <v>991614186</v>
      </c>
    </row>
    <row r="272" spans="1:9" ht="15" thickBot="1" x14ac:dyDescent="0.25">
      <c r="A272" t="s">
        <v>216</v>
      </c>
      <c r="C272" s="71">
        <f>C270*C271/1000000</f>
        <v>322274.61044999998</v>
      </c>
      <c r="D272" t="s">
        <v>217</v>
      </c>
    </row>
  </sheetData>
  <mergeCells count="1">
    <mergeCell ref="A4:G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38226-4CD0-4839-9E47-5B9699382117}">
  <sheetPr>
    <tabColor theme="5"/>
  </sheetPr>
  <dimension ref="A2:AA119"/>
  <sheetViews>
    <sheetView showGridLines="0" showRowColHeaders="0" topLeftCell="A96" workbookViewId="0">
      <selection activeCell="N57" sqref="N57"/>
    </sheetView>
  </sheetViews>
  <sheetFormatPr defaultRowHeight="14.25" x14ac:dyDescent="0.2"/>
  <cols>
    <col min="2" max="2" width="16.625" customWidth="1"/>
    <col min="3" max="3" width="11" bestFit="1" customWidth="1"/>
    <col min="4" max="4" width="10" customWidth="1"/>
    <col min="5" max="5" width="11.5" customWidth="1"/>
    <col min="6" max="10" width="10" bestFit="1" customWidth="1"/>
    <col min="11" max="24" width="9.25" customWidth="1"/>
    <col min="25" max="25" width="10" bestFit="1" customWidth="1"/>
  </cols>
  <sheetData>
    <row r="2" spans="1:7" ht="15" thickBot="1" x14ac:dyDescent="0.25"/>
    <row r="3" spans="1:7" x14ac:dyDescent="0.2">
      <c r="A3" s="208" t="s">
        <v>218</v>
      </c>
      <c r="B3" s="209"/>
      <c r="C3" s="209"/>
      <c r="D3" s="209"/>
      <c r="E3" s="209"/>
      <c r="F3" s="209"/>
      <c r="G3" s="210"/>
    </row>
    <row r="4" spans="1:7" x14ac:dyDescent="0.2">
      <c r="A4" s="211"/>
      <c r="B4" s="212"/>
      <c r="C4" s="212"/>
      <c r="D4" s="212"/>
      <c r="E4" s="212"/>
      <c r="F4" s="212"/>
      <c r="G4" s="213"/>
    </row>
    <row r="5" spans="1:7" x14ac:dyDescent="0.2">
      <c r="A5" s="211"/>
      <c r="B5" s="212"/>
      <c r="C5" s="212"/>
      <c r="D5" s="212"/>
      <c r="E5" s="212"/>
      <c r="F5" s="212"/>
      <c r="G5" s="213"/>
    </row>
    <row r="6" spans="1:7" x14ac:dyDescent="0.2">
      <c r="A6" s="211"/>
      <c r="B6" s="212"/>
      <c r="C6" s="212"/>
      <c r="D6" s="212"/>
      <c r="E6" s="212"/>
      <c r="F6" s="212"/>
      <c r="G6" s="213"/>
    </row>
    <row r="7" spans="1:7" ht="15" thickBot="1" x14ac:dyDescent="0.25">
      <c r="A7" s="214"/>
      <c r="B7" s="215"/>
      <c r="C7" s="215"/>
      <c r="D7" s="215"/>
      <c r="E7" s="215"/>
      <c r="F7" s="215"/>
      <c r="G7" s="216"/>
    </row>
    <row r="12" spans="1:7" ht="15" x14ac:dyDescent="0.25">
      <c r="B12" s="56" t="s">
        <v>219</v>
      </c>
    </row>
    <row r="13" spans="1:7" ht="15" x14ac:dyDescent="0.25">
      <c r="B13" t="s">
        <v>223</v>
      </c>
    </row>
    <row r="15" spans="1:7" ht="15" x14ac:dyDescent="0.25">
      <c r="B15" s="217" t="s">
        <v>220</v>
      </c>
      <c r="C15" s="217"/>
      <c r="D15" s="217"/>
      <c r="E15" s="217"/>
    </row>
    <row r="16" spans="1:7" ht="15" thickBot="1" x14ac:dyDescent="0.25">
      <c r="B16" s="28"/>
      <c r="C16" s="28"/>
    </row>
    <row r="17" spans="2:3" x14ac:dyDescent="0.2">
      <c r="B17" s="19" t="s">
        <v>115</v>
      </c>
      <c r="C17" s="20" t="s">
        <v>116</v>
      </c>
    </row>
    <row r="18" spans="2:3" x14ac:dyDescent="0.2">
      <c r="B18" s="21" t="s">
        <v>117</v>
      </c>
      <c r="C18" s="22">
        <v>4.573E-2</v>
      </c>
    </row>
    <row r="19" spans="2:3" x14ac:dyDescent="0.2">
      <c r="B19" s="26">
        <v>1</v>
      </c>
      <c r="C19" s="23">
        <v>0.05</v>
      </c>
    </row>
    <row r="20" spans="2:3" x14ac:dyDescent="0.2">
      <c r="B20" s="26">
        <v>2</v>
      </c>
      <c r="C20" s="24">
        <v>4.165E-2</v>
      </c>
    </row>
    <row r="21" spans="2:3" x14ac:dyDescent="0.2">
      <c r="B21" s="26">
        <v>3</v>
      </c>
      <c r="C21" s="24">
        <v>3.8667812500000003E-2</v>
      </c>
    </row>
    <row r="22" spans="2:3" x14ac:dyDescent="0.2">
      <c r="B22" s="26">
        <v>4</v>
      </c>
      <c r="C22" s="24">
        <v>3.5685625000000006E-2</v>
      </c>
    </row>
    <row r="23" spans="2:3" x14ac:dyDescent="0.2">
      <c r="B23" s="26">
        <v>5</v>
      </c>
      <c r="C23" s="24">
        <v>3.2703437500000009E-2</v>
      </c>
    </row>
    <row r="24" spans="2:3" x14ac:dyDescent="0.2">
      <c r="B24" s="26">
        <v>6</v>
      </c>
      <c r="C24" s="24">
        <v>2.9721250000000008E-2</v>
      </c>
    </row>
    <row r="25" spans="2:3" ht="15" thickBot="1" x14ac:dyDescent="0.25">
      <c r="B25" s="27">
        <v>7</v>
      </c>
      <c r="C25" s="25">
        <v>2.9721250000000008E-2</v>
      </c>
    </row>
    <row r="27" spans="2:3" x14ac:dyDescent="0.2">
      <c r="B27" t="s">
        <v>221</v>
      </c>
    </row>
    <row r="28" spans="2:3" x14ac:dyDescent="0.2">
      <c r="B28" t="s">
        <v>222</v>
      </c>
    </row>
    <row r="51" spans="2:4" x14ac:dyDescent="0.2">
      <c r="B51" t="s">
        <v>224</v>
      </c>
    </row>
    <row r="52" spans="2:4" x14ac:dyDescent="0.2">
      <c r="B52" t="s">
        <v>226</v>
      </c>
    </row>
    <row r="53" spans="2:4" ht="15" thickBot="1" x14ac:dyDescent="0.25"/>
    <row r="54" spans="2:4" x14ac:dyDescent="0.2">
      <c r="B54" s="19" t="s">
        <v>115</v>
      </c>
      <c r="C54" s="53" t="s">
        <v>225</v>
      </c>
      <c r="D54" s="20" t="s">
        <v>228</v>
      </c>
    </row>
    <row r="55" spans="2:4" x14ac:dyDescent="0.2">
      <c r="B55" s="47">
        <v>1</v>
      </c>
      <c r="C55" s="43" t="s">
        <v>227</v>
      </c>
      <c r="D55" s="72">
        <v>0.01</v>
      </c>
    </row>
    <row r="56" spans="2:4" x14ac:dyDescent="0.2">
      <c r="B56" s="47">
        <v>2</v>
      </c>
      <c r="C56" s="43" t="s">
        <v>227</v>
      </c>
      <c r="D56" s="72">
        <v>0.01</v>
      </c>
    </row>
    <row r="57" spans="2:4" x14ac:dyDescent="0.2">
      <c r="B57" s="47">
        <v>3</v>
      </c>
      <c r="C57" s="43" t="s">
        <v>227</v>
      </c>
      <c r="D57" s="72">
        <v>0.01</v>
      </c>
    </row>
    <row r="58" spans="2:4" x14ac:dyDescent="0.2">
      <c r="B58" s="47">
        <v>4</v>
      </c>
      <c r="C58" s="43" t="s">
        <v>227</v>
      </c>
      <c r="D58" s="72">
        <v>0.01</v>
      </c>
    </row>
    <row r="59" spans="2:4" x14ac:dyDescent="0.2">
      <c r="B59" s="47">
        <v>5</v>
      </c>
      <c r="C59" s="43" t="s">
        <v>227</v>
      </c>
      <c r="D59" s="72">
        <v>2.7E-2</v>
      </c>
    </row>
    <row r="60" spans="2:4" x14ac:dyDescent="0.2">
      <c r="B60" s="47">
        <v>6</v>
      </c>
      <c r="C60" s="43" t="s">
        <v>227</v>
      </c>
      <c r="D60" s="72">
        <v>2.7E-2</v>
      </c>
    </row>
    <row r="61" spans="2:4" x14ac:dyDescent="0.2">
      <c r="B61" s="47">
        <v>7</v>
      </c>
      <c r="C61" s="43" t="s">
        <v>227</v>
      </c>
      <c r="D61" s="72">
        <v>2.7E-2</v>
      </c>
    </row>
    <row r="62" spans="2:4" ht="15" thickBot="1" x14ac:dyDescent="0.25">
      <c r="B62" s="48" t="s">
        <v>210</v>
      </c>
      <c r="C62" s="54" t="s">
        <v>227</v>
      </c>
      <c r="D62" s="73">
        <v>2.7E-2</v>
      </c>
    </row>
    <row r="65" spans="1:8" ht="15.75" x14ac:dyDescent="0.25">
      <c r="A65" s="16" t="s">
        <v>229</v>
      </c>
    </row>
    <row r="66" spans="1:8" x14ac:dyDescent="0.2">
      <c r="H66" t="s">
        <v>230</v>
      </c>
    </row>
    <row r="67" spans="1:8" x14ac:dyDescent="0.2">
      <c r="B67" s="43" t="s">
        <v>115</v>
      </c>
      <c r="C67" s="43" t="s">
        <v>116</v>
      </c>
      <c r="D67" s="43" t="s">
        <v>228</v>
      </c>
      <c r="E67" s="43" t="s">
        <v>229</v>
      </c>
      <c r="G67">
        <v>2025</v>
      </c>
      <c r="H67" s="75">
        <f>E68</f>
        <v>6.0000000000000005E-2</v>
      </c>
    </row>
    <row r="68" spans="1:8" x14ac:dyDescent="0.2">
      <c r="B68" s="43">
        <v>1</v>
      </c>
      <c r="C68" s="65">
        <f>C19</f>
        <v>0.05</v>
      </c>
      <c r="D68" s="74">
        <f>D55</f>
        <v>0.01</v>
      </c>
      <c r="E68" s="65">
        <f>C68+D68</f>
        <v>6.0000000000000005E-2</v>
      </c>
      <c r="G68">
        <v>2026</v>
      </c>
      <c r="H68" s="75">
        <f t="shared" ref="H68:H74" si="0">E69</f>
        <v>5.1650000000000001E-2</v>
      </c>
    </row>
    <row r="69" spans="1:8" x14ac:dyDescent="0.2">
      <c r="B69" s="43">
        <v>2</v>
      </c>
      <c r="C69" s="65">
        <f t="shared" ref="C69:C74" si="1">C20</f>
        <v>4.165E-2</v>
      </c>
      <c r="D69" s="74">
        <f t="shared" ref="D69:D75" si="2">D56</f>
        <v>0.01</v>
      </c>
      <c r="E69" s="65">
        <f t="shared" ref="E69:E75" si="3">C69+D69</f>
        <v>5.1650000000000001E-2</v>
      </c>
      <c r="G69">
        <v>2027</v>
      </c>
      <c r="H69" s="75">
        <f t="shared" si="0"/>
        <v>4.8667812500000004E-2</v>
      </c>
    </row>
    <row r="70" spans="1:8" x14ac:dyDescent="0.2">
      <c r="B70" s="43">
        <v>3</v>
      </c>
      <c r="C70" s="65">
        <f t="shared" si="1"/>
        <v>3.8667812500000003E-2</v>
      </c>
      <c r="D70" s="74">
        <f t="shared" si="2"/>
        <v>0.01</v>
      </c>
      <c r="E70" s="65">
        <f t="shared" si="3"/>
        <v>4.8667812500000004E-2</v>
      </c>
      <c r="G70">
        <v>2028</v>
      </c>
      <c r="H70" s="75">
        <f t="shared" si="0"/>
        <v>4.5685625000000007E-2</v>
      </c>
    </row>
    <row r="71" spans="1:8" x14ac:dyDescent="0.2">
      <c r="B71" s="43">
        <v>4</v>
      </c>
      <c r="C71" s="65">
        <f t="shared" si="1"/>
        <v>3.5685625000000006E-2</v>
      </c>
      <c r="D71" s="74">
        <f t="shared" si="2"/>
        <v>0.01</v>
      </c>
      <c r="E71" s="65">
        <f t="shared" si="3"/>
        <v>4.5685625000000007E-2</v>
      </c>
      <c r="G71">
        <v>2029</v>
      </c>
      <c r="H71" s="75">
        <f t="shared" si="0"/>
        <v>5.9703437500000012E-2</v>
      </c>
    </row>
    <row r="72" spans="1:8" x14ac:dyDescent="0.2">
      <c r="B72" s="43">
        <v>5</v>
      </c>
      <c r="C72" s="65">
        <f t="shared" si="1"/>
        <v>3.2703437500000009E-2</v>
      </c>
      <c r="D72" s="74">
        <f t="shared" si="2"/>
        <v>2.7E-2</v>
      </c>
      <c r="E72" s="65">
        <f t="shared" si="3"/>
        <v>5.9703437500000012E-2</v>
      </c>
      <c r="G72">
        <v>2030</v>
      </c>
      <c r="H72" s="75">
        <f t="shared" si="0"/>
        <v>5.6721250000000008E-2</v>
      </c>
    </row>
    <row r="73" spans="1:8" x14ac:dyDescent="0.2">
      <c r="B73" s="43">
        <v>6</v>
      </c>
      <c r="C73" s="65">
        <f t="shared" si="1"/>
        <v>2.9721250000000008E-2</v>
      </c>
      <c r="D73" s="74">
        <f t="shared" si="2"/>
        <v>2.7E-2</v>
      </c>
      <c r="E73" s="65">
        <f t="shared" si="3"/>
        <v>5.6721250000000008E-2</v>
      </c>
      <c r="G73">
        <v>2031</v>
      </c>
      <c r="H73" s="75">
        <f t="shared" si="0"/>
        <v>5.6721250000000008E-2</v>
      </c>
    </row>
    <row r="74" spans="1:8" x14ac:dyDescent="0.2">
      <c r="B74" s="43">
        <v>7</v>
      </c>
      <c r="C74" s="65">
        <f t="shared" si="1"/>
        <v>2.9721250000000008E-2</v>
      </c>
      <c r="D74" s="74">
        <f t="shared" si="2"/>
        <v>2.7E-2</v>
      </c>
      <c r="E74" s="65">
        <f t="shared" si="3"/>
        <v>5.6721250000000008E-2</v>
      </c>
      <c r="G74" t="s">
        <v>210</v>
      </c>
      <c r="H74" s="75">
        <f t="shared" si="0"/>
        <v>5.6999999999999995E-2</v>
      </c>
    </row>
    <row r="75" spans="1:8" x14ac:dyDescent="0.2">
      <c r="B75" s="43" t="s">
        <v>210</v>
      </c>
      <c r="C75" s="5">
        <v>0.03</v>
      </c>
      <c r="D75" s="74">
        <f t="shared" si="2"/>
        <v>2.7E-2</v>
      </c>
      <c r="E75" s="65">
        <f t="shared" si="3"/>
        <v>5.6999999999999995E-2</v>
      </c>
    </row>
    <row r="80" spans="1:8" ht="15.75" x14ac:dyDescent="0.25">
      <c r="A80" s="16" t="s">
        <v>231</v>
      </c>
    </row>
    <row r="81" spans="1:1" x14ac:dyDescent="0.2">
      <c r="A81" t="s">
        <v>232</v>
      </c>
    </row>
    <row r="82" spans="1:1" x14ac:dyDescent="0.2">
      <c r="A82" t="s">
        <v>233</v>
      </c>
    </row>
    <row r="84" spans="1:1" x14ac:dyDescent="0.2">
      <c r="A84" t="s">
        <v>234</v>
      </c>
    </row>
    <row r="99" spans="1:26" x14ac:dyDescent="0.2">
      <c r="A99" t="s">
        <v>236</v>
      </c>
    </row>
    <row r="101" spans="1:26" x14ac:dyDescent="0.2">
      <c r="B101" t="s">
        <v>115</v>
      </c>
      <c r="C101" t="s">
        <v>235</v>
      </c>
    </row>
    <row r="102" spans="1:26" x14ac:dyDescent="0.2">
      <c r="B102">
        <v>2024</v>
      </c>
      <c r="C102" s="1">
        <v>1100</v>
      </c>
    </row>
    <row r="103" spans="1:26" x14ac:dyDescent="0.2">
      <c r="B103">
        <v>2025</v>
      </c>
      <c r="C103" s="1">
        <v>2750</v>
      </c>
    </row>
    <row r="104" spans="1:26" x14ac:dyDescent="0.2">
      <c r="B104">
        <v>2026</v>
      </c>
      <c r="C104" s="1">
        <v>3050</v>
      </c>
    </row>
    <row r="105" spans="1:26" x14ac:dyDescent="0.2">
      <c r="B105">
        <v>2027</v>
      </c>
      <c r="C105" s="1">
        <v>2500</v>
      </c>
    </row>
    <row r="106" spans="1:26" x14ac:dyDescent="0.2">
      <c r="B106">
        <v>2028</v>
      </c>
      <c r="C106" s="1">
        <v>2500</v>
      </c>
    </row>
    <row r="107" spans="1:26" ht="15" x14ac:dyDescent="0.25">
      <c r="B107" s="56" t="s">
        <v>237</v>
      </c>
      <c r="C107" s="76">
        <f>AVERAGE(C102:C106)</f>
        <v>2380</v>
      </c>
    </row>
    <row r="108" spans="1:26" x14ac:dyDescent="0.2">
      <c r="B108" t="s">
        <v>238</v>
      </c>
      <c r="C108" s="1">
        <v>42150</v>
      </c>
    </row>
    <row r="109" spans="1:26" x14ac:dyDescent="0.2">
      <c r="B109" t="s">
        <v>24</v>
      </c>
      <c r="C109" s="1">
        <f>SUM(C102:C108)-C107</f>
        <v>54050</v>
      </c>
    </row>
    <row r="110" spans="1:26" x14ac:dyDescent="0.2">
      <c r="B110" t="s">
        <v>239</v>
      </c>
      <c r="D110">
        <f>C108/C107</f>
        <v>17.710084033613445</v>
      </c>
      <c r="E110" t="s">
        <v>240</v>
      </c>
      <c r="Z110" s="78">
        <f>SUM(H114:X114)</f>
        <v>33218</v>
      </c>
    </row>
    <row r="112" spans="1:26" x14ac:dyDescent="0.2">
      <c r="C112">
        <v>1</v>
      </c>
      <c r="D112">
        <v>2</v>
      </c>
      <c r="E112">
        <v>3</v>
      </c>
      <c r="F112">
        <v>4</v>
      </c>
      <c r="G112">
        <v>5</v>
      </c>
      <c r="H112">
        <v>6</v>
      </c>
      <c r="I112">
        <v>7</v>
      </c>
      <c r="J112">
        <v>8</v>
      </c>
      <c r="K112">
        <v>9</v>
      </c>
      <c r="L112">
        <v>10</v>
      </c>
      <c r="M112">
        <v>11</v>
      </c>
      <c r="N112">
        <v>12</v>
      </c>
      <c r="O112">
        <v>13</v>
      </c>
      <c r="P112">
        <v>14</v>
      </c>
      <c r="Q112">
        <v>15</v>
      </c>
      <c r="R112">
        <v>16</v>
      </c>
      <c r="S112">
        <v>17</v>
      </c>
      <c r="T112">
        <v>18</v>
      </c>
      <c r="U112">
        <v>19</v>
      </c>
      <c r="V112">
        <v>20</v>
      </c>
      <c r="W112">
        <v>21</v>
      </c>
      <c r="X112">
        <v>22</v>
      </c>
      <c r="Y112">
        <v>23</v>
      </c>
    </row>
    <row r="113" spans="2:27" x14ac:dyDescent="0.2">
      <c r="B113" t="s">
        <v>115</v>
      </c>
      <c r="C113">
        <v>2024</v>
      </c>
      <c r="D113">
        <v>2025</v>
      </c>
      <c r="E113">
        <v>2026</v>
      </c>
      <c r="F113">
        <v>2027</v>
      </c>
      <c r="G113">
        <v>2028</v>
      </c>
      <c r="H113">
        <v>2029</v>
      </c>
      <c r="I113">
        <v>2030</v>
      </c>
      <c r="J113">
        <v>2031</v>
      </c>
      <c r="K113">
        <v>2032</v>
      </c>
      <c r="L113">
        <v>2033</v>
      </c>
      <c r="M113">
        <v>2034</v>
      </c>
      <c r="N113">
        <v>2035</v>
      </c>
      <c r="O113">
        <v>2036</v>
      </c>
      <c r="P113">
        <v>2037</v>
      </c>
      <c r="Q113">
        <v>2038</v>
      </c>
      <c r="R113">
        <v>2039</v>
      </c>
      <c r="S113">
        <v>2040</v>
      </c>
      <c r="T113">
        <v>2041</v>
      </c>
      <c r="U113">
        <v>2042</v>
      </c>
      <c r="V113">
        <v>2043</v>
      </c>
      <c r="W113">
        <v>2044</v>
      </c>
      <c r="X113">
        <v>2045</v>
      </c>
      <c r="Y113">
        <v>2046</v>
      </c>
    </row>
    <row r="114" spans="2:27" x14ac:dyDescent="0.2">
      <c r="B114" t="s">
        <v>241</v>
      </c>
      <c r="C114" s="78">
        <v>1954</v>
      </c>
      <c r="D114" s="78">
        <f>C114</f>
        <v>1954</v>
      </c>
      <c r="E114" s="78">
        <f t="shared" ref="E114:Y114" si="4">D114</f>
        <v>1954</v>
      </c>
      <c r="F114" s="78">
        <f t="shared" si="4"/>
        <v>1954</v>
      </c>
      <c r="G114" s="78">
        <f t="shared" si="4"/>
        <v>1954</v>
      </c>
      <c r="H114" s="78">
        <f t="shared" si="4"/>
        <v>1954</v>
      </c>
      <c r="I114" s="78">
        <f t="shared" si="4"/>
        <v>1954</v>
      </c>
      <c r="J114" s="78">
        <f t="shared" si="4"/>
        <v>1954</v>
      </c>
      <c r="K114" s="78">
        <f t="shared" si="4"/>
        <v>1954</v>
      </c>
      <c r="L114" s="78">
        <f t="shared" si="4"/>
        <v>1954</v>
      </c>
      <c r="M114" s="78">
        <f t="shared" si="4"/>
        <v>1954</v>
      </c>
      <c r="N114" s="78">
        <f t="shared" si="4"/>
        <v>1954</v>
      </c>
      <c r="O114" s="78">
        <f t="shared" si="4"/>
        <v>1954</v>
      </c>
      <c r="P114" s="78">
        <f t="shared" si="4"/>
        <v>1954</v>
      </c>
      <c r="Q114" s="78">
        <f t="shared" si="4"/>
        <v>1954</v>
      </c>
      <c r="R114" s="78">
        <f t="shared" si="4"/>
        <v>1954</v>
      </c>
      <c r="S114" s="78">
        <f t="shared" si="4"/>
        <v>1954</v>
      </c>
      <c r="T114" s="78">
        <f t="shared" si="4"/>
        <v>1954</v>
      </c>
      <c r="U114" s="78">
        <f t="shared" si="4"/>
        <v>1954</v>
      </c>
      <c r="V114" s="78">
        <f t="shared" si="4"/>
        <v>1954</v>
      </c>
      <c r="W114" s="78">
        <f t="shared" si="4"/>
        <v>1954</v>
      </c>
      <c r="X114" s="78">
        <f t="shared" si="4"/>
        <v>1954</v>
      </c>
      <c r="Y114" s="78">
        <f t="shared" si="4"/>
        <v>1954</v>
      </c>
      <c r="Z114" t="s">
        <v>24</v>
      </c>
      <c r="AA114" s="78">
        <f>SUM(C114:Y114)</f>
        <v>44942</v>
      </c>
    </row>
    <row r="115" spans="2:27" x14ac:dyDescent="0.2">
      <c r="B115" t="s">
        <v>229</v>
      </c>
      <c r="C115" s="75">
        <f>E68</f>
        <v>6.0000000000000005E-2</v>
      </c>
      <c r="D115" s="75">
        <f>E69</f>
        <v>5.1650000000000001E-2</v>
      </c>
      <c r="E115" s="75">
        <f>E70</f>
        <v>4.8667812500000004E-2</v>
      </c>
      <c r="F115" s="75">
        <f>E71</f>
        <v>4.5685625000000007E-2</v>
      </c>
      <c r="G115" s="75">
        <f>E72</f>
        <v>5.9703437500000012E-2</v>
      </c>
      <c r="H115" s="75">
        <f>E73</f>
        <v>5.6721250000000008E-2</v>
      </c>
      <c r="I115" s="75">
        <f>E74</f>
        <v>5.6721250000000008E-2</v>
      </c>
      <c r="J115" s="75">
        <f>E75</f>
        <v>5.6999999999999995E-2</v>
      </c>
      <c r="K115" s="75">
        <f>J115</f>
        <v>5.6999999999999995E-2</v>
      </c>
      <c r="L115" s="75">
        <f t="shared" ref="L115:Y115" si="5">K115</f>
        <v>5.6999999999999995E-2</v>
      </c>
      <c r="M115" s="75">
        <f t="shared" si="5"/>
        <v>5.6999999999999995E-2</v>
      </c>
      <c r="N115" s="75">
        <f t="shared" si="5"/>
        <v>5.6999999999999995E-2</v>
      </c>
      <c r="O115" s="75">
        <f t="shared" si="5"/>
        <v>5.6999999999999995E-2</v>
      </c>
      <c r="P115" s="75">
        <f t="shared" si="5"/>
        <v>5.6999999999999995E-2</v>
      </c>
      <c r="Q115" s="75">
        <f t="shared" si="5"/>
        <v>5.6999999999999995E-2</v>
      </c>
      <c r="R115" s="75">
        <f t="shared" si="5"/>
        <v>5.6999999999999995E-2</v>
      </c>
      <c r="S115" s="75">
        <f t="shared" si="5"/>
        <v>5.6999999999999995E-2</v>
      </c>
      <c r="T115" s="75">
        <f t="shared" si="5"/>
        <v>5.6999999999999995E-2</v>
      </c>
      <c r="U115" s="75">
        <f t="shared" si="5"/>
        <v>5.6999999999999995E-2</v>
      </c>
      <c r="V115" s="75">
        <f t="shared" si="5"/>
        <v>5.6999999999999995E-2</v>
      </c>
      <c r="W115" s="75">
        <f t="shared" si="5"/>
        <v>5.6999999999999995E-2</v>
      </c>
      <c r="X115" s="75">
        <f t="shared" si="5"/>
        <v>5.6999999999999995E-2</v>
      </c>
      <c r="Y115" s="75">
        <f t="shared" si="5"/>
        <v>5.6999999999999995E-2</v>
      </c>
    </row>
    <row r="116" spans="2:27" ht="15" thickBot="1" x14ac:dyDescent="0.25">
      <c r="B116" t="s">
        <v>242</v>
      </c>
      <c r="C116" s="77">
        <f>C114/((1+C115)^C112)</f>
        <v>1843.3962264150941</v>
      </c>
      <c r="D116" s="77">
        <f t="shared" ref="D116:X116" si="6">D114/((1+D115)^D112)</f>
        <v>1766.7785055996515</v>
      </c>
      <c r="E116" s="77">
        <f t="shared" si="6"/>
        <v>1694.3797213412267</v>
      </c>
      <c r="F116" s="77">
        <f t="shared" si="6"/>
        <v>1634.2556987838332</v>
      </c>
      <c r="G116" s="77">
        <f t="shared" si="6"/>
        <v>1462.1867489654917</v>
      </c>
      <c r="H116" s="77">
        <f t="shared" si="6"/>
        <v>1403.3368000820619</v>
      </c>
      <c r="I116" s="77">
        <f t="shared" si="6"/>
        <v>1328.0103907081098</v>
      </c>
      <c r="J116" s="77">
        <f t="shared" si="6"/>
        <v>1254.0783226523884</v>
      </c>
      <c r="K116" s="77">
        <f t="shared" si="6"/>
        <v>1186.4506363787968</v>
      </c>
      <c r="L116" s="77">
        <f t="shared" si="6"/>
        <v>1122.4698546630057</v>
      </c>
      <c r="M116" s="77">
        <f>M114/((1+M115)^M112)</f>
        <v>1061.9393137776781</v>
      </c>
      <c r="N116" s="77">
        <f t="shared" si="6"/>
        <v>1004.6729553241987</v>
      </c>
      <c r="O116" s="77">
        <f t="shared" si="6"/>
        <v>950.49475432752945</v>
      </c>
      <c r="P116" s="77">
        <f t="shared" si="6"/>
        <v>899.23817817174029</v>
      </c>
      <c r="Q116" s="77">
        <f t="shared" si="6"/>
        <v>850.7456747130941</v>
      </c>
      <c r="R116" s="77">
        <f t="shared" si="6"/>
        <v>804.86818799725063</v>
      </c>
      <c r="S116" s="77">
        <f t="shared" si="6"/>
        <v>761.4647000920063</v>
      </c>
      <c r="T116" s="77">
        <f t="shared" si="6"/>
        <v>720.4017976272529</v>
      </c>
      <c r="U116" s="77">
        <f t="shared" si="6"/>
        <v>681.55326170979458</v>
      </c>
      <c r="V116" s="77">
        <f t="shared" si="6"/>
        <v>644.79967995250195</v>
      </c>
      <c r="W116" s="77">
        <f t="shared" si="6"/>
        <v>610.02807942526204</v>
      </c>
      <c r="X116" s="77">
        <f t="shared" si="6"/>
        <v>577.13157939949099</v>
      </c>
      <c r="Y116" s="77">
        <f>Y114/((1+Y115)^Y112)</f>
        <v>546.00906281881839</v>
      </c>
    </row>
    <row r="117" spans="2:27" ht="15" thickBot="1" x14ac:dyDescent="0.25">
      <c r="B117" t="s">
        <v>24</v>
      </c>
      <c r="C117" s="79">
        <f>SUM(C116:Y116)</f>
        <v>24808.690130926279</v>
      </c>
    </row>
    <row r="118" spans="2:27" x14ac:dyDescent="0.2">
      <c r="B118" t="s">
        <v>243</v>
      </c>
      <c r="C118" s="1">
        <v>52243</v>
      </c>
    </row>
    <row r="119" spans="2:27" x14ac:dyDescent="0.2">
      <c r="B119" t="s">
        <v>244</v>
      </c>
      <c r="C119" s="80">
        <f>SUM(C117:C118)</f>
        <v>77051.690130926276</v>
      </c>
    </row>
  </sheetData>
  <mergeCells count="2">
    <mergeCell ref="A3:G7"/>
    <mergeCell ref="B15:E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90BC9-503B-404C-BDB5-443C78BEBE3D}">
  <sheetPr>
    <tabColor theme="5"/>
  </sheetPr>
  <dimension ref="A2:J26"/>
  <sheetViews>
    <sheetView showGridLines="0" topLeftCell="A6" workbookViewId="0">
      <selection activeCell="M28" sqref="M28"/>
    </sheetView>
  </sheetViews>
  <sheetFormatPr defaultRowHeight="14.25" x14ac:dyDescent="0.2"/>
  <cols>
    <col min="2" max="2" width="17.875" customWidth="1"/>
    <col min="3" max="3" width="13.25" bestFit="1" customWidth="1"/>
    <col min="4" max="4" width="12.125" bestFit="1" customWidth="1"/>
    <col min="5" max="5" width="10.875" customWidth="1"/>
    <col min="6" max="6" width="11.875" customWidth="1"/>
    <col min="7" max="10" width="11" bestFit="1" customWidth="1"/>
  </cols>
  <sheetData>
    <row r="2" spans="1:10" ht="15" thickBot="1" x14ac:dyDescent="0.25"/>
    <row r="3" spans="1:10" x14ac:dyDescent="0.2">
      <c r="A3" s="218" t="s">
        <v>245</v>
      </c>
      <c r="B3" s="219"/>
      <c r="C3" s="219"/>
      <c r="D3" s="219"/>
      <c r="E3" s="219"/>
      <c r="F3" s="220"/>
    </row>
    <row r="4" spans="1:10" x14ac:dyDescent="0.2">
      <c r="A4" s="221"/>
      <c r="B4" s="222"/>
      <c r="C4" s="222"/>
      <c r="D4" s="222"/>
      <c r="E4" s="222"/>
      <c r="F4" s="223"/>
    </row>
    <row r="5" spans="1:10" ht="15" thickBot="1" x14ac:dyDescent="0.25">
      <c r="A5" s="224"/>
      <c r="B5" s="225"/>
      <c r="C5" s="225"/>
      <c r="D5" s="225"/>
      <c r="E5" s="225"/>
      <c r="F5" s="226"/>
    </row>
    <row r="7" spans="1:10" ht="15" thickBot="1" x14ac:dyDescent="0.25">
      <c r="C7">
        <v>1</v>
      </c>
      <c r="D7">
        <v>2</v>
      </c>
      <c r="E7">
        <v>3</v>
      </c>
      <c r="F7">
        <v>4</v>
      </c>
      <c r="G7">
        <v>5</v>
      </c>
      <c r="H7">
        <v>6</v>
      </c>
      <c r="I7">
        <v>7</v>
      </c>
    </row>
    <row r="8" spans="1:10" x14ac:dyDescent="0.2">
      <c r="B8" s="93" t="s">
        <v>115</v>
      </c>
      <c r="C8" s="89">
        <v>2024</v>
      </c>
      <c r="D8" s="81">
        <v>2025</v>
      </c>
      <c r="E8" s="81">
        <v>2026</v>
      </c>
      <c r="F8" s="81">
        <v>2027</v>
      </c>
      <c r="G8" s="81">
        <v>2028</v>
      </c>
      <c r="H8" s="81">
        <v>2029</v>
      </c>
      <c r="I8" s="81">
        <v>2030</v>
      </c>
      <c r="J8" s="82" t="s">
        <v>246</v>
      </c>
    </row>
    <row r="9" spans="1:10" x14ac:dyDescent="0.2">
      <c r="B9" s="94" t="s">
        <v>155</v>
      </c>
      <c r="C9" s="90">
        <v>0.24</v>
      </c>
      <c r="D9" s="83">
        <v>0.24</v>
      </c>
      <c r="E9" s="83">
        <v>0.24</v>
      </c>
      <c r="F9" s="83">
        <v>0.24</v>
      </c>
      <c r="G9" s="83">
        <v>0.24</v>
      </c>
      <c r="H9" s="83">
        <v>0.24</v>
      </c>
      <c r="I9" s="83">
        <v>0.24</v>
      </c>
      <c r="J9" s="84">
        <v>0.24</v>
      </c>
    </row>
    <row r="10" spans="1:10" x14ac:dyDescent="0.2">
      <c r="B10" s="94" t="s">
        <v>229</v>
      </c>
      <c r="C10" s="91">
        <f>'3.Debt'!E68</f>
        <v>6.0000000000000005E-2</v>
      </c>
      <c r="D10" s="85">
        <f>'3.Debt'!E69</f>
        <v>5.1650000000000001E-2</v>
      </c>
      <c r="E10" s="85">
        <f>'3.Debt'!E70</f>
        <v>4.8667812500000004E-2</v>
      </c>
      <c r="F10" s="85">
        <f>'3.Debt'!E71</f>
        <v>4.5685625000000007E-2</v>
      </c>
      <c r="G10" s="85">
        <f>'3.Debt'!E72</f>
        <v>5.9703437500000012E-2</v>
      </c>
      <c r="H10" s="85">
        <f>'3.Debt'!E73</f>
        <v>5.6721250000000008E-2</v>
      </c>
      <c r="I10" s="85">
        <f>'3.Debt'!E74</f>
        <v>5.6721250000000008E-2</v>
      </c>
      <c r="J10" s="86">
        <f>'3.Debt'!E75</f>
        <v>5.6999999999999995E-2</v>
      </c>
    </row>
    <row r="11" spans="1:10" x14ac:dyDescent="0.2">
      <c r="B11" s="95" t="s">
        <v>248</v>
      </c>
      <c r="C11" s="97">
        <f>C10*(1-C9)</f>
        <v>4.5600000000000002E-2</v>
      </c>
      <c r="D11" s="97">
        <f t="shared" ref="D11:J11" si="0">D10*(1-D9)</f>
        <v>3.9254000000000004E-2</v>
      </c>
      <c r="E11" s="97">
        <f t="shared" si="0"/>
        <v>3.6987537500000001E-2</v>
      </c>
      <c r="F11" s="97">
        <f t="shared" si="0"/>
        <v>3.4721075000000004E-2</v>
      </c>
      <c r="G11" s="97">
        <f t="shared" si="0"/>
        <v>4.5374612500000008E-2</v>
      </c>
      <c r="H11" s="97">
        <f t="shared" si="0"/>
        <v>4.3108150000000005E-2</v>
      </c>
      <c r="I11" s="97">
        <f t="shared" si="0"/>
        <v>4.3108150000000005E-2</v>
      </c>
      <c r="J11" s="102">
        <f t="shared" si="0"/>
        <v>4.3319999999999997E-2</v>
      </c>
    </row>
    <row r="12" spans="1:10" x14ac:dyDescent="0.2">
      <c r="B12" s="95" t="s">
        <v>212</v>
      </c>
      <c r="C12" s="92">
        <f>'2.Equity'!F253</f>
        <v>0.10305775</v>
      </c>
      <c r="D12" s="87">
        <f>'2.Equity'!F254</f>
        <v>0.10524999999999998</v>
      </c>
      <c r="E12" s="87">
        <f>'2.Equity'!F255</f>
        <v>0.10766781249999999</v>
      </c>
      <c r="F12" s="87">
        <f>'2.Equity'!F256</f>
        <v>9.3985625000000017E-2</v>
      </c>
      <c r="G12" s="87">
        <f>'2.Equity'!F257</f>
        <v>8.5203437500000007E-2</v>
      </c>
      <c r="H12" s="87">
        <f>'2.Equity'!F258</f>
        <v>7.6071250000000007E-2</v>
      </c>
      <c r="I12" s="87">
        <f>'2.Equity'!F259</f>
        <v>7.2646250000000009E-2</v>
      </c>
      <c r="J12" s="88">
        <f>'2.Equity'!F260</f>
        <v>7.0000000000000007E-2</v>
      </c>
    </row>
    <row r="13" spans="1:10" x14ac:dyDescent="0.2">
      <c r="B13" s="94" t="s">
        <v>249</v>
      </c>
      <c r="C13" s="99">
        <f>'3.Debt'!C118</f>
        <v>52243</v>
      </c>
      <c r="D13" s="98">
        <f>C13</f>
        <v>52243</v>
      </c>
      <c r="E13" s="98">
        <f t="shared" ref="E13:J13" si="1">D13</f>
        <v>52243</v>
      </c>
      <c r="F13" s="98">
        <f t="shared" si="1"/>
        <v>52243</v>
      </c>
      <c r="G13" s="98">
        <f t="shared" si="1"/>
        <v>52243</v>
      </c>
      <c r="H13" s="98">
        <f t="shared" si="1"/>
        <v>52243</v>
      </c>
      <c r="I13" s="98">
        <f t="shared" si="1"/>
        <v>52243</v>
      </c>
      <c r="J13" s="103">
        <f t="shared" si="1"/>
        <v>52243</v>
      </c>
    </row>
    <row r="14" spans="1:10" ht="15" thickBot="1" x14ac:dyDescent="0.25">
      <c r="B14" s="95" t="s">
        <v>250</v>
      </c>
      <c r="C14" s="100">
        <f>'2.Equity'!C272</f>
        <v>322274.61044999998</v>
      </c>
      <c r="D14" s="101">
        <f>C14</f>
        <v>322274.61044999998</v>
      </c>
      <c r="E14" s="101">
        <f t="shared" ref="E14:J14" si="2">D14</f>
        <v>322274.61044999998</v>
      </c>
      <c r="F14" s="101">
        <f t="shared" si="2"/>
        <v>322274.61044999998</v>
      </c>
      <c r="G14" s="101">
        <f t="shared" si="2"/>
        <v>322274.61044999998</v>
      </c>
      <c r="H14" s="101">
        <f t="shared" si="2"/>
        <v>322274.61044999998</v>
      </c>
      <c r="I14" s="101">
        <f t="shared" si="2"/>
        <v>322274.61044999998</v>
      </c>
      <c r="J14" s="104">
        <f t="shared" si="2"/>
        <v>322274.61044999998</v>
      </c>
    </row>
    <row r="15" spans="1:10" ht="15.75" thickBot="1" x14ac:dyDescent="0.3">
      <c r="B15" s="96" t="s">
        <v>247</v>
      </c>
      <c r="C15" s="105">
        <f>C12*C14/(C14+C13)+(C11*C13/(C13+C14))</f>
        <v>9.5042732416065187E-2</v>
      </c>
      <c r="D15" s="105">
        <f t="shared" ref="D15:J15" si="3">D12*D14/(D14+D13)+(D11*D13/(D13+D14))</f>
        <v>9.6043946848434494E-2</v>
      </c>
      <c r="E15" s="105">
        <f t="shared" si="3"/>
        <v>9.7808330585682973E-2</v>
      </c>
      <c r="F15" s="105">
        <f t="shared" si="3"/>
        <v>8.571856946173087E-2</v>
      </c>
      <c r="G15" s="105">
        <f t="shared" si="3"/>
        <v>7.9647551083938423E-2</v>
      </c>
      <c r="H15" s="105">
        <f t="shared" si="3"/>
        <v>7.1473091768586461E-2</v>
      </c>
      <c r="I15" s="105">
        <f t="shared" si="3"/>
        <v>6.8525859088486338E-2</v>
      </c>
      <c r="J15" s="105">
        <f t="shared" si="3"/>
        <v>6.6278297198561029E-2</v>
      </c>
    </row>
    <row r="19" spans="3:4" x14ac:dyDescent="0.2">
      <c r="C19">
        <v>2024</v>
      </c>
      <c r="D19" s="75">
        <f>C15</f>
        <v>9.5042732416065187E-2</v>
      </c>
    </row>
    <row r="20" spans="3:4" x14ac:dyDescent="0.2">
      <c r="C20">
        <v>2025</v>
      </c>
      <c r="D20" s="75">
        <f>D15</f>
        <v>9.6043946848434494E-2</v>
      </c>
    </row>
    <row r="21" spans="3:4" x14ac:dyDescent="0.2">
      <c r="C21">
        <v>2026</v>
      </c>
      <c r="D21" s="75">
        <f>E15</f>
        <v>9.7808330585682973E-2</v>
      </c>
    </row>
    <row r="22" spans="3:4" x14ac:dyDescent="0.2">
      <c r="C22">
        <v>2027</v>
      </c>
      <c r="D22" s="75">
        <f>F15</f>
        <v>8.571856946173087E-2</v>
      </c>
    </row>
    <row r="23" spans="3:4" x14ac:dyDescent="0.2">
      <c r="C23">
        <v>2028</v>
      </c>
      <c r="D23" s="75">
        <f>G15</f>
        <v>7.9647551083938423E-2</v>
      </c>
    </row>
    <row r="24" spans="3:4" x14ac:dyDescent="0.2">
      <c r="C24">
        <v>2029</v>
      </c>
      <c r="D24" s="75">
        <f>H15</f>
        <v>7.1473091768586461E-2</v>
      </c>
    </row>
    <row r="25" spans="3:4" x14ac:dyDescent="0.2">
      <c r="C25">
        <v>2030</v>
      </c>
      <c r="D25" s="75">
        <f>I15</f>
        <v>6.8525859088486338E-2</v>
      </c>
    </row>
    <row r="26" spans="3:4" x14ac:dyDescent="0.2">
      <c r="C26" t="s">
        <v>210</v>
      </c>
      <c r="D26" s="75">
        <f>J15</f>
        <v>6.6278297198561029E-2</v>
      </c>
    </row>
  </sheetData>
  <mergeCells count="1">
    <mergeCell ref="A3:F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C681-7F97-4469-81F2-4778FF529313}">
  <sheetPr>
    <tabColor rgb="FF92D050"/>
  </sheetPr>
  <dimension ref="A2:AD292"/>
  <sheetViews>
    <sheetView showGridLines="0" showRowColHeaders="0" topLeftCell="A48" zoomScaleNormal="100" workbookViewId="0">
      <selection activeCell="W66" sqref="W66"/>
    </sheetView>
  </sheetViews>
  <sheetFormatPr defaultRowHeight="14.25" x14ac:dyDescent="0.2"/>
  <cols>
    <col min="2" max="2" width="13" customWidth="1"/>
    <col min="3" max="3" width="10.75" customWidth="1"/>
    <col min="4" max="4" width="12" bestFit="1" customWidth="1"/>
    <col min="5" max="5" width="13.125" bestFit="1" customWidth="1"/>
    <col min="16" max="16" width="10" bestFit="1" customWidth="1"/>
    <col min="24" max="24" width="11" bestFit="1" customWidth="1"/>
    <col min="26" max="26" width="14.125" bestFit="1" customWidth="1"/>
    <col min="27" max="27" width="11" bestFit="1" customWidth="1"/>
  </cols>
  <sheetData>
    <row r="2" spans="1:7" ht="15" thickBot="1" x14ac:dyDescent="0.25"/>
    <row r="3" spans="1:7" x14ac:dyDescent="0.2">
      <c r="A3" s="227" t="s">
        <v>321</v>
      </c>
      <c r="B3" s="228"/>
      <c r="C3" s="228"/>
      <c r="D3" s="228"/>
      <c r="E3" s="228"/>
      <c r="F3" s="228"/>
      <c r="G3" s="229"/>
    </row>
    <row r="4" spans="1:7" x14ac:dyDescent="0.2">
      <c r="A4" s="230"/>
      <c r="B4" s="231"/>
      <c r="C4" s="231"/>
      <c r="D4" s="231"/>
      <c r="E4" s="231"/>
      <c r="F4" s="231"/>
      <c r="G4" s="232"/>
    </row>
    <row r="5" spans="1:7" x14ac:dyDescent="0.2">
      <c r="A5" s="230"/>
      <c r="B5" s="231"/>
      <c r="C5" s="231"/>
      <c r="D5" s="231"/>
      <c r="E5" s="231"/>
      <c r="F5" s="231"/>
      <c r="G5" s="232"/>
    </row>
    <row r="6" spans="1:7" x14ac:dyDescent="0.2">
      <c r="A6" s="230"/>
      <c r="B6" s="231"/>
      <c r="C6" s="231"/>
      <c r="D6" s="231"/>
      <c r="E6" s="231"/>
      <c r="F6" s="231"/>
      <c r="G6" s="232"/>
    </row>
    <row r="7" spans="1:7" ht="15" thickBot="1" x14ac:dyDescent="0.25">
      <c r="A7" s="233"/>
      <c r="B7" s="234"/>
      <c r="C7" s="234"/>
      <c r="D7" s="234"/>
      <c r="E7" s="234"/>
      <c r="F7" s="234"/>
      <c r="G7" s="235"/>
    </row>
    <row r="9" spans="1:7" x14ac:dyDescent="0.2">
      <c r="A9" t="s">
        <v>322</v>
      </c>
    </row>
    <row r="10" spans="1:7" x14ac:dyDescent="0.2">
      <c r="A10" t="s">
        <v>272</v>
      </c>
    </row>
    <row r="12" spans="1:7" ht="15.75" x14ac:dyDescent="0.25">
      <c r="A12" s="16" t="s">
        <v>289</v>
      </c>
    </row>
    <row r="13" spans="1:7" x14ac:dyDescent="0.2">
      <c r="A13" t="s">
        <v>323</v>
      </c>
    </row>
    <row r="14" spans="1:7" x14ac:dyDescent="0.2">
      <c r="A14" t="s">
        <v>274</v>
      </c>
    </row>
    <row r="15" spans="1:7" x14ac:dyDescent="0.2">
      <c r="A15" t="s">
        <v>275</v>
      </c>
    </row>
    <row r="16" spans="1:7" x14ac:dyDescent="0.2">
      <c r="A16" t="s">
        <v>276</v>
      </c>
    </row>
    <row r="18" spans="1:1" x14ac:dyDescent="0.2">
      <c r="A18" t="s">
        <v>277</v>
      </c>
    </row>
    <row r="19" spans="1:1" x14ac:dyDescent="0.2">
      <c r="A19" t="s">
        <v>278</v>
      </c>
    </row>
    <row r="20" spans="1:1" x14ac:dyDescent="0.2">
      <c r="A20" t="s">
        <v>279</v>
      </c>
    </row>
    <row r="21" spans="1:1" x14ac:dyDescent="0.2">
      <c r="A21" t="s">
        <v>280</v>
      </c>
    </row>
    <row r="22" spans="1:1" x14ac:dyDescent="0.2">
      <c r="A22" t="s">
        <v>281</v>
      </c>
    </row>
    <row r="24" spans="1:1" x14ac:dyDescent="0.2">
      <c r="A24" t="s">
        <v>282</v>
      </c>
    </row>
    <row r="25" spans="1:1" x14ac:dyDescent="0.2">
      <c r="A25" t="s">
        <v>283</v>
      </c>
    </row>
    <row r="26" spans="1:1" x14ac:dyDescent="0.2">
      <c r="A26" t="s">
        <v>284</v>
      </c>
    </row>
    <row r="28" spans="1:1" x14ac:dyDescent="0.2">
      <c r="A28" t="s">
        <v>286</v>
      </c>
    </row>
    <row r="29" spans="1:1" x14ac:dyDescent="0.2">
      <c r="A29" t="s">
        <v>285</v>
      </c>
    </row>
    <row r="30" spans="1:1" x14ac:dyDescent="0.2">
      <c r="A30" t="s">
        <v>287</v>
      </c>
    </row>
    <row r="31" spans="1:1" x14ac:dyDescent="0.2">
      <c r="A31" t="s">
        <v>288</v>
      </c>
    </row>
    <row r="33" spans="1:1" x14ac:dyDescent="0.2">
      <c r="A33" t="s">
        <v>324</v>
      </c>
    </row>
    <row r="35" spans="1:1" ht="15.75" x14ac:dyDescent="0.25">
      <c r="A35" s="16" t="s">
        <v>273</v>
      </c>
    </row>
    <row r="36" spans="1:1" x14ac:dyDescent="0.2">
      <c r="A36" t="s">
        <v>290</v>
      </c>
    </row>
    <row r="37" spans="1:1" x14ac:dyDescent="0.2">
      <c r="A37" t="s">
        <v>291</v>
      </c>
    </row>
    <row r="38" spans="1:1" x14ac:dyDescent="0.2">
      <c r="A38" t="s">
        <v>292</v>
      </c>
    </row>
    <row r="40" spans="1:1" x14ac:dyDescent="0.2">
      <c r="A40" t="s">
        <v>293</v>
      </c>
    </row>
    <row r="41" spans="1:1" x14ac:dyDescent="0.2">
      <c r="A41" t="s">
        <v>294</v>
      </c>
    </row>
    <row r="43" spans="1:1" ht="15" x14ac:dyDescent="0.25">
      <c r="A43" t="s">
        <v>298</v>
      </c>
    </row>
    <row r="44" spans="1:1" x14ac:dyDescent="0.2">
      <c r="A44" t="s">
        <v>295</v>
      </c>
    </row>
    <row r="45" spans="1:1" x14ac:dyDescent="0.2">
      <c r="A45" t="s">
        <v>296</v>
      </c>
    </row>
    <row r="47" spans="1:1" ht="15" x14ac:dyDescent="0.25">
      <c r="A47" s="56" t="s">
        <v>297</v>
      </c>
    </row>
    <row r="48" spans="1:1" x14ac:dyDescent="0.2">
      <c r="A48" t="s">
        <v>299</v>
      </c>
    </row>
    <row r="49" spans="1:21" x14ac:dyDescent="0.2">
      <c r="A49" t="s">
        <v>301</v>
      </c>
    </row>
    <row r="50" spans="1:21" x14ac:dyDescent="0.2">
      <c r="A50" t="s">
        <v>302</v>
      </c>
    </row>
    <row r="51" spans="1:21" x14ac:dyDescent="0.2">
      <c r="A51" t="s">
        <v>300</v>
      </c>
    </row>
    <row r="56" spans="1:21" ht="15.75" x14ac:dyDescent="0.25">
      <c r="A56" s="16" t="s">
        <v>318</v>
      </c>
      <c r="U56" t="e" cm="1">
        <f t="array" ref="U56">_xlfn.SORTBY(#REF!,_xlfn.SEQUENCE(ROWS(#REF!)),-1)</f>
        <v>#REF!</v>
      </c>
    </row>
    <row r="58" spans="1:21" x14ac:dyDescent="0.2">
      <c r="A58" t="s">
        <v>308</v>
      </c>
    </row>
    <row r="59" spans="1:21" x14ac:dyDescent="0.2">
      <c r="A59">
        <v>2009</v>
      </c>
      <c r="B59" s="77">
        <v>71288</v>
      </c>
      <c r="L59">
        <v>2009</v>
      </c>
      <c r="M59" s="139"/>
    </row>
    <row r="60" spans="1:21" x14ac:dyDescent="0.2">
      <c r="A60">
        <v>2010</v>
      </c>
      <c r="B60" s="77">
        <v>66176</v>
      </c>
      <c r="L60">
        <v>2010</v>
      </c>
      <c r="M60" s="139">
        <f t="shared" ref="M60:M74" si="0">(B60-B59)/B59</f>
        <v>-7.1709123555156545E-2</v>
      </c>
    </row>
    <row r="61" spans="1:21" x14ac:dyDescent="0.2">
      <c r="A61">
        <v>2011</v>
      </c>
      <c r="B61" s="77">
        <v>67997</v>
      </c>
      <c r="L61">
        <v>2011</v>
      </c>
      <c r="M61" s="139">
        <f t="shared" si="0"/>
        <v>2.7517529013539651E-2</v>
      </c>
    </row>
    <row r="62" spans="1:21" x14ac:dyDescent="0.2">
      <c r="A62">
        <v>2012</v>
      </c>
      <c r="B62" s="77">
        <v>70395</v>
      </c>
      <c r="L62">
        <v>2012</v>
      </c>
      <c r="M62" s="139">
        <f t="shared" si="0"/>
        <v>3.5266261746841769E-2</v>
      </c>
    </row>
    <row r="63" spans="1:21" x14ac:dyDescent="0.2">
      <c r="A63">
        <v>2013</v>
      </c>
      <c r="B63" s="77">
        <v>74754</v>
      </c>
      <c r="L63">
        <v>2013</v>
      </c>
      <c r="M63" s="139">
        <f t="shared" si="0"/>
        <v>6.1922011506499043E-2</v>
      </c>
    </row>
    <row r="64" spans="1:21" x14ac:dyDescent="0.2">
      <c r="A64">
        <v>2014</v>
      </c>
      <c r="B64" s="77">
        <v>78812</v>
      </c>
      <c r="L64">
        <v>2014</v>
      </c>
      <c r="M64" s="139">
        <f t="shared" si="0"/>
        <v>5.42847205500709E-2</v>
      </c>
    </row>
    <row r="65" spans="1:23" x14ac:dyDescent="0.2">
      <c r="A65">
        <v>2015</v>
      </c>
      <c r="B65" s="77">
        <v>83176</v>
      </c>
      <c r="L65">
        <v>2015</v>
      </c>
      <c r="M65" s="139">
        <f t="shared" si="0"/>
        <v>5.5372278333248745E-2</v>
      </c>
    </row>
    <row r="66" spans="1:23" x14ac:dyDescent="0.2">
      <c r="A66">
        <v>2016</v>
      </c>
      <c r="B66" s="77">
        <v>88519</v>
      </c>
      <c r="L66">
        <v>2016</v>
      </c>
      <c r="M66" s="139">
        <f t="shared" si="0"/>
        <v>6.4237279984610943E-2</v>
      </c>
      <c r="W66" s="75"/>
    </row>
    <row r="67" spans="1:23" x14ac:dyDescent="0.2">
      <c r="A67">
        <v>2017</v>
      </c>
      <c r="B67" s="77">
        <v>94595</v>
      </c>
      <c r="L67">
        <v>2017</v>
      </c>
      <c r="M67" s="139">
        <f t="shared" si="0"/>
        <v>6.8640630825020615E-2</v>
      </c>
    </row>
    <row r="68" spans="1:23" x14ac:dyDescent="0.2">
      <c r="A68">
        <v>2018</v>
      </c>
      <c r="B68" s="77">
        <v>100904</v>
      </c>
      <c r="L68">
        <v>2018</v>
      </c>
      <c r="M68" s="139">
        <f t="shared" si="0"/>
        <v>6.6694857022041337E-2</v>
      </c>
    </row>
    <row r="69" spans="1:23" x14ac:dyDescent="0.2">
      <c r="A69">
        <v>2019</v>
      </c>
      <c r="B69" s="77">
        <v>108203</v>
      </c>
      <c r="L69">
        <v>2019</v>
      </c>
      <c r="M69" s="139">
        <f t="shared" si="0"/>
        <v>7.2336081820344095E-2</v>
      </c>
    </row>
    <row r="70" spans="1:23" x14ac:dyDescent="0.2">
      <c r="A70">
        <v>2020</v>
      </c>
      <c r="B70" s="77">
        <v>110225</v>
      </c>
      <c r="L70">
        <v>2020</v>
      </c>
      <c r="M70" s="139">
        <f t="shared" si="0"/>
        <v>1.8687097400256925E-2</v>
      </c>
    </row>
    <row r="71" spans="1:23" x14ac:dyDescent="0.2">
      <c r="A71">
        <v>2021</v>
      </c>
      <c r="B71" s="77">
        <v>132110</v>
      </c>
      <c r="L71">
        <v>2021</v>
      </c>
      <c r="M71" s="139">
        <f t="shared" si="0"/>
        <v>0.19854842367883874</v>
      </c>
    </row>
    <row r="72" spans="1:23" x14ac:dyDescent="0.2">
      <c r="A72">
        <v>2022</v>
      </c>
      <c r="B72" s="77">
        <v>151157</v>
      </c>
      <c r="L72">
        <v>2022</v>
      </c>
      <c r="M72" s="139">
        <f t="shared" si="0"/>
        <v>0.14417530845507531</v>
      </c>
    </row>
    <row r="73" spans="1:23" x14ac:dyDescent="0.2">
      <c r="A73">
        <v>2023</v>
      </c>
      <c r="B73" s="77">
        <v>157403</v>
      </c>
      <c r="L73">
        <v>2023</v>
      </c>
      <c r="M73" s="139">
        <f t="shared" si="0"/>
        <v>4.1321275230389594E-2</v>
      </c>
    </row>
    <row r="74" spans="1:23" x14ac:dyDescent="0.2">
      <c r="A74">
        <v>2024</v>
      </c>
      <c r="B74" s="77">
        <v>152669</v>
      </c>
      <c r="L74" s="127">
        <v>2024</v>
      </c>
      <c r="M74" s="139">
        <f t="shared" si="0"/>
        <v>-3.007566564804991E-2</v>
      </c>
    </row>
    <row r="77" spans="1:23" x14ac:dyDescent="0.2">
      <c r="A77" t="s">
        <v>304</v>
      </c>
    </row>
    <row r="78" spans="1:23" x14ac:dyDescent="0.2">
      <c r="A78">
        <v>2012</v>
      </c>
      <c r="B78" s="139">
        <f t="shared" ref="B78:B90" si="1">M79/B62</f>
        <v>9.462319767028908E-2</v>
      </c>
      <c r="L78" t="s">
        <v>314</v>
      </c>
    </row>
    <row r="79" spans="1:23" x14ac:dyDescent="0.2">
      <c r="A79">
        <v>2013</v>
      </c>
      <c r="B79" s="139">
        <f t="shared" si="1"/>
        <v>0.10388741739572464</v>
      </c>
      <c r="L79">
        <v>2012</v>
      </c>
      <c r="M79" s="78">
        <v>6661</v>
      </c>
    </row>
    <row r="80" spans="1:23" x14ac:dyDescent="0.2">
      <c r="A80">
        <v>2014</v>
      </c>
      <c r="B80" s="139">
        <f t="shared" si="1"/>
        <v>0.11630208597675482</v>
      </c>
      <c r="L80">
        <v>2013</v>
      </c>
      <c r="M80" s="78">
        <v>7766</v>
      </c>
    </row>
    <row r="81" spans="1:19" x14ac:dyDescent="0.2">
      <c r="A81">
        <v>2015</v>
      </c>
      <c r="B81" s="139">
        <f t="shared" si="1"/>
        <v>0.12586563431759162</v>
      </c>
      <c r="L81">
        <v>2014</v>
      </c>
      <c r="M81" s="78">
        <v>9166</v>
      </c>
    </row>
    <row r="82" spans="1:19" x14ac:dyDescent="0.2">
      <c r="A82">
        <v>2016</v>
      </c>
      <c r="B82" s="139">
        <f t="shared" si="1"/>
        <v>0.13301099199042013</v>
      </c>
      <c r="L82">
        <v>2015</v>
      </c>
      <c r="M82" s="78">
        <v>10469</v>
      </c>
    </row>
    <row r="83" spans="1:19" x14ac:dyDescent="0.2">
      <c r="A83">
        <v>2017</v>
      </c>
      <c r="B83" s="139">
        <f t="shared" si="1"/>
        <v>0.1419419631058724</v>
      </c>
      <c r="L83">
        <v>2016</v>
      </c>
      <c r="M83" s="78">
        <v>11774</v>
      </c>
    </row>
    <row r="84" spans="1:19" x14ac:dyDescent="0.2">
      <c r="A84">
        <v>2018</v>
      </c>
      <c r="B84" s="139">
        <f t="shared" si="1"/>
        <v>0.14549472766193611</v>
      </c>
      <c r="L84">
        <v>2017</v>
      </c>
      <c r="M84" s="78">
        <v>13427</v>
      </c>
    </row>
    <row r="85" spans="1:19" x14ac:dyDescent="0.2">
      <c r="A85">
        <v>2019</v>
      </c>
      <c r="B85" s="139">
        <f t="shared" si="1"/>
        <v>0.14352651959742335</v>
      </c>
      <c r="L85">
        <v>2018</v>
      </c>
      <c r="M85" s="78">
        <v>14681</v>
      </c>
    </row>
    <row r="86" spans="1:19" x14ac:dyDescent="0.2">
      <c r="A86">
        <v>2020</v>
      </c>
      <c r="B86" s="139">
        <f t="shared" si="1"/>
        <v>0.14373327285098661</v>
      </c>
      <c r="L86">
        <v>2019</v>
      </c>
      <c r="M86" s="78">
        <v>15530</v>
      </c>
    </row>
    <row r="87" spans="1:19" x14ac:dyDescent="0.2">
      <c r="A87">
        <v>2021</v>
      </c>
      <c r="B87" s="139">
        <f t="shared" si="1"/>
        <v>0.13835440163500112</v>
      </c>
      <c r="L87">
        <v>2020</v>
      </c>
      <c r="M87" s="78">
        <v>15843</v>
      </c>
    </row>
    <row r="88" spans="1:19" x14ac:dyDescent="0.2">
      <c r="A88">
        <v>2022</v>
      </c>
      <c r="B88" s="139">
        <f t="shared" si="1"/>
        <v>0.15242430056166767</v>
      </c>
      <c r="L88">
        <v>2021</v>
      </c>
      <c r="M88" s="78">
        <v>18278</v>
      </c>
    </row>
    <row r="89" spans="1:19" x14ac:dyDescent="0.2">
      <c r="A89">
        <v>2023</v>
      </c>
      <c r="B89" s="139">
        <f t="shared" si="1"/>
        <v>0.15272262917479337</v>
      </c>
      <c r="L89">
        <v>2022</v>
      </c>
      <c r="M89" s="78">
        <v>23040</v>
      </c>
    </row>
    <row r="90" spans="1:19" x14ac:dyDescent="0.2">
      <c r="A90">
        <v>2024</v>
      </c>
      <c r="B90" s="139">
        <f t="shared" si="1"/>
        <v>0.14206551428253281</v>
      </c>
      <c r="L90">
        <v>2023</v>
      </c>
      <c r="M90" s="78">
        <v>24039</v>
      </c>
    </row>
    <row r="91" spans="1:19" x14ac:dyDescent="0.2">
      <c r="L91">
        <v>2024</v>
      </c>
      <c r="M91" s="78">
        <v>21689</v>
      </c>
    </row>
    <row r="95" spans="1:19" x14ac:dyDescent="0.2">
      <c r="A95" t="s">
        <v>315</v>
      </c>
      <c r="L95" t="s">
        <v>316</v>
      </c>
    </row>
    <row r="96" spans="1:19" x14ac:dyDescent="0.2">
      <c r="A96">
        <v>2009</v>
      </c>
      <c r="B96" s="78">
        <v>1278</v>
      </c>
      <c r="L96">
        <v>2009</v>
      </c>
      <c r="M96" s="78">
        <v>3590</v>
      </c>
      <c r="P96" t="e" cm="1">
        <f t="array" ref="P96">_xlfn.SORTBY(#REF!,_xlfn.SEQUENCE(ROWS(#REF!)),-1)</f>
        <v>#REF!</v>
      </c>
      <c r="S96" t="e" cm="1">
        <f t="array" ref="S96">_xlfn.SORTBY(#REF!,_xlfn.SEQUENCE(ROWS(#REF!)),-1)</f>
        <v>#REF!</v>
      </c>
    </row>
    <row r="97" spans="1:13" x14ac:dyDescent="0.2">
      <c r="A97">
        <v>2010</v>
      </c>
      <c r="B97" s="78">
        <v>1362</v>
      </c>
      <c r="L97">
        <v>2010</v>
      </c>
      <c r="M97" s="78">
        <v>3982</v>
      </c>
    </row>
    <row r="98" spans="1:13" x14ac:dyDescent="0.2">
      <c r="A98">
        <v>2011</v>
      </c>
      <c r="B98" s="78">
        <v>1935</v>
      </c>
      <c r="L98">
        <v>2011</v>
      </c>
      <c r="M98" s="78">
        <v>5273</v>
      </c>
    </row>
    <row r="99" spans="1:13" x14ac:dyDescent="0.2">
      <c r="A99">
        <v>2012</v>
      </c>
      <c r="B99" s="78">
        <v>2185</v>
      </c>
      <c r="L99">
        <v>2012</v>
      </c>
      <c r="M99" s="78">
        <v>6068</v>
      </c>
    </row>
    <row r="100" spans="1:13" x14ac:dyDescent="0.2">
      <c r="A100">
        <v>2013</v>
      </c>
      <c r="B100" s="78">
        <v>2686</v>
      </c>
      <c r="L100">
        <v>2013</v>
      </c>
      <c r="M100" s="78">
        <v>7221</v>
      </c>
    </row>
    <row r="101" spans="1:13" x14ac:dyDescent="0.2">
      <c r="A101">
        <v>2014</v>
      </c>
      <c r="B101" s="78">
        <v>3082</v>
      </c>
      <c r="L101">
        <v>2014</v>
      </c>
      <c r="M101" s="78">
        <v>8467</v>
      </c>
    </row>
    <row r="102" spans="1:13" x14ac:dyDescent="0.2">
      <c r="A102">
        <v>2015</v>
      </c>
      <c r="B102" s="78">
        <v>3631</v>
      </c>
      <c r="L102">
        <v>2015</v>
      </c>
      <c r="M102" s="78">
        <v>9976</v>
      </c>
    </row>
    <row r="103" spans="1:13" x14ac:dyDescent="0.2">
      <c r="A103">
        <v>2016</v>
      </c>
      <c r="B103" s="78">
        <v>4012</v>
      </c>
      <c r="L103">
        <v>2016</v>
      </c>
      <c r="M103" s="78">
        <v>11021</v>
      </c>
    </row>
    <row r="104" spans="1:13" x14ac:dyDescent="0.2">
      <c r="A104">
        <v>2017</v>
      </c>
      <c r="B104" s="78">
        <v>4534</v>
      </c>
      <c r="L104">
        <v>2017</v>
      </c>
      <c r="M104" s="78">
        <v>12491</v>
      </c>
    </row>
    <row r="105" spans="1:13" x14ac:dyDescent="0.2">
      <c r="A105">
        <v>2018</v>
      </c>
      <c r="B105" s="78">
        <v>5068</v>
      </c>
      <c r="L105">
        <v>2018</v>
      </c>
      <c r="M105" s="78">
        <v>13698</v>
      </c>
    </row>
    <row r="106" spans="1:13" x14ac:dyDescent="0.2">
      <c r="A106">
        <v>2019</v>
      </c>
      <c r="B106" s="78">
        <v>3435</v>
      </c>
      <c r="L106">
        <v>2019</v>
      </c>
      <c r="M106" s="78">
        <v>14556</v>
      </c>
    </row>
    <row r="107" spans="1:13" x14ac:dyDescent="0.2">
      <c r="A107">
        <v>2020</v>
      </c>
      <c r="B107" s="78">
        <v>3473</v>
      </c>
      <c r="L107">
        <v>2020</v>
      </c>
      <c r="M107" s="78">
        <v>14715</v>
      </c>
    </row>
    <row r="108" spans="1:13" x14ac:dyDescent="0.2">
      <c r="A108">
        <v>2021</v>
      </c>
      <c r="B108" s="78">
        <v>4112</v>
      </c>
      <c r="L108">
        <v>2021</v>
      </c>
      <c r="M108" s="78">
        <v>16978</v>
      </c>
    </row>
    <row r="109" spans="1:13" x14ac:dyDescent="0.2">
      <c r="A109">
        <v>2022</v>
      </c>
      <c r="B109" s="78">
        <v>5304</v>
      </c>
      <c r="L109">
        <v>2022</v>
      </c>
      <c r="M109" s="78">
        <v>21737</v>
      </c>
    </row>
    <row r="110" spans="1:13" x14ac:dyDescent="0.2">
      <c r="A110">
        <v>2023</v>
      </c>
      <c r="B110" s="78">
        <v>5372</v>
      </c>
      <c r="L110">
        <v>2023</v>
      </c>
      <c r="M110" s="78">
        <v>22477</v>
      </c>
    </row>
    <row r="111" spans="1:13" x14ac:dyDescent="0.2">
      <c r="A111">
        <v>2024</v>
      </c>
      <c r="B111" s="78">
        <v>4781</v>
      </c>
      <c r="L111">
        <v>2024</v>
      </c>
      <c r="M111" s="78">
        <v>19924</v>
      </c>
    </row>
    <row r="113" spans="1:16" x14ac:dyDescent="0.2">
      <c r="B113" t="s">
        <v>317</v>
      </c>
    </row>
    <row r="114" spans="1:16" x14ac:dyDescent="0.2">
      <c r="A114">
        <v>2009</v>
      </c>
      <c r="B114" s="139">
        <f>B96/M96</f>
        <v>0.35598885793871865</v>
      </c>
    </row>
    <row r="115" spans="1:16" x14ac:dyDescent="0.2">
      <c r="A115">
        <v>2010</v>
      </c>
      <c r="B115" s="139">
        <f t="shared" ref="B115:B129" si="2">B97/M97</f>
        <v>0.34203917629331992</v>
      </c>
    </row>
    <row r="116" spans="1:16" x14ac:dyDescent="0.2">
      <c r="A116">
        <v>2011</v>
      </c>
      <c r="B116" s="139">
        <f t="shared" si="2"/>
        <v>0.36696377773563438</v>
      </c>
    </row>
    <row r="117" spans="1:16" x14ac:dyDescent="0.2">
      <c r="A117">
        <v>2012</v>
      </c>
      <c r="B117" s="139">
        <f t="shared" si="2"/>
        <v>0.36008569545154911</v>
      </c>
      <c r="P117" t="e" cm="1">
        <f t="array" ref="P117">_xlfn.SORTBY(#REF!,_xlfn.SEQUENCE(ROWS(#REF!)),-1)</f>
        <v>#REF!</v>
      </c>
    </row>
    <row r="118" spans="1:16" x14ac:dyDescent="0.2">
      <c r="A118">
        <v>2013</v>
      </c>
      <c r="B118" s="139">
        <f t="shared" si="2"/>
        <v>0.37197064118543138</v>
      </c>
    </row>
    <row r="119" spans="1:16" x14ac:dyDescent="0.2">
      <c r="A119">
        <v>2014</v>
      </c>
      <c r="B119" s="139">
        <f t="shared" si="2"/>
        <v>0.36400141726703672</v>
      </c>
    </row>
    <row r="120" spans="1:16" x14ac:dyDescent="0.2">
      <c r="A120">
        <v>2015</v>
      </c>
      <c r="B120" s="139">
        <f t="shared" si="2"/>
        <v>0.36397353648757019</v>
      </c>
    </row>
    <row r="121" spans="1:16" x14ac:dyDescent="0.2">
      <c r="A121">
        <v>2016</v>
      </c>
      <c r="B121" s="139">
        <f t="shared" si="2"/>
        <v>0.36403230196896835</v>
      </c>
    </row>
    <row r="122" spans="1:16" x14ac:dyDescent="0.2">
      <c r="A122">
        <v>2017</v>
      </c>
      <c r="B122" s="139">
        <f t="shared" si="2"/>
        <v>0.36298134656953007</v>
      </c>
    </row>
    <row r="123" spans="1:16" x14ac:dyDescent="0.2">
      <c r="A123">
        <v>2018</v>
      </c>
      <c r="B123" s="139">
        <f t="shared" si="2"/>
        <v>0.36998101912687986</v>
      </c>
    </row>
    <row r="124" spans="1:16" x14ac:dyDescent="0.2">
      <c r="A124">
        <v>2019</v>
      </c>
      <c r="B124" s="139">
        <f t="shared" si="2"/>
        <v>0.23598516075845014</v>
      </c>
    </row>
    <row r="125" spans="1:16" x14ac:dyDescent="0.2">
      <c r="A125">
        <v>2020</v>
      </c>
      <c r="B125" s="139">
        <f t="shared" si="2"/>
        <v>0.23601766904519197</v>
      </c>
    </row>
    <row r="126" spans="1:16" x14ac:dyDescent="0.2">
      <c r="A126">
        <v>2021</v>
      </c>
      <c r="B126" s="139">
        <f t="shared" si="2"/>
        <v>0.24219578277771234</v>
      </c>
    </row>
    <row r="127" spans="1:16" x14ac:dyDescent="0.2">
      <c r="A127">
        <v>2022</v>
      </c>
      <c r="B127" s="139">
        <f t="shared" si="2"/>
        <v>0.244007912775452</v>
      </c>
    </row>
    <row r="128" spans="1:16" x14ac:dyDescent="0.2">
      <c r="A128">
        <v>2023</v>
      </c>
      <c r="B128" s="139">
        <f t="shared" si="2"/>
        <v>0.23899986653023089</v>
      </c>
    </row>
    <row r="129" spans="1:22" x14ac:dyDescent="0.2">
      <c r="A129">
        <v>2024</v>
      </c>
      <c r="B129" s="139">
        <f t="shared" si="2"/>
        <v>0.23996185504918691</v>
      </c>
      <c r="V129" t="s">
        <v>317</v>
      </c>
    </row>
    <row r="130" spans="1:22" x14ac:dyDescent="0.2">
      <c r="U130">
        <v>2009</v>
      </c>
      <c r="V130" s="139">
        <v>0.35598885793871865</v>
      </c>
    </row>
    <row r="131" spans="1:22" ht="15" x14ac:dyDescent="0.25">
      <c r="A131" s="140" t="s">
        <v>319</v>
      </c>
      <c r="U131">
        <v>2010</v>
      </c>
      <c r="V131" s="139">
        <v>0.34203917629331992</v>
      </c>
    </row>
    <row r="132" spans="1:22" ht="15" x14ac:dyDescent="0.25">
      <c r="A132" s="56" t="s">
        <v>155</v>
      </c>
      <c r="U132">
        <v>2011</v>
      </c>
      <c r="V132" s="139">
        <v>0.36696377773563438</v>
      </c>
    </row>
    <row r="133" spans="1:22" x14ac:dyDescent="0.2">
      <c r="A133" t="s">
        <v>320</v>
      </c>
      <c r="U133">
        <v>2012</v>
      </c>
      <c r="V133" s="139">
        <v>0.36008569545154911</v>
      </c>
    </row>
    <row r="134" spans="1:22" x14ac:dyDescent="0.2">
      <c r="U134">
        <v>2013</v>
      </c>
      <c r="V134" s="139">
        <v>0.37197064118543138</v>
      </c>
    </row>
    <row r="135" spans="1:22" x14ac:dyDescent="0.2">
      <c r="U135">
        <v>2014</v>
      </c>
      <c r="V135" s="139">
        <v>0.36400141726703672</v>
      </c>
    </row>
    <row r="136" spans="1:22" x14ac:dyDescent="0.2">
      <c r="U136">
        <v>2015</v>
      </c>
      <c r="V136" s="139">
        <v>0.36397353648757019</v>
      </c>
    </row>
    <row r="137" spans="1:22" x14ac:dyDescent="0.2">
      <c r="U137">
        <v>2016</v>
      </c>
      <c r="V137" s="139">
        <v>0.36403230196896835</v>
      </c>
    </row>
    <row r="138" spans="1:22" x14ac:dyDescent="0.2">
      <c r="U138">
        <v>2017</v>
      </c>
      <c r="V138" s="139">
        <v>0.36298134656953007</v>
      </c>
    </row>
    <row r="139" spans="1:22" x14ac:dyDescent="0.2">
      <c r="U139">
        <v>2018</v>
      </c>
      <c r="V139" s="139">
        <v>0.36998101912687986</v>
      </c>
    </row>
    <row r="140" spans="1:22" x14ac:dyDescent="0.2">
      <c r="U140">
        <v>2019</v>
      </c>
      <c r="V140" s="139">
        <v>0.23598516075845014</v>
      </c>
    </row>
    <row r="141" spans="1:22" x14ac:dyDescent="0.2">
      <c r="U141">
        <v>2020</v>
      </c>
      <c r="V141" s="139">
        <v>0.23601766904519197</v>
      </c>
    </row>
    <row r="142" spans="1:22" x14ac:dyDescent="0.2">
      <c r="U142">
        <v>2021</v>
      </c>
      <c r="V142" s="139">
        <v>0.24219578277771234</v>
      </c>
    </row>
    <row r="143" spans="1:22" x14ac:dyDescent="0.2">
      <c r="U143">
        <v>2022</v>
      </c>
      <c r="V143" s="139">
        <v>0.244007912775452</v>
      </c>
    </row>
    <row r="144" spans="1:22" x14ac:dyDescent="0.2">
      <c r="U144">
        <v>2023</v>
      </c>
      <c r="V144" s="139">
        <v>0.23899986653023089</v>
      </c>
    </row>
    <row r="145" spans="1:27" x14ac:dyDescent="0.2">
      <c r="U145">
        <v>2024</v>
      </c>
      <c r="V145" s="139">
        <v>0.23996185504918691</v>
      </c>
    </row>
    <row r="146" spans="1:27" x14ac:dyDescent="0.2">
      <c r="T146" s="141">
        <v>1</v>
      </c>
      <c r="U146" s="141">
        <v>2025</v>
      </c>
      <c r="V146" s="142">
        <f>V145</f>
        <v>0.23996185504918691</v>
      </c>
    </row>
    <row r="147" spans="1:27" x14ac:dyDescent="0.2">
      <c r="T147" s="141">
        <v>2</v>
      </c>
      <c r="U147" s="141">
        <v>2026</v>
      </c>
      <c r="V147" s="142">
        <f t="shared" ref="V147:V153" si="3">V146</f>
        <v>0.23996185504918691</v>
      </c>
    </row>
    <row r="148" spans="1:27" x14ac:dyDescent="0.2">
      <c r="T148" s="141">
        <v>3</v>
      </c>
      <c r="U148" s="141">
        <v>2027</v>
      </c>
      <c r="V148" s="142">
        <f t="shared" si="3"/>
        <v>0.23996185504918691</v>
      </c>
    </row>
    <row r="149" spans="1:27" x14ac:dyDescent="0.2">
      <c r="T149" s="141">
        <v>4</v>
      </c>
      <c r="U149" s="141">
        <v>2028</v>
      </c>
      <c r="V149" s="142">
        <f t="shared" si="3"/>
        <v>0.23996185504918691</v>
      </c>
    </row>
    <row r="150" spans="1:27" x14ac:dyDescent="0.2">
      <c r="T150" s="141">
        <v>5</v>
      </c>
      <c r="U150" s="141">
        <v>2029</v>
      </c>
      <c r="V150" s="142">
        <f t="shared" si="3"/>
        <v>0.23996185504918691</v>
      </c>
    </row>
    <row r="151" spans="1:27" x14ac:dyDescent="0.2">
      <c r="T151" s="141">
        <v>6</v>
      </c>
      <c r="U151" s="141">
        <v>2030</v>
      </c>
      <c r="V151" s="142">
        <f t="shared" si="3"/>
        <v>0.23996185504918691</v>
      </c>
    </row>
    <row r="152" spans="1:27" x14ac:dyDescent="0.2">
      <c r="T152" s="141">
        <v>7</v>
      </c>
      <c r="U152" s="141">
        <v>2031</v>
      </c>
      <c r="V152" s="142">
        <f t="shared" si="3"/>
        <v>0.23996185504918691</v>
      </c>
      <c r="AA152" s="78">
        <v>71288</v>
      </c>
    </row>
    <row r="153" spans="1:27" x14ac:dyDescent="0.2">
      <c r="T153" s="141" t="s">
        <v>210</v>
      </c>
      <c r="U153" s="141" t="s">
        <v>210</v>
      </c>
      <c r="V153" s="142">
        <f t="shared" si="3"/>
        <v>0.23996185504918691</v>
      </c>
      <c r="AA153" s="78">
        <v>66176</v>
      </c>
    </row>
    <row r="154" spans="1:27" x14ac:dyDescent="0.2">
      <c r="AA154" s="78">
        <v>67997</v>
      </c>
    </row>
    <row r="155" spans="1:27" ht="15" x14ac:dyDescent="0.25">
      <c r="A155" s="56" t="s">
        <v>303</v>
      </c>
      <c r="W155" t="s">
        <v>308</v>
      </c>
    </row>
    <row r="156" spans="1:27" x14ac:dyDescent="0.2">
      <c r="W156">
        <v>2009</v>
      </c>
    </row>
    <row r="157" spans="1:27" x14ac:dyDescent="0.2">
      <c r="W157">
        <v>2010</v>
      </c>
    </row>
    <row r="158" spans="1:27" x14ac:dyDescent="0.2">
      <c r="W158">
        <v>2011</v>
      </c>
      <c r="Y158" t="s">
        <v>115</v>
      </c>
      <c r="Z158" t="s">
        <v>325</v>
      </c>
      <c r="AA158" t="s">
        <v>303</v>
      </c>
    </row>
    <row r="159" spans="1:27" x14ac:dyDescent="0.2">
      <c r="W159">
        <v>2012</v>
      </c>
      <c r="Y159">
        <v>2012</v>
      </c>
      <c r="Z159" s="78">
        <v>22620</v>
      </c>
      <c r="AA159" s="78">
        <v>70395</v>
      </c>
    </row>
    <row r="160" spans="1:27" x14ac:dyDescent="0.2">
      <c r="W160">
        <v>2013</v>
      </c>
      <c r="Y160">
        <v>2013</v>
      </c>
      <c r="Z160" s="78">
        <v>23307</v>
      </c>
      <c r="AA160" s="78">
        <v>74754</v>
      </c>
    </row>
    <row r="161" spans="23:30" x14ac:dyDescent="0.2">
      <c r="W161">
        <v>2014</v>
      </c>
      <c r="Y161">
        <v>2014</v>
      </c>
      <c r="Z161" s="78">
        <v>27996</v>
      </c>
      <c r="AA161" s="78">
        <v>78812</v>
      </c>
    </row>
    <row r="162" spans="23:30" x14ac:dyDescent="0.2">
      <c r="W162">
        <v>2015</v>
      </c>
      <c r="Y162">
        <v>2015</v>
      </c>
      <c r="Z162" s="78">
        <v>30624</v>
      </c>
      <c r="AA162" s="78">
        <v>83176</v>
      </c>
    </row>
    <row r="163" spans="23:30" x14ac:dyDescent="0.2">
      <c r="W163">
        <v>2016</v>
      </c>
      <c r="Y163">
        <v>2016</v>
      </c>
      <c r="Z163" s="78">
        <v>35657</v>
      </c>
      <c r="AA163" s="78">
        <v>88519</v>
      </c>
    </row>
    <row r="164" spans="23:30" x14ac:dyDescent="0.2">
      <c r="W164">
        <v>2017</v>
      </c>
      <c r="Y164">
        <v>2017</v>
      </c>
      <c r="Z164" s="78">
        <v>38633</v>
      </c>
      <c r="AA164" s="78">
        <v>94595</v>
      </c>
    </row>
    <row r="165" spans="23:30" x14ac:dyDescent="0.2">
      <c r="W165">
        <v>2018</v>
      </c>
      <c r="Y165">
        <v>2018</v>
      </c>
      <c r="Z165" s="78">
        <v>43075</v>
      </c>
      <c r="AA165" s="78">
        <v>100904</v>
      </c>
    </row>
    <row r="166" spans="23:30" x14ac:dyDescent="0.2">
      <c r="W166">
        <v>2019</v>
      </c>
      <c r="Y166">
        <v>2019</v>
      </c>
      <c r="Z166" s="78">
        <v>45881</v>
      </c>
      <c r="AA166" s="78">
        <v>108203</v>
      </c>
    </row>
    <row r="167" spans="23:30" x14ac:dyDescent="0.2">
      <c r="W167">
        <v>2020</v>
      </c>
      <c r="Y167">
        <v>2020</v>
      </c>
      <c r="Z167" s="78">
        <v>54352</v>
      </c>
      <c r="AA167" s="78">
        <v>110225</v>
      </c>
    </row>
    <row r="168" spans="23:30" x14ac:dyDescent="0.2">
      <c r="W168">
        <v>2021</v>
      </c>
      <c r="Y168">
        <v>2021</v>
      </c>
      <c r="Z168" s="78">
        <v>67282</v>
      </c>
      <c r="AA168" s="78">
        <v>132110</v>
      </c>
    </row>
    <row r="169" spans="23:30" x14ac:dyDescent="0.2">
      <c r="W169">
        <v>2022</v>
      </c>
      <c r="Y169">
        <v>2022</v>
      </c>
      <c r="Z169" s="78">
        <v>73572</v>
      </c>
      <c r="AA169" s="78">
        <v>151157</v>
      </c>
    </row>
    <row r="170" spans="23:30" x14ac:dyDescent="0.2">
      <c r="W170">
        <v>2023</v>
      </c>
      <c r="Y170">
        <v>2023</v>
      </c>
      <c r="Z170" s="78">
        <v>74883</v>
      </c>
      <c r="AA170" s="78">
        <v>157403</v>
      </c>
    </row>
    <row r="171" spans="23:30" x14ac:dyDescent="0.2">
      <c r="W171">
        <v>2024</v>
      </c>
      <c r="Y171">
        <v>2024</v>
      </c>
      <c r="Z171" s="78">
        <v>75486</v>
      </c>
      <c r="AA171" s="78">
        <v>152669</v>
      </c>
    </row>
    <row r="173" spans="23:30" x14ac:dyDescent="0.2">
      <c r="Y173" t="s">
        <v>115</v>
      </c>
      <c r="Z173" t="s">
        <v>49</v>
      </c>
      <c r="AA173" t="s">
        <v>196</v>
      </c>
      <c r="AC173" t="s">
        <v>115</v>
      </c>
      <c r="AD173" t="s">
        <v>196</v>
      </c>
    </row>
    <row r="174" spans="23:30" x14ac:dyDescent="0.2">
      <c r="Y174">
        <v>2012</v>
      </c>
      <c r="Z174" s="139"/>
      <c r="AC174">
        <v>2012</v>
      </c>
    </row>
    <row r="175" spans="23:30" x14ac:dyDescent="0.2">
      <c r="Y175">
        <v>2013</v>
      </c>
      <c r="Z175" s="139">
        <f>(Z160-Z159)/Z159</f>
        <v>3.037135278514589E-2</v>
      </c>
      <c r="AA175" s="78">
        <f>Z160-Z159</f>
        <v>687</v>
      </c>
      <c r="AC175">
        <v>2013</v>
      </c>
      <c r="AD175" s="78">
        <v>687</v>
      </c>
    </row>
    <row r="176" spans="23:30" x14ac:dyDescent="0.2">
      <c r="Y176">
        <v>2014</v>
      </c>
      <c r="Z176" s="139">
        <f t="shared" ref="Z176:Z186" si="4">(Z161-Z160)/Z160</f>
        <v>0.20118419358990861</v>
      </c>
      <c r="AA176" s="78">
        <f t="shared" ref="AA176:AA186" si="5">Z161-Z160</f>
        <v>4689</v>
      </c>
      <c r="AC176">
        <v>2014</v>
      </c>
      <c r="AD176" s="78">
        <v>4689</v>
      </c>
    </row>
    <row r="177" spans="1:30" x14ac:dyDescent="0.2">
      <c r="Y177">
        <v>2015</v>
      </c>
      <c r="Z177" s="139">
        <f t="shared" si="4"/>
        <v>9.3870552936133736E-2</v>
      </c>
      <c r="AA177" s="78">
        <f t="shared" si="5"/>
        <v>2628</v>
      </c>
      <c r="AC177">
        <v>2015</v>
      </c>
      <c r="AD177" s="78">
        <v>2628</v>
      </c>
    </row>
    <row r="178" spans="1:30" x14ac:dyDescent="0.2">
      <c r="Y178">
        <v>2016</v>
      </c>
      <c r="Z178" s="139">
        <f t="shared" si="4"/>
        <v>0.164348223615465</v>
      </c>
      <c r="AA178" s="78">
        <f t="shared" si="5"/>
        <v>5033</v>
      </c>
      <c r="AC178">
        <v>2016</v>
      </c>
      <c r="AD178" s="78">
        <v>5033</v>
      </c>
    </row>
    <row r="179" spans="1:30" x14ac:dyDescent="0.2">
      <c r="Y179">
        <v>2017</v>
      </c>
      <c r="Z179" s="139">
        <f t="shared" si="4"/>
        <v>8.3461872844041843E-2</v>
      </c>
      <c r="AA179" s="78">
        <f t="shared" si="5"/>
        <v>2976</v>
      </c>
      <c r="AC179">
        <v>2017</v>
      </c>
      <c r="AD179" s="78">
        <v>2976</v>
      </c>
    </row>
    <row r="180" spans="1:30" x14ac:dyDescent="0.2">
      <c r="Y180">
        <v>2018</v>
      </c>
      <c r="Z180" s="139">
        <f t="shared" si="4"/>
        <v>0.11497942173789248</v>
      </c>
      <c r="AA180" s="78">
        <f t="shared" si="5"/>
        <v>4442</v>
      </c>
      <c r="AC180">
        <v>2018</v>
      </c>
      <c r="AD180" s="78">
        <v>4442</v>
      </c>
    </row>
    <row r="181" spans="1:30" x14ac:dyDescent="0.2">
      <c r="Y181">
        <v>2019</v>
      </c>
      <c r="Z181" s="139">
        <f t="shared" si="4"/>
        <v>6.5142193847939636E-2</v>
      </c>
      <c r="AA181" s="78">
        <f t="shared" si="5"/>
        <v>2806</v>
      </c>
      <c r="AC181">
        <v>2019</v>
      </c>
      <c r="AD181" s="78">
        <v>2806</v>
      </c>
    </row>
    <row r="182" spans="1:30" x14ac:dyDescent="0.2">
      <c r="Y182">
        <v>2020</v>
      </c>
      <c r="Z182" s="139">
        <f t="shared" si="4"/>
        <v>0.18462980318650421</v>
      </c>
      <c r="AA182" s="78">
        <f t="shared" si="5"/>
        <v>8471</v>
      </c>
      <c r="AC182">
        <v>2020</v>
      </c>
      <c r="AD182" s="78">
        <v>8471</v>
      </c>
    </row>
    <row r="183" spans="1:30" x14ac:dyDescent="0.2">
      <c r="Y183">
        <v>2021</v>
      </c>
      <c r="Z183" s="139">
        <f t="shared" si="4"/>
        <v>0.23789372976155432</v>
      </c>
      <c r="AA183" s="78">
        <f t="shared" si="5"/>
        <v>12930</v>
      </c>
      <c r="AC183">
        <v>2021</v>
      </c>
      <c r="AD183" s="78">
        <v>12930</v>
      </c>
    </row>
    <row r="184" spans="1:30" x14ac:dyDescent="0.2">
      <c r="Y184">
        <v>2022</v>
      </c>
      <c r="Z184" s="139">
        <f t="shared" si="4"/>
        <v>9.3487113938349034E-2</v>
      </c>
      <c r="AA184" s="78">
        <f t="shared" si="5"/>
        <v>6290</v>
      </c>
      <c r="AC184">
        <v>2022</v>
      </c>
      <c r="AD184" s="78">
        <v>6290</v>
      </c>
    </row>
    <row r="185" spans="1:30" x14ac:dyDescent="0.2">
      <c r="Y185">
        <v>2023</v>
      </c>
      <c r="Z185" s="139">
        <f t="shared" si="4"/>
        <v>1.7819279073560592E-2</v>
      </c>
      <c r="AA185" s="78">
        <f t="shared" si="5"/>
        <v>1311</v>
      </c>
      <c r="AC185">
        <v>2023</v>
      </c>
      <c r="AD185" s="78">
        <v>1311</v>
      </c>
    </row>
    <row r="186" spans="1:30" x14ac:dyDescent="0.2">
      <c r="Y186">
        <v>2024</v>
      </c>
      <c r="Z186" s="139">
        <f t="shared" si="4"/>
        <v>8.0525619967148753E-3</v>
      </c>
      <c r="AA186" s="78">
        <f t="shared" si="5"/>
        <v>603</v>
      </c>
      <c r="AC186">
        <v>2024</v>
      </c>
      <c r="AD186" s="78">
        <v>603</v>
      </c>
    </row>
    <row r="190" spans="1:30" x14ac:dyDescent="0.2">
      <c r="A190" t="s">
        <v>326</v>
      </c>
    </row>
    <row r="191" spans="1:30" x14ac:dyDescent="0.2">
      <c r="A191" t="s">
        <v>327</v>
      </c>
    </row>
    <row r="193" spans="1:25" x14ac:dyDescent="0.2">
      <c r="J193" t="s">
        <v>329</v>
      </c>
    </row>
    <row r="194" spans="1:25" x14ac:dyDescent="0.2">
      <c r="A194" t="s">
        <v>115</v>
      </c>
      <c r="B194" s="139" t="s">
        <v>328</v>
      </c>
      <c r="J194" t="s">
        <v>330</v>
      </c>
    </row>
    <row r="195" spans="1:25" x14ac:dyDescent="0.2">
      <c r="A195">
        <v>2013</v>
      </c>
      <c r="B195" s="139">
        <v>6.1922011506499043E-2</v>
      </c>
    </row>
    <row r="196" spans="1:25" ht="15" x14ac:dyDescent="0.25">
      <c r="A196">
        <v>2014</v>
      </c>
      <c r="B196" s="139">
        <v>5.42847205500709E-2</v>
      </c>
      <c r="J196" t="s">
        <v>331</v>
      </c>
      <c r="K196" s="145">
        <f>AVERAGE(B195:B201)</f>
        <v>6.3355408577405098E-2</v>
      </c>
    </row>
    <row r="197" spans="1:25" x14ac:dyDescent="0.2">
      <c r="A197">
        <v>2015</v>
      </c>
      <c r="B197" s="139">
        <v>5.5372278333248745E-2</v>
      </c>
    </row>
    <row r="198" spans="1:25" x14ac:dyDescent="0.2">
      <c r="A198">
        <v>2016</v>
      </c>
      <c r="B198" s="139">
        <v>6.4237279984610943E-2</v>
      </c>
    </row>
    <row r="199" spans="1:25" x14ac:dyDescent="0.2">
      <c r="A199">
        <v>2017</v>
      </c>
      <c r="B199" s="139">
        <v>6.8640630825020615E-2</v>
      </c>
    </row>
    <row r="200" spans="1:25" x14ac:dyDescent="0.2">
      <c r="A200">
        <v>2018</v>
      </c>
      <c r="B200" s="139">
        <v>6.6694857022041337E-2</v>
      </c>
    </row>
    <row r="201" spans="1:25" x14ac:dyDescent="0.2">
      <c r="A201">
        <v>2019</v>
      </c>
      <c r="B201" s="139">
        <v>7.2336081820344095E-2</v>
      </c>
    </row>
    <row r="205" spans="1:25" x14ac:dyDescent="0.2">
      <c r="B205" s="139"/>
    </row>
    <row r="206" spans="1:25" x14ac:dyDescent="0.2">
      <c r="B206" s="139"/>
    </row>
    <row r="207" spans="1:25" ht="15.75" thickBot="1" x14ac:dyDescent="0.3">
      <c r="A207" s="56" t="s">
        <v>332</v>
      </c>
      <c r="B207" s="139"/>
      <c r="X207" t="s">
        <v>115</v>
      </c>
      <c r="Y207" t="s">
        <v>334</v>
      </c>
    </row>
    <row r="208" spans="1:25" ht="15.75" thickBot="1" x14ac:dyDescent="0.25">
      <c r="B208" s="139"/>
      <c r="X208">
        <v>2009</v>
      </c>
      <c r="Y208" s="143">
        <v>0.33652227583885103</v>
      </c>
    </row>
    <row r="209" spans="1:27" ht="15.75" thickBot="1" x14ac:dyDescent="0.25">
      <c r="A209" t="s">
        <v>115</v>
      </c>
      <c r="B209" t="s">
        <v>303</v>
      </c>
      <c r="C209" t="s">
        <v>333</v>
      </c>
      <c r="D209" t="s">
        <v>334</v>
      </c>
      <c r="X209">
        <v>2010</v>
      </c>
      <c r="Y209" s="143">
        <v>0.33867263056092844</v>
      </c>
    </row>
    <row r="210" spans="1:27" ht="15.75" thickBot="1" x14ac:dyDescent="0.25">
      <c r="A210">
        <v>2009</v>
      </c>
      <c r="B210" s="77">
        <v>71288</v>
      </c>
      <c r="C210" s="78">
        <v>23990</v>
      </c>
      <c r="D210" s="143">
        <f>C210/B210</f>
        <v>0.33652227583885086</v>
      </c>
      <c r="X210">
        <v>2011</v>
      </c>
      <c r="Y210" s="143">
        <v>0.34272100239716458</v>
      </c>
      <c r="AA210" s="78"/>
    </row>
    <row r="211" spans="1:27" ht="15.75" thickBot="1" x14ac:dyDescent="0.25">
      <c r="A211">
        <v>2010</v>
      </c>
      <c r="B211" s="77">
        <v>66176</v>
      </c>
      <c r="C211" s="78">
        <v>22412</v>
      </c>
      <c r="D211" s="143">
        <f t="shared" ref="D211:D225" si="6">C211/B211</f>
        <v>0.33867263056092844</v>
      </c>
      <c r="X211">
        <v>2012</v>
      </c>
      <c r="Y211" s="143">
        <v>0.34465516016762554</v>
      </c>
      <c r="AA211" s="78"/>
    </row>
    <row r="212" spans="1:27" ht="15.75" thickBot="1" x14ac:dyDescent="0.25">
      <c r="A212">
        <v>2011</v>
      </c>
      <c r="B212" s="77">
        <v>67997</v>
      </c>
      <c r="C212" s="78">
        <v>23304</v>
      </c>
      <c r="D212" s="143">
        <f t="shared" si="6"/>
        <v>0.34272100239716458</v>
      </c>
      <c r="X212">
        <v>2013</v>
      </c>
      <c r="Y212" s="143">
        <v>0.34569387591299461</v>
      </c>
      <c r="AA212" s="78"/>
    </row>
    <row r="213" spans="1:27" ht="15.75" thickBot="1" x14ac:dyDescent="0.25">
      <c r="A213">
        <v>2012</v>
      </c>
      <c r="B213" s="77">
        <v>70395</v>
      </c>
      <c r="C213" s="78">
        <v>24262</v>
      </c>
      <c r="D213" s="143">
        <f t="shared" si="6"/>
        <v>0.34465516016762554</v>
      </c>
      <c r="X213">
        <v>2014</v>
      </c>
      <c r="Y213" s="143">
        <v>0.34150890727300409</v>
      </c>
      <c r="AA213" s="78"/>
    </row>
    <row r="214" spans="1:27" ht="15.75" thickBot="1" x14ac:dyDescent="0.25">
      <c r="A214">
        <v>2013</v>
      </c>
      <c r="B214" s="77">
        <v>74754</v>
      </c>
      <c r="C214" s="78">
        <v>25842</v>
      </c>
      <c r="D214" s="143">
        <f t="shared" si="6"/>
        <v>0.34569387591299461</v>
      </c>
      <c r="X214">
        <v>2015</v>
      </c>
      <c r="Y214" s="143">
        <v>0.34131239780705974</v>
      </c>
      <c r="AA214" s="78"/>
    </row>
    <row r="215" spans="1:27" ht="15.75" thickBot="1" x14ac:dyDescent="0.25">
      <c r="A215">
        <v>2014</v>
      </c>
      <c r="B215" s="77">
        <v>78812</v>
      </c>
      <c r="C215" s="78">
        <v>26915</v>
      </c>
      <c r="D215" s="143">
        <f t="shared" si="6"/>
        <v>0.34150890727300409</v>
      </c>
      <c r="X215">
        <v>2016</v>
      </c>
      <c r="Y215" s="143">
        <v>0.34190399801172627</v>
      </c>
      <c r="AA215" s="78"/>
    </row>
    <row r="216" spans="1:27" ht="15.75" thickBot="1" x14ac:dyDescent="0.25">
      <c r="A216">
        <v>2015</v>
      </c>
      <c r="B216" s="77">
        <v>83176</v>
      </c>
      <c r="C216" s="78">
        <v>28389</v>
      </c>
      <c r="D216" s="143">
        <f t="shared" si="6"/>
        <v>0.34131239780705974</v>
      </c>
      <c r="X216">
        <v>2017</v>
      </c>
      <c r="Y216" s="143">
        <v>0.34159310745811089</v>
      </c>
      <c r="AA216" s="78"/>
    </row>
    <row r="217" spans="1:27" ht="15.75" thickBot="1" x14ac:dyDescent="0.25">
      <c r="A217">
        <v>2016</v>
      </c>
      <c r="B217" s="77">
        <v>88519</v>
      </c>
      <c r="C217" s="78">
        <v>30265</v>
      </c>
      <c r="D217" s="143">
        <f t="shared" si="6"/>
        <v>0.34190399801172627</v>
      </c>
      <c r="X217">
        <v>2018</v>
      </c>
      <c r="Y217" s="143">
        <v>0.34048204233727108</v>
      </c>
      <c r="AA217" s="78"/>
    </row>
    <row r="218" spans="1:27" ht="15.75" thickBot="1" x14ac:dyDescent="0.25">
      <c r="A218">
        <v>2017</v>
      </c>
      <c r="B218" s="77">
        <v>94595</v>
      </c>
      <c r="C218" s="78">
        <v>32313</v>
      </c>
      <c r="D218" s="143">
        <f t="shared" si="6"/>
        <v>0.34159310745811089</v>
      </c>
      <c r="X218">
        <v>2019</v>
      </c>
      <c r="Y218" s="143">
        <v>0.34342855558533497</v>
      </c>
      <c r="AA218" s="78"/>
    </row>
    <row r="219" spans="1:27" ht="15.75" thickBot="1" x14ac:dyDescent="0.25">
      <c r="A219">
        <v>2018</v>
      </c>
      <c r="B219" s="77">
        <v>100904</v>
      </c>
      <c r="C219" s="78">
        <v>34356</v>
      </c>
      <c r="D219" s="143">
        <f t="shared" si="6"/>
        <v>0.34048204233727108</v>
      </c>
      <c r="X219">
        <v>2020</v>
      </c>
      <c r="Y219" s="143">
        <v>0.34086640961669312</v>
      </c>
      <c r="AA219" s="78"/>
    </row>
    <row r="220" spans="1:27" ht="15.75" thickBot="1" x14ac:dyDescent="0.25">
      <c r="A220">
        <v>2019</v>
      </c>
      <c r="B220" s="77">
        <v>108203</v>
      </c>
      <c r="C220" s="78">
        <v>37160</v>
      </c>
      <c r="D220" s="143">
        <f t="shared" si="6"/>
        <v>0.34342855558533497</v>
      </c>
      <c r="X220">
        <v>2021</v>
      </c>
      <c r="Y220" s="143">
        <v>0.33951252743925514</v>
      </c>
      <c r="AA220" s="78"/>
    </row>
    <row r="221" spans="1:27" ht="15.75" thickBot="1" x14ac:dyDescent="0.25">
      <c r="A221">
        <v>2020</v>
      </c>
      <c r="B221" s="77">
        <v>110225</v>
      </c>
      <c r="C221" s="78">
        <v>37572</v>
      </c>
      <c r="D221" s="143">
        <f t="shared" si="6"/>
        <v>0.34086640961669312</v>
      </c>
      <c r="X221">
        <v>2022</v>
      </c>
      <c r="Y221" s="143">
        <v>0.33628611311417927</v>
      </c>
      <c r="AA221" s="78"/>
    </row>
    <row r="222" spans="1:27" ht="15.75" thickBot="1" x14ac:dyDescent="0.25">
      <c r="A222">
        <v>2021</v>
      </c>
      <c r="B222" s="77">
        <v>132110</v>
      </c>
      <c r="C222" s="78">
        <v>44853</v>
      </c>
      <c r="D222" s="143">
        <f t="shared" si="6"/>
        <v>0.33951252743925514</v>
      </c>
      <c r="X222">
        <v>2023</v>
      </c>
      <c r="Y222" s="143">
        <v>0.33530491794946732</v>
      </c>
      <c r="AA222" s="78"/>
    </row>
    <row r="223" spans="1:27" ht="15.75" thickBot="1" x14ac:dyDescent="0.25">
      <c r="A223">
        <v>2022</v>
      </c>
      <c r="B223" s="77">
        <v>151157</v>
      </c>
      <c r="C223" s="78">
        <v>50832</v>
      </c>
      <c r="D223" s="143">
        <f t="shared" si="6"/>
        <v>0.33628611311417927</v>
      </c>
      <c r="X223">
        <v>2024</v>
      </c>
      <c r="Y223" s="143">
        <v>0.33379402498215094</v>
      </c>
      <c r="AA223" s="78"/>
    </row>
    <row r="224" spans="1:27" ht="15.75" thickBot="1" x14ac:dyDescent="0.25">
      <c r="A224">
        <v>2023</v>
      </c>
      <c r="B224" s="77">
        <v>157403</v>
      </c>
      <c r="C224" s="78">
        <v>52778</v>
      </c>
      <c r="D224" s="143">
        <f t="shared" si="6"/>
        <v>0.33530491794946732</v>
      </c>
      <c r="AA224" s="78"/>
    </row>
    <row r="225" spans="1:27" ht="15" x14ac:dyDescent="0.2">
      <c r="A225">
        <v>2024</v>
      </c>
      <c r="B225" s="77">
        <v>152669</v>
      </c>
      <c r="C225" s="78">
        <v>50960</v>
      </c>
      <c r="D225" s="143">
        <f t="shared" si="6"/>
        <v>0.33379402498215094</v>
      </c>
      <c r="AA225" s="78"/>
    </row>
    <row r="228" spans="1:27" x14ac:dyDescent="0.2">
      <c r="A228" t="s">
        <v>335</v>
      </c>
      <c r="J228" t="s">
        <v>336</v>
      </c>
    </row>
    <row r="241" spans="1:17" x14ac:dyDescent="0.2">
      <c r="A241" t="s">
        <v>337</v>
      </c>
    </row>
    <row r="243" spans="1:17" x14ac:dyDescent="0.2">
      <c r="H243" t="s">
        <v>338</v>
      </c>
    </row>
    <row r="244" spans="1:17" x14ac:dyDescent="0.2">
      <c r="H244" t="s">
        <v>339</v>
      </c>
    </row>
    <row r="246" spans="1:17" x14ac:dyDescent="0.2">
      <c r="H246" t="s">
        <v>340</v>
      </c>
    </row>
    <row r="247" spans="1:17" x14ac:dyDescent="0.2">
      <c r="H247" t="s">
        <v>341</v>
      </c>
    </row>
    <row r="249" spans="1:17" x14ac:dyDescent="0.2">
      <c r="H249" t="s">
        <v>304</v>
      </c>
    </row>
    <row r="250" spans="1:17" x14ac:dyDescent="0.2">
      <c r="H250">
        <v>2017</v>
      </c>
      <c r="I250" s="139">
        <v>0.1419419631058724</v>
      </c>
      <c r="K250" t="s">
        <v>342</v>
      </c>
    </row>
    <row r="251" spans="1:17" x14ac:dyDescent="0.2">
      <c r="H251">
        <v>2018</v>
      </c>
      <c r="I251" s="139">
        <v>0.14549472766193611</v>
      </c>
      <c r="K251" t="s">
        <v>343</v>
      </c>
      <c r="M251" s="75">
        <f>AVERAGE(I250:I253)</f>
        <v>0.14325718116194117</v>
      </c>
      <c r="N251" t="s">
        <v>344</v>
      </c>
    </row>
    <row r="252" spans="1:17" ht="15" x14ac:dyDescent="0.25">
      <c r="H252">
        <v>2019</v>
      </c>
      <c r="I252" s="139">
        <v>0.14352651959742335</v>
      </c>
      <c r="K252" t="s">
        <v>345</v>
      </c>
      <c r="Q252" s="146">
        <v>0.14000000000000001</v>
      </c>
    </row>
    <row r="253" spans="1:17" x14ac:dyDescent="0.2">
      <c r="H253">
        <v>2024</v>
      </c>
      <c r="I253" s="139">
        <v>0.14206551428253281</v>
      </c>
    </row>
    <row r="254" spans="1:17" x14ac:dyDescent="0.2">
      <c r="I254" s="139"/>
    </row>
    <row r="255" spans="1:17" x14ac:dyDescent="0.2">
      <c r="I255" s="139"/>
    </row>
    <row r="256" spans="1:17" x14ac:dyDescent="0.2">
      <c r="I256" s="139"/>
    </row>
    <row r="264" spans="1:9" ht="15" x14ac:dyDescent="0.25">
      <c r="A264" s="56" t="s">
        <v>346</v>
      </c>
    </row>
    <row r="265" spans="1:9" ht="15" thickBot="1" x14ac:dyDescent="0.25">
      <c r="A265" t="s">
        <v>115</v>
      </c>
      <c r="B265" t="s">
        <v>303</v>
      </c>
      <c r="C265" t="s">
        <v>347</v>
      </c>
      <c r="D265" t="s">
        <v>349</v>
      </c>
      <c r="E265" t="s">
        <v>348</v>
      </c>
      <c r="F265" t="s">
        <v>350</v>
      </c>
    </row>
    <row r="266" spans="1:9" ht="15.75" thickBot="1" x14ac:dyDescent="0.25">
      <c r="A266">
        <v>2012</v>
      </c>
      <c r="B266" s="77">
        <v>70395</v>
      </c>
      <c r="C266" s="1">
        <v>17898</v>
      </c>
      <c r="D266" s="77">
        <v>10758</v>
      </c>
      <c r="E266" s="78">
        <v>1987</v>
      </c>
      <c r="F266">
        <f>B266/(C266+D266-E266)</f>
        <v>2.639581536615546</v>
      </c>
      <c r="H266" s="12"/>
      <c r="I266" s="12"/>
    </row>
    <row r="267" spans="1:9" ht="15.75" thickBot="1" x14ac:dyDescent="0.25">
      <c r="A267">
        <v>2013</v>
      </c>
      <c r="B267" s="77">
        <v>74754</v>
      </c>
      <c r="C267" s="1">
        <v>17777</v>
      </c>
      <c r="D267" s="77">
        <v>9475</v>
      </c>
      <c r="E267" s="78">
        <v>2494</v>
      </c>
      <c r="F267">
        <f t="shared" ref="F267:F278" si="7">B267/(C267+D267-E267)</f>
        <v>3.0193876726714599</v>
      </c>
      <c r="H267" s="12"/>
      <c r="I267" s="12"/>
    </row>
    <row r="268" spans="1:9" ht="15.75" thickBot="1" x14ac:dyDescent="0.25">
      <c r="A268">
        <v>2014</v>
      </c>
      <c r="B268" s="77">
        <v>78812</v>
      </c>
      <c r="C268" s="1">
        <v>12522</v>
      </c>
      <c r="D268" s="77">
        <v>14691</v>
      </c>
      <c r="E268" s="78">
        <v>1929</v>
      </c>
      <c r="F268">
        <f t="shared" si="7"/>
        <v>3.1170700838474925</v>
      </c>
      <c r="H268" s="12"/>
      <c r="I268" s="12"/>
    </row>
    <row r="269" spans="1:9" ht="15.75" thickBot="1" x14ac:dyDescent="0.25">
      <c r="A269">
        <v>2015</v>
      </c>
      <c r="B269" s="77">
        <v>83176</v>
      </c>
      <c r="C269" s="1">
        <v>9322</v>
      </c>
      <c r="D269" s="77">
        <v>16869</v>
      </c>
      <c r="E269" s="78">
        <v>1723</v>
      </c>
      <c r="F269">
        <f t="shared" si="7"/>
        <v>3.3993787804479321</v>
      </c>
      <c r="H269" s="12"/>
      <c r="I269" s="12"/>
    </row>
    <row r="270" spans="1:9" ht="15.75" thickBot="1" x14ac:dyDescent="0.25">
      <c r="A270">
        <v>2016</v>
      </c>
      <c r="B270" s="77">
        <v>88519</v>
      </c>
      <c r="C270" s="1">
        <v>6316</v>
      </c>
      <c r="D270" s="77">
        <v>20789</v>
      </c>
      <c r="E270" s="78">
        <v>2216</v>
      </c>
      <c r="F270">
        <f t="shared" si="7"/>
        <v>3.5565510868255052</v>
      </c>
      <c r="H270" s="12"/>
      <c r="I270" s="12"/>
    </row>
    <row r="271" spans="1:9" ht="15.75" thickBot="1" x14ac:dyDescent="0.25">
      <c r="A271">
        <v>2017</v>
      </c>
      <c r="B271" s="77">
        <v>94595</v>
      </c>
      <c r="C271" s="1">
        <v>4333</v>
      </c>
      <c r="D271" s="77">
        <v>22349</v>
      </c>
      <c r="E271" s="78">
        <v>2538</v>
      </c>
      <c r="F271">
        <f t="shared" si="7"/>
        <v>3.9179506295559974</v>
      </c>
      <c r="H271" s="12"/>
      <c r="I271" s="12"/>
    </row>
    <row r="272" spans="1:9" ht="15.75" thickBot="1" x14ac:dyDescent="0.25">
      <c r="A272">
        <v>2018</v>
      </c>
      <c r="B272" s="77">
        <v>100904</v>
      </c>
      <c r="C272" s="1">
        <v>1454</v>
      </c>
      <c r="D272" s="77">
        <v>24267</v>
      </c>
      <c r="E272" s="78">
        <v>3595</v>
      </c>
      <c r="F272">
        <f t="shared" si="7"/>
        <v>4.5604266473831689</v>
      </c>
      <c r="H272" s="12"/>
      <c r="I272" s="12"/>
    </row>
    <row r="273" spans="1:11" ht="15.75" thickBot="1" x14ac:dyDescent="0.25">
      <c r="A273">
        <v>2019</v>
      </c>
      <c r="B273" s="77">
        <v>108203</v>
      </c>
      <c r="C273" s="1">
        <v>-1878</v>
      </c>
      <c r="D273" s="77">
        <v>26807</v>
      </c>
      <c r="E273" s="78">
        <v>1778</v>
      </c>
      <c r="F273">
        <f t="shared" si="7"/>
        <v>4.6737937886052441</v>
      </c>
      <c r="H273" s="12"/>
      <c r="I273" s="12"/>
    </row>
    <row r="274" spans="1:11" ht="15.75" thickBot="1" x14ac:dyDescent="0.25">
      <c r="A274">
        <v>2020</v>
      </c>
      <c r="B274" s="77">
        <v>110225</v>
      </c>
      <c r="C274" s="1">
        <v>-3116</v>
      </c>
      <c r="D274" s="77">
        <v>28670</v>
      </c>
      <c r="E274" s="78">
        <v>2133</v>
      </c>
      <c r="F274">
        <f t="shared" si="7"/>
        <v>4.7062465308910806</v>
      </c>
      <c r="H274" s="12"/>
      <c r="I274" s="12"/>
    </row>
    <row r="275" spans="1:11" ht="15.75" thickBot="1" x14ac:dyDescent="0.25">
      <c r="A275">
        <v>2021</v>
      </c>
      <c r="B275" s="77">
        <v>132110</v>
      </c>
      <c r="C275" s="1">
        <v>3299</v>
      </c>
      <c r="D275" s="77">
        <v>35822</v>
      </c>
      <c r="E275" s="78">
        <v>7895</v>
      </c>
      <c r="F275">
        <f t="shared" si="7"/>
        <v>4.2307692307692308</v>
      </c>
      <c r="H275" s="12"/>
      <c r="I275" s="12"/>
    </row>
    <row r="276" spans="1:11" ht="15.75" thickBot="1" x14ac:dyDescent="0.25">
      <c r="A276">
        <v>2022</v>
      </c>
      <c r="B276" s="77">
        <v>151157</v>
      </c>
      <c r="C276" s="1">
        <v>-1696</v>
      </c>
      <c r="D276" s="77">
        <v>36604</v>
      </c>
      <c r="E276" s="78">
        <v>2343</v>
      </c>
      <c r="F276">
        <f t="shared" si="7"/>
        <v>4.6417012129586981</v>
      </c>
      <c r="H276" s="12"/>
      <c r="I276" s="12"/>
    </row>
    <row r="277" spans="1:11" ht="15.75" thickBot="1" x14ac:dyDescent="0.25">
      <c r="A277">
        <v>2023</v>
      </c>
      <c r="B277" s="77">
        <v>157403</v>
      </c>
      <c r="C277" s="1">
        <v>1562</v>
      </c>
      <c r="D277" s="77">
        <v>41962</v>
      </c>
      <c r="E277" s="78">
        <v>2757</v>
      </c>
      <c r="F277">
        <f t="shared" si="7"/>
        <v>3.8610395663158927</v>
      </c>
      <c r="H277" s="12"/>
      <c r="I277" s="12"/>
    </row>
    <row r="278" spans="1:11" ht="15.75" thickBot="1" x14ac:dyDescent="0.25">
      <c r="A278">
        <v>2024</v>
      </c>
      <c r="B278" s="77">
        <v>152669</v>
      </c>
      <c r="C278" s="1">
        <v>1044</v>
      </c>
      <c r="D278" s="77">
        <v>42743</v>
      </c>
      <c r="E278" s="78">
        <v>3760</v>
      </c>
      <c r="F278">
        <f t="shared" si="7"/>
        <v>3.8141504484472981</v>
      </c>
      <c r="H278" s="12"/>
      <c r="I278" s="12"/>
    </row>
    <row r="279" spans="1:11" ht="15.75" thickBot="1" x14ac:dyDescent="0.25">
      <c r="H279" s="12"/>
      <c r="I279" s="12"/>
    </row>
    <row r="280" spans="1:11" ht="15" x14ac:dyDescent="0.2">
      <c r="H280" s="12"/>
      <c r="I280" s="12"/>
    </row>
    <row r="283" spans="1:11" x14ac:dyDescent="0.2">
      <c r="K283" t="s">
        <v>351</v>
      </c>
    </row>
    <row r="284" spans="1:11" x14ac:dyDescent="0.2">
      <c r="K284" t="s">
        <v>352</v>
      </c>
    </row>
    <row r="286" spans="1:11" x14ac:dyDescent="0.2">
      <c r="K286" t="s">
        <v>353</v>
      </c>
    </row>
    <row r="287" spans="1:11" x14ac:dyDescent="0.2">
      <c r="K287" t="s">
        <v>354</v>
      </c>
    </row>
    <row r="289" spans="11:15" x14ac:dyDescent="0.2">
      <c r="K289" t="s">
        <v>355</v>
      </c>
    </row>
    <row r="290" spans="11:15" x14ac:dyDescent="0.2">
      <c r="K290" t="s">
        <v>356</v>
      </c>
    </row>
    <row r="292" spans="11:15" ht="15" x14ac:dyDescent="0.25">
      <c r="K292" t="s">
        <v>357</v>
      </c>
      <c r="O292" s="147">
        <f>AVERAGE(F271:F278)</f>
        <v>4.3007597568658262</v>
      </c>
    </row>
  </sheetData>
  <mergeCells count="1">
    <mergeCell ref="A3:G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E19D-3465-409D-A332-4384E1160200}">
  <sheetPr>
    <tabColor rgb="FF92D050"/>
  </sheetPr>
  <dimension ref="A2:AD162"/>
  <sheetViews>
    <sheetView showGridLines="0" tabSelected="1" topLeftCell="A136" zoomScale="115" zoomScaleNormal="115" workbookViewId="0">
      <selection activeCell="Q91" sqref="Q91"/>
    </sheetView>
  </sheetViews>
  <sheetFormatPr defaultColWidth="9.625" defaultRowHeight="14.25" outlineLevelRow="1" outlineLevelCol="1" x14ac:dyDescent="0.2"/>
  <cols>
    <col min="1" max="1" width="3.625" customWidth="1"/>
    <col min="2" max="2" width="21.125" customWidth="1"/>
    <col min="3" max="3" width="10.125" bestFit="1" customWidth="1"/>
    <col min="5" max="7" width="9.625" customWidth="1" outlineLevel="1"/>
    <col min="8" max="8" width="11.375" customWidth="1" outlineLevel="1"/>
    <col min="9" max="9" width="13" customWidth="1" outlineLevel="1"/>
    <col min="10" max="10" width="12.25" customWidth="1" outlineLevel="1"/>
    <col min="11" max="12" width="11.875" customWidth="1"/>
    <col min="13" max="13" width="12.625" customWidth="1"/>
    <col min="14" max="14" width="11.875" customWidth="1"/>
    <col min="15" max="16" width="11.5" customWidth="1"/>
    <col min="17" max="17" width="10.875" customWidth="1"/>
    <col min="18" max="18" width="9.625" customWidth="1"/>
    <col min="22" max="26" width="10.5" bestFit="1" customWidth="1"/>
    <col min="27" max="27" width="12" bestFit="1" customWidth="1"/>
    <col min="30" max="30" width="10.375" bestFit="1" customWidth="1"/>
  </cols>
  <sheetData>
    <row r="2" spans="1:27" s="108" customFormat="1" ht="20.25" x14ac:dyDescent="0.3">
      <c r="B2" s="138" t="str">
        <f>C5</f>
        <v>HD</v>
      </c>
    </row>
    <row r="3" spans="1:27" ht="15" x14ac:dyDescent="0.25">
      <c r="B3" s="185" t="s">
        <v>364</v>
      </c>
      <c r="C3" s="186"/>
      <c r="D3" s="186"/>
      <c r="E3" s="186"/>
      <c r="F3" s="186"/>
      <c r="G3" s="186"/>
      <c r="H3" s="186"/>
    </row>
    <row r="5" spans="1:27" x14ac:dyDescent="0.2">
      <c r="A5" t="s">
        <v>251</v>
      </c>
      <c r="B5" t="s">
        <v>270</v>
      </c>
      <c r="C5" s="137" t="s">
        <v>271</v>
      </c>
      <c r="E5" t="s">
        <v>269</v>
      </c>
      <c r="G5" s="134"/>
      <c r="I5" t="s">
        <v>268</v>
      </c>
      <c r="K5" s="136">
        <v>2024</v>
      </c>
      <c r="M5" s="132"/>
      <c r="N5" s="238" t="s">
        <v>267</v>
      </c>
      <c r="O5" s="238"/>
      <c r="P5" s="238"/>
      <c r="Q5" s="238"/>
      <c r="R5" s="238"/>
      <c r="S5" s="238"/>
      <c r="T5" s="238"/>
      <c r="U5" s="238"/>
      <c r="V5" s="238"/>
    </row>
    <row r="6" spans="1:27" x14ac:dyDescent="0.2">
      <c r="B6" t="s">
        <v>266</v>
      </c>
      <c r="C6" s="135">
        <v>45441</v>
      </c>
      <c r="E6" t="s">
        <v>265</v>
      </c>
      <c r="G6" s="134"/>
      <c r="K6" s="133"/>
      <c r="M6" s="132"/>
      <c r="N6" s="238"/>
      <c r="O6" s="238"/>
      <c r="P6" s="238"/>
      <c r="Q6" s="238"/>
      <c r="R6" s="238"/>
      <c r="S6" s="238"/>
      <c r="T6" s="238"/>
      <c r="U6" s="238"/>
      <c r="V6" s="238"/>
    </row>
    <row r="7" spans="1:27" x14ac:dyDescent="0.2">
      <c r="N7" s="238"/>
      <c r="O7" s="238"/>
      <c r="P7" s="238"/>
      <c r="Q7" s="238"/>
      <c r="R7" s="238"/>
      <c r="S7" s="238"/>
      <c r="T7" s="238"/>
      <c r="U7" s="238"/>
      <c r="V7" s="238"/>
    </row>
    <row r="8" spans="1:27" ht="15" x14ac:dyDescent="0.25">
      <c r="A8" t="s">
        <v>251</v>
      </c>
      <c r="B8" s="128" t="s">
        <v>264</v>
      </c>
      <c r="C8" s="130"/>
      <c r="D8" s="130"/>
      <c r="E8" s="130"/>
      <c r="F8" s="130"/>
      <c r="G8" s="130"/>
      <c r="H8" s="130"/>
      <c r="I8" s="130"/>
      <c r="J8" s="130"/>
      <c r="K8" s="130"/>
      <c r="L8" s="130"/>
      <c r="M8" s="130"/>
      <c r="N8" s="130"/>
    </row>
    <row r="9" spans="1:27" ht="15" x14ac:dyDescent="0.25">
      <c r="B9" s="56" t="s">
        <v>263</v>
      </c>
    </row>
    <row r="10" spans="1:27" x14ac:dyDescent="0.2">
      <c r="B10" t="s">
        <v>262</v>
      </c>
      <c r="D10" s="131"/>
    </row>
    <row r="11" spans="1:27" x14ac:dyDescent="0.2">
      <c r="B11" t="s">
        <v>261</v>
      </c>
      <c r="D11" s="131"/>
    </row>
    <row r="12" spans="1:27" outlineLevel="1" x14ac:dyDescent="0.2"/>
    <row r="13" spans="1:27" ht="15" x14ac:dyDescent="0.25">
      <c r="A13" t="s">
        <v>251</v>
      </c>
      <c r="B13" s="128" t="s">
        <v>260</v>
      </c>
      <c r="C13" s="130"/>
      <c r="D13" s="130"/>
      <c r="E13" s="128"/>
      <c r="F13" s="128"/>
      <c r="G13" s="128"/>
      <c r="H13" s="128"/>
      <c r="I13" s="129" t="s">
        <v>363</v>
      </c>
      <c r="J13" s="129">
        <v>1</v>
      </c>
      <c r="K13" s="129">
        <v>2</v>
      </c>
      <c r="L13" s="129">
        <v>3</v>
      </c>
      <c r="M13" s="129">
        <v>4</v>
      </c>
      <c r="N13" s="129">
        <v>5</v>
      </c>
      <c r="O13" s="129">
        <v>6</v>
      </c>
      <c r="P13" s="129">
        <v>7</v>
      </c>
      <c r="Q13" s="148" t="s">
        <v>358</v>
      </c>
    </row>
    <row r="14" spans="1:27" x14ac:dyDescent="0.2">
      <c r="E14" s="119"/>
      <c r="F14" s="119"/>
      <c r="G14" s="119"/>
      <c r="H14" s="119"/>
      <c r="I14" s="120"/>
      <c r="J14" s="126"/>
      <c r="K14" s="126"/>
      <c r="L14" s="126"/>
      <c r="M14" s="126"/>
      <c r="N14" s="126"/>
    </row>
    <row r="15" spans="1:27" x14ac:dyDescent="0.2">
      <c r="B15" s="116" t="s">
        <v>359</v>
      </c>
      <c r="E15" s="124"/>
      <c r="F15" s="124"/>
      <c r="G15" s="124"/>
      <c r="H15" s="124"/>
      <c r="I15" s="160">
        <f>'5.Story&amp;estimations'!$K$196</f>
        <v>6.3355408577405098E-2</v>
      </c>
      <c r="J15" s="161">
        <f>I15</f>
        <v>6.3355408577405098E-2</v>
      </c>
      <c r="K15" s="161">
        <f t="shared" ref="K15:Q15" si="0">J15</f>
        <v>6.3355408577405098E-2</v>
      </c>
      <c r="L15" s="161">
        <f t="shared" si="0"/>
        <v>6.3355408577405098E-2</v>
      </c>
      <c r="M15" s="161">
        <f t="shared" si="0"/>
        <v>6.3355408577405098E-2</v>
      </c>
      <c r="N15" s="161">
        <f t="shared" si="0"/>
        <v>6.3355408577405098E-2</v>
      </c>
      <c r="O15" s="161">
        <f t="shared" si="0"/>
        <v>6.3355408577405098E-2</v>
      </c>
      <c r="P15" s="161">
        <f t="shared" si="0"/>
        <v>6.3355408577405098E-2</v>
      </c>
      <c r="Q15" s="161">
        <f t="shared" si="0"/>
        <v>6.3355408577405098E-2</v>
      </c>
      <c r="U15" s="117"/>
      <c r="Y15" s="127"/>
      <c r="Z15" s="127"/>
      <c r="AA15" s="127"/>
    </row>
    <row r="16" spans="1:27" ht="15" x14ac:dyDescent="0.25">
      <c r="G16" s="56"/>
      <c r="I16" s="115"/>
      <c r="Y16" s="127"/>
      <c r="Z16" s="127"/>
      <c r="AA16" s="127"/>
    </row>
    <row r="17" spans="2:30" x14ac:dyDescent="0.2">
      <c r="B17" s="118" t="s">
        <v>308</v>
      </c>
      <c r="E17" s="119"/>
      <c r="F17" s="119"/>
      <c r="G17" s="119"/>
      <c r="H17" s="119"/>
      <c r="I17" s="153">
        <v>152669</v>
      </c>
      <c r="J17" s="162">
        <f>I17+I17*J15</f>
        <v>162341.40687210386</v>
      </c>
      <c r="K17" s="162">
        <f t="shared" ref="K17:Q17" si="1">J17+J17*K15</f>
        <v>172626.61303351677</v>
      </c>
      <c r="L17" s="162">
        <f t="shared" si="1"/>
        <v>183563.44263358883</v>
      </c>
      <c r="M17" s="162">
        <f t="shared" si="1"/>
        <v>195193.1795415149</v>
      </c>
      <c r="N17" s="162">
        <f t="shared" si="1"/>
        <v>207559.72318289036</v>
      </c>
      <c r="O17" s="162">
        <f t="shared" si="1"/>
        <v>220709.75424935546</v>
      </c>
      <c r="P17" s="162">
        <f t="shared" si="1"/>
        <v>234692.91090684204</v>
      </c>
      <c r="Q17" s="162">
        <f t="shared" si="1"/>
        <v>249561.97616756556</v>
      </c>
      <c r="V17" s="121"/>
      <c r="W17" s="121"/>
      <c r="X17" s="121"/>
      <c r="Y17" s="121"/>
      <c r="Z17" s="121"/>
      <c r="AA17" s="121"/>
    </row>
    <row r="18" spans="2:30" x14ac:dyDescent="0.2">
      <c r="B18" s="116"/>
      <c r="E18" s="124"/>
      <c r="F18" s="124"/>
      <c r="G18" s="124"/>
      <c r="H18" s="124"/>
      <c r="I18" s="155"/>
      <c r="J18" s="156"/>
      <c r="K18" s="156"/>
      <c r="L18" s="156"/>
      <c r="M18" s="156"/>
      <c r="N18" s="156"/>
      <c r="O18" s="154"/>
      <c r="P18" s="154"/>
      <c r="Q18" s="154"/>
      <c r="V18" s="3"/>
      <c r="W18" s="3"/>
      <c r="X18" s="3"/>
      <c r="Y18" s="3"/>
      <c r="Z18" s="3"/>
      <c r="AA18" s="3"/>
    </row>
    <row r="19" spans="2:30" x14ac:dyDescent="0.2">
      <c r="B19" t="s">
        <v>360</v>
      </c>
      <c r="I19" s="163">
        <v>0.1421</v>
      </c>
      <c r="J19" s="164">
        <v>0.14000000000000001</v>
      </c>
      <c r="K19" s="164">
        <v>0.14000000000000001</v>
      </c>
      <c r="L19" s="164">
        <v>0.14000000000000001</v>
      </c>
      <c r="M19" s="164">
        <v>0.14000000000000001</v>
      </c>
      <c r="N19" s="164">
        <v>0.14000000000000001</v>
      </c>
      <c r="O19" s="164">
        <v>0.14000000000000001</v>
      </c>
      <c r="P19" s="164">
        <v>0.14000000000000001</v>
      </c>
      <c r="Q19" s="164">
        <v>0.14000000000000001</v>
      </c>
      <c r="U19" s="117"/>
      <c r="Y19" s="125"/>
      <c r="Z19" s="125"/>
      <c r="AA19" s="125"/>
      <c r="AB19" s="117"/>
      <c r="AC19" s="117"/>
      <c r="AD19" s="117"/>
    </row>
    <row r="20" spans="2:30" x14ac:dyDescent="0.2">
      <c r="I20" s="153"/>
      <c r="J20" s="154"/>
      <c r="K20" s="154"/>
      <c r="L20" s="154"/>
      <c r="M20" s="154"/>
      <c r="N20" s="154"/>
      <c r="O20" s="154"/>
      <c r="P20" s="154"/>
      <c r="Q20" s="154"/>
      <c r="U20" s="117"/>
      <c r="Y20" s="125"/>
      <c r="Z20" s="125"/>
      <c r="AA20" s="125"/>
      <c r="AB20" s="117"/>
      <c r="AC20" s="117"/>
      <c r="AD20" s="117"/>
    </row>
    <row r="21" spans="2:30" x14ac:dyDescent="0.2">
      <c r="B21" s="118" t="s">
        <v>259</v>
      </c>
      <c r="E21" s="119"/>
      <c r="F21" s="119"/>
      <c r="G21" s="119"/>
      <c r="H21" s="119"/>
      <c r="I21" s="153">
        <f>I17*I19</f>
        <v>21694.264900000002</v>
      </c>
      <c r="J21" s="165">
        <f t="shared" ref="J21:Q21" si="2">J17*J19</f>
        <v>22727.796962094544</v>
      </c>
      <c r="K21" s="154">
        <f>K17*K19</f>
        <v>24167.725824692348</v>
      </c>
      <c r="L21" s="154">
        <f t="shared" si="2"/>
        <v>25698.881968702437</v>
      </c>
      <c r="M21" s="154">
        <f t="shared" si="2"/>
        <v>27327.045135812088</v>
      </c>
      <c r="N21" s="154">
        <f t="shared" si="2"/>
        <v>29058.361245604654</v>
      </c>
      <c r="O21" s="154">
        <f t="shared" si="2"/>
        <v>30899.365594909767</v>
      </c>
      <c r="P21" s="154">
        <f t="shared" si="2"/>
        <v>32857.007526957888</v>
      </c>
      <c r="Q21" s="154">
        <f t="shared" si="2"/>
        <v>34938.676663459184</v>
      </c>
      <c r="U21" s="117"/>
      <c r="Y21" s="125"/>
      <c r="Z21" s="125"/>
      <c r="AA21" s="125"/>
      <c r="AB21" s="117"/>
      <c r="AC21" s="117"/>
      <c r="AD21" s="117"/>
    </row>
    <row r="22" spans="2:30" x14ac:dyDescent="0.2">
      <c r="B22" s="116"/>
      <c r="E22" s="124"/>
      <c r="F22" s="124"/>
      <c r="G22" s="124"/>
      <c r="H22" s="124"/>
      <c r="I22" s="155"/>
      <c r="J22" s="156"/>
      <c r="K22" s="156"/>
      <c r="L22" s="156"/>
      <c r="M22" s="156"/>
      <c r="N22" s="156"/>
      <c r="O22" s="154"/>
      <c r="P22" s="154"/>
      <c r="Q22" s="154"/>
      <c r="U22" s="117"/>
      <c r="Y22" s="122"/>
      <c r="Z22" s="122"/>
      <c r="AA22" s="122"/>
      <c r="AB22" s="117"/>
      <c r="AC22" s="117"/>
      <c r="AD22" s="117"/>
    </row>
    <row r="23" spans="2:30" x14ac:dyDescent="0.2">
      <c r="B23" t="s">
        <v>361</v>
      </c>
      <c r="I23" s="149">
        <v>0.24</v>
      </c>
      <c r="J23" s="144">
        <f>I23</f>
        <v>0.24</v>
      </c>
      <c r="K23" s="144">
        <f t="shared" ref="K23:Q23" si="3">J23</f>
        <v>0.24</v>
      </c>
      <c r="L23" s="144">
        <f t="shared" si="3"/>
        <v>0.24</v>
      </c>
      <c r="M23" s="144">
        <f t="shared" si="3"/>
        <v>0.24</v>
      </c>
      <c r="N23" s="144">
        <f t="shared" si="3"/>
        <v>0.24</v>
      </c>
      <c r="O23" s="144">
        <f t="shared" si="3"/>
        <v>0.24</v>
      </c>
      <c r="P23" s="144">
        <f t="shared" si="3"/>
        <v>0.24</v>
      </c>
      <c r="Q23" s="144">
        <f t="shared" si="3"/>
        <v>0.24</v>
      </c>
      <c r="U23" s="117"/>
      <c r="Y23" s="123"/>
      <c r="Z23" s="123"/>
      <c r="AA23" s="123"/>
      <c r="AB23" s="123"/>
      <c r="AC23" s="123"/>
      <c r="AD23" s="123"/>
    </row>
    <row r="24" spans="2:30" x14ac:dyDescent="0.2">
      <c r="I24" s="115"/>
      <c r="U24" s="117"/>
      <c r="Y24" s="123"/>
      <c r="Z24" s="123"/>
      <c r="AA24" s="123"/>
      <c r="AB24" s="123"/>
      <c r="AC24" s="123"/>
      <c r="AD24" s="123"/>
    </row>
    <row r="25" spans="2:30" ht="15" x14ac:dyDescent="0.25">
      <c r="B25" s="154" t="s">
        <v>362</v>
      </c>
      <c r="C25" s="76"/>
      <c r="D25" s="76"/>
      <c r="E25" s="76"/>
      <c r="F25" s="76"/>
      <c r="G25" s="76"/>
      <c r="H25" s="76"/>
      <c r="I25" s="153">
        <f>I21*(1-I23)</f>
        <v>16487.641324</v>
      </c>
      <c r="J25" s="154">
        <f t="shared" ref="J25:Q25" si="4">J21*(1-J23)</f>
        <v>17273.125691191854</v>
      </c>
      <c r="K25" s="154">
        <f t="shared" si="4"/>
        <v>18367.471626766186</v>
      </c>
      <c r="L25" s="154">
        <f t="shared" si="4"/>
        <v>19531.150296213851</v>
      </c>
      <c r="M25" s="154">
        <f t="shared" si="4"/>
        <v>20768.554303217188</v>
      </c>
      <c r="N25" s="154">
        <f t="shared" si="4"/>
        <v>22084.354546659539</v>
      </c>
      <c r="O25" s="154">
        <f t="shared" si="4"/>
        <v>23483.517852131423</v>
      </c>
      <c r="P25" s="154">
        <f t="shared" si="4"/>
        <v>24971.325720487996</v>
      </c>
      <c r="Q25" s="154">
        <f t="shared" si="4"/>
        <v>26553.39426422898</v>
      </c>
      <c r="U25" s="117"/>
      <c r="Y25" s="122"/>
      <c r="Z25" s="122"/>
      <c r="AA25" s="122"/>
      <c r="AB25" s="122"/>
      <c r="AC25" s="122"/>
      <c r="AD25" s="122"/>
    </row>
    <row r="26" spans="2:30" x14ac:dyDescent="0.2">
      <c r="B26" s="157"/>
      <c r="C26" s="1"/>
      <c r="D26" s="1"/>
      <c r="E26" s="1"/>
      <c r="F26" s="1"/>
      <c r="G26" s="1"/>
      <c r="H26" s="1"/>
      <c r="I26" s="152"/>
      <c r="J26" s="1"/>
      <c r="K26" s="1"/>
      <c r="L26" s="1"/>
      <c r="M26" s="1"/>
      <c r="N26" s="1"/>
      <c r="O26" s="1"/>
      <c r="P26" s="1"/>
      <c r="Q26" s="1"/>
      <c r="U26" s="117"/>
      <c r="Y26" s="117"/>
      <c r="Z26" s="117"/>
      <c r="AA26" s="117"/>
      <c r="AB26" s="117"/>
      <c r="AC26" s="117"/>
      <c r="AD26" s="117"/>
    </row>
    <row r="27" spans="2:30" x14ac:dyDescent="0.2">
      <c r="B27" s="157" t="s">
        <v>365</v>
      </c>
      <c r="C27" s="1"/>
      <c r="D27" s="1"/>
      <c r="E27" s="1"/>
      <c r="F27" s="1"/>
      <c r="G27" s="1"/>
      <c r="H27" s="1"/>
      <c r="I27" s="152"/>
      <c r="J27">
        <f>4.3</f>
        <v>4.3</v>
      </c>
      <c r="K27">
        <f t="shared" ref="K27:Q27" si="5">4.3</f>
        <v>4.3</v>
      </c>
      <c r="L27">
        <f t="shared" si="5"/>
        <v>4.3</v>
      </c>
      <c r="M27">
        <f t="shared" si="5"/>
        <v>4.3</v>
      </c>
      <c r="N27">
        <f t="shared" si="5"/>
        <v>4.3</v>
      </c>
      <c r="O27">
        <f t="shared" si="5"/>
        <v>4.3</v>
      </c>
      <c r="P27">
        <f t="shared" si="5"/>
        <v>4.3</v>
      </c>
      <c r="Q27">
        <f t="shared" si="5"/>
        <v>4.3</v>
      </c>
      <c r="U27" s="117"/>
      <c r="Y27" s="117"/>
      <c r="Z27" s="117"/>
      <c r="AA27" s="117"/>
      <c r="AB27" s="117"/>
      <c r="AC27" s="117"/>
      <c r="AD27" s="117"/>
    </row>
    <row r="28" spans="2:30" x14ac:dyDescent="0.2">
      <c r="B28" s="157"/>
      <c r="C28" s="1"/>
      <c r="D28" s="1"/>
      <c r="E28" s="1"/>
      <c r="F28" s="1"/>
      <c r="G28" s="1"/>
      <c r="H28" s="1"/>
      <c r="I28" s="152"/>
      <c r="J28" s="1"/>
      <c r="K28" s="1"/>
      <c r="L28" s="1"/>
      <c r="M28" s="1"/>
      <c r="N28" s="1"/>
      <c r="O28" s="1"/>
      <c r="P28" s="1"/>
      <c r="Q28" s="1"/>
      <c r="U28" s="117"/>
      <c r="Y28" s="117"/>
      <c r="Z28" s="117"/>
      <c r="AA28" s="117"/>
      <c r="AB28" s="117"/>
      <c r="AC28" s="117"/>
      <c r="AD28" s="117"/>
    </row>
    <row r="29" spans="2:30" x14ac:dyDescent="0.2">
      <c r="B29" s="157" t="s">
        <v>366</v>
      </c>
      <c r="C29" s="1"/>
      <c r="D29" s="1"/>
      <c r="E29" s="1"/>
      <c r="F29" s="1"/>
      <c r="G29" s="1"/>
      <c r="H29" s="1"/>
      <c r="I29" s="152"/>
      <c r="J29" s="154">
        <f>J25-I25</f>
        <v>785.48436719185338</v>
      </c>
      <c r="K29" s="154">
        <f t="shared" ref="K29:Q29" si="6">K25-J25</f>
        <v>1094.3459355743325</v>
      </c>
      <c r="L29" s="154">
        <f t="shared" si="6"/>
        <v>1163.678669447665</v>
      </c>
      <c r="M29" s="154">
        <f t="shared" si="6"/>
        <v>1237.404007003337</v>
      </c>
      <c r="N29" s="154">
        <f t="shared" si="6"/>
        <v>1315.8002434423506</v>
      </c>
      <c r="O29" s="154">
        <f t="shared" si="6"/>
        <v>1399.1633054718841</v>
      </c>
      <c r="P29" s="154">
        <f t="shared" si="6"/>
        <v>1487.8078683565727</v>
      </c>
      <c r="Q29" s="154">
        <f t="shared" si="6"/>
        <v>1582.0685437409848</v>
      </c>
      <c r="U29" s="117"/>
      <c r="Y29" s="117"/>
      <c r="Z29" s="117"/>
      <c r="AA29" s="117"/>
      <c r="AB29" s="117"/>
      <c r="AC29" s="117"/>
      <c r="AD29" s="117"/>
    </row>
    <row r="30" spans="2:30" x14ac:dyDescent="0.2">
      <c r="B30" s="157"/>
      <c r="C30" s="1"/>
      <c r="D30" s="1"/>
      <c r="E30" s="1"/>
      <c r="F30" s="1"/>
      <c r="G30" s="1"/>
      <c r="H30" s="1"/>
      <c r="I30" s="152"/>
      <c r="J30" s="1"/>
      <c r="K30" s="1"/>
      <c r="L30" s="1"/>
      <c r="M30" s="1"/>
      <c r="N30" s="1"/>
      <c r="O30" s="1"/>
      <c r="P30" s="1"/>
      <c r="Q30" s="1"/>
      <c r="U30" s="117"/>
      <c r="Y30" s="117"/>
      <c r="Z30" s="117"/>
      <c r="AA30" s="117"/>
      <c r="AB30" s="117"/>
      <c r="AC30" s="117"/>
      <c r="AD30" s="117"/>
    </row>
    <row r="31" spans="2:30" x14ac:dyDescent="0.2">
      <c r="B31" s="154" t="s">
        <v>306</v>
      </c>
      <c r="C31" s="1"/>
      <c r="D31" s="1"/>
      <c r="E31" s="158"/>
      <c r="F31" s="158"/>
      <c r="G31" s="158"/>
      <c r="H31" s="158"/>
      <c r="I31" s="150"/>
      <c r="J31" s="166">
        <f>J29/J27</f>
        <v>182.67078306787289</v>
      </c>
      <c r="K31" s="166">
        <f t="shared" ref="K31:Q31" si="7">K29/K27</f>
        <v>254.49905478472851</v>
      </c>
      <c r="L31" s="166">
        <f t="shared" si="7"/>
        <v>270.62294638317792</v>
      </c>
      <c r="M31" s="166">
        <f t="shared" si="7"/>
        <v>287.76837372170633</v>
      </c>
      <c r="N31" s="166">
        <f t="shared" si="7"/>
        <v>306.00005661450018</v>
      </c>
      <c r="O31" s="166">
        <f t="shared" si="7"/>
        <v>325.38681522601956</v>
      </c>
      <c r="P31" s="166">
        <f t="shared" si="7"/>
        <v>346.00182985036577</v>
      </c>
      <c r="Q31" s="166">
        <f t="shared" si="7"/>
        <v>367.92291714906622</v>
      </c>
      <c r="U31" s="117"/>
    </row>
    <row r="32" spans="2:30" ht="15" thickBot="1" x14ac:dyDescent="0.25">
      <c r="B32" s="1"/>
      <c r="C32" s="1"/>
      <c r="D32" s="1"/>
      <c r="E32" s="158"/>
      <c r="F32" s="158"/>
      <c r="G32" s="158"/>
      <c r="H32" s="158"/>
      <c r="I32" s="150"/>
      <c r="J32" s="175">
        <v>1</v>
      </c>
      <c r="K32" s="175">
        <v>2</v>
      </c>
      <c r="L32" s="175">
        <v>3</v>
      </c>
      <c r="M32" s="175">
        <v>4</v>
      </c>
      <c r="N32" s="175">
        <v>5</v>
      </c>
      <c r="O32" s="175">
        <v>6</v>
      </c>
      <c r="P32" s="175">
        <v>7</v>
      </c>
      <c r="Q32" s="175">
        <v>8</v>
      </c>
      <c r="U32" s="117"/>
    </row>
    <row r="33" spans="1:27" ht="15.75" thickBot="1" x14ac:dyDescent="0.3">
      <c r="B33" s="154" t="s">
        <v>307</v>
      </c>
      <c r="C33" s="1"/>
      <c r="D33" s="1"/>
      <c r="E33" s="158"/>
      <c r="F33" s="158"/>
      <c r="G33" s="158"/>
      <c r="H33" s="236" t="s">
        <v>368</v>
      </c>
      <c r="I33" s="237"/>
      <c r="J33" s="169">
        <f>J25-J31</f>
        <v>17090.454908123982</v>
      </c>
      <c r="K33" s="167">
        <f t="shared" ref="K33:Q33" si="8">K25-K31</f>
        <v>18112.972571981456</v>
      </c>
      <c r="L33" s="167">
        <f t="shared" si="8"/>
        <v>19260.527349830674</v>
      </c>
      <c r="M33" s="167">
        <f t="shared" si="8"/>
        <v>20480.785929495483</v>
      </c>
      <c r="N33" s="167">
        <f t="shared" si="8"/>
        <v>21778.35449004504</v>
      </c>
      <c r="O33" s="167">
        <f t="shared" si="8"/>
        <v>23158.131036905404</v>
      </c>
      <c r="P33" s="167">
        <f t="shared" si="8"/>
        <v>24625.323890637628</v>
      </c>
      <c r="Q33" s="168">
        <f t="shared" si="8"/>
        <v>26185.471347079914</v>
      </c>
      <c r="U33" s="117"/>
      <c r="Y33" s="55"/>
      <c r="Z33" s="55"/>
      <c r="AA33" s="55"/>
    </row>
    <row r="34" spans="1:27" ht="15.75" thickBot="1" x14ac:dyDescent="0.3">
      <c r="C34" s="56"/>
      <c r="D34" s="56"/>
      <c r="E34" s="56"/>
      <c r="F34" s="56"/>
      <c r="G34" s="56"/>
      <c r="H34" s="236" t="s">
        <v>262</v>
      </c>
      <c r="I34" s="237"/>
      <c r="J34" s="173">
        <f>'4.WACC'!C15</f>
        <v>9.5042732416065187E-2</v>
      </c>
      <c r="K34" s="172">
        <f>'4.WACC'!D15</f>
        <v>9.6043946848434494E-2</v>
      </c>
      <c r="L34" s="172">
        <f>'4.WACC'!E15</f>
        <v>9.7808330585682973E-2</v>
      </c>
      <c r="M34" s="172">
        <f>'4.WACC'!F15</f>
        <v>8.571856946173087E-2</v>
      </c>
      <c r="N34" s="172">
        <f>'4.WACC'!G15</f>
        <v>7.9647551083938423E-2</v>
      </c>
      <c r="O34" s="172">
        <f>'4.WACC'!H15</f>
        <v>7.1473091768586461E-2</v>
      </c>
      <c r="P34" s="172">
        <f>'4.WACC'!I15</f>
        <v>6.8525859088486338E-2</v>
      </c>
      <c r="Q34" s="174">
        <f>'4.WACC'!J15</f>
        <v>6.6278297198561029E-2</v>
      </c>
    </row>
    <row r="35" spans="1:27" ht="15.75" thickBot="1" x14ac:dyDescent="0.3">
      <c r="C35" s="56"/>
      <c r="D35" s="56"/>
      <c r="E35" s="56"/>
      <c r="F35" s="56"/>
      <c r="G35" s="56"/>
      <c r="H35" s="171" t="s">
        <v>367</v>
      </c>
      <c r="I35" s="170"/>
      <c r="J35" s="176">
        <f>J33/((1+J34)^J32)</f>
        <v>15607.112309139005</v>
      </c>
      <c r="K35" s="176">
        <f t="shared" ref="K35:O35" si="9">K33/((1+K34)^K32)</f>
        <v>15077.654718127493</v>
      </c>
      <c r="L35" s="176">
        <f t="shared" si="9"/>
        <v>14557.560635234777</v>
      </c>
      <c r="M35" s="176">
        <f t="shared" si="9"/>
        <v>14739.323641038829</v>
      </c>
      <c r="N35" s="176">
        <f t="shared" si="9"/>
        <v>14846.19096685771</v>
      </c>
      <c r="O35" s="176">
        <f t="shared" si="9"/>
        <v>15304.385386753384</v>
      </c>
      <c r="P35" s="176">
        <f>P33/((1+P34)^P32)</f>
        <v>15484.125880627156</v>
      </c>
      <c r="Q35" s="176">
        <f>Q33/((1+Q34)^Q32)</f>
        <v>15670.968501075567</v>
      </c>
    </row>
    <row r="36" spans="1:27" ht="15.75" thickBot="1" x14ac:dyDescent="0.3">
      <c r="I36" s="178" t="s">
        <v>369</v>
      </c>
      <c r="J36" s="177">
        <f>SUM(J35:P35)</f>
        <v>105616.35353777836</v>
      </c>
    </row>
    <row r="37" spans="1:27" ht="15" x14ac:dyDescent="0.25">
      <c r="B37" t="s">
        <v>370</v>
      </c>
      <c r="C37" s="183">
        <v>0.04</v>
      </c>
      <c r="I37" s="56"/>
      <c r="J37" s="1"/>
    </row>
    <row r="38" spans="1:27" x14ac:dyDescent="0.2">
      <c r="A38" t="s">
        <v>251</v>
      </c>
      <c r="B38" t="s">
        <v>258</v>
      </c>
      <c r="J38" s="114"/>
      <c r="N38" s="151">
        <f>Q35/(Q34-C37)</f>
        <v>596346.42163700366</v>
      </c>
    </row>
    <row r="39" spans="1:27" x14ac:dyDescent="0.2">
      <c r="B39" s="108" t="s">
        <v>257</v>
      </c>
      <c r="C39" s="108"/>
      <c r="D39" s="108"/>
      <c r="E39" s="108"/>
      <c r="F39" s="108"/>
      <c r="G39" s="108"/>
      <c r="H39" s="108"/>
      <c r="I39" s="108"/>
      <c r="J39" s="108"/>
      <c r="K39" s="108"/>
      <c r="L39" s="108"/>
      <c r="M39" s="108"/>
      <c r="N39" s="180">
        <f>N38/((1+Q34)^Q32)</f>
        <v>356889.73726435372</v>
      </c>
    </row>
    <row r="40" spans="1:27" ht="15" x14ac:dyDescent="0.25">
      <c r="B40" s="56" t="s">
        <v>256</v>
      </c>
      <c r="C40" s="56"/>
      <c r="D40" s="56"/>
      <c r="E40" s="56"/>
      <c r="F40" s="56"/>
      <c r="G40" s="56"/>
      <c r="H40" s="56"/>
      <c r="I40" s="56"/>
      <c r="J40" s="56"/>
      <c r="K40" s="56"/>
      <c r="L40" s="56"/>
      <c r="M40" s="56"/>
      <c r="N40" s="181">
        <f>J36+N39</f>
        <v>462506.09080213209</v>
      </c>
    </row>
    <row r="41" spans="1:27" x14ac:dyDescent="0.2">
      <c r="B41" s="113" t="s">
        <v>255</v>
      </c>
      <c r="N41" s="112">
        <v>3760</v>
      </c>
    </row>
    <row r="42" spans="1:27" x14ac:dyDescent="0.2">
      <c r="B42" s="111" t="s">
        <v>254</v>
      </c>
      <c r="C42" s="108"/>
      <c r="D42" s="108"/>
      <c r="E42" s="108"/>
      <c r="F42" s="108"/>
      <c r="G42" s="108"/>
      <c r="H42" s="108"/>
      <c r="I42" s="108"/>
      <c r="J42" s="108"/>
      <c r="K42" s="108"/>
      <c r="L42" s="108"/>
      <c r="M42" s="108"/>
      <c r="N42" s="110">
        <v>42743</v>
      </c>
    </row>
    <row r="43" spans="1:27" ht="15" x14ac:dyDescent="0.25">
      <c r="B43" s="56" t="s">
        <v>253</v>
      </c>
      <c r="C43" s="56"/>
      <c r="D43" s="56"/>
      <c r="E43" s="56"/>
      <c r="F43" s="56"/>
      <c r="G43" s="56"/>
      <c r="H43" s="56"/>
      <c r="I43" s="56"/>
      <c r="J43" s="56"/>
      <c r="K43" s="56"/>
      <c r="L43" s="56"/>
      <c r="M43" s="56"/>
      <c r="N43" s="109">
        <f>N40+N41-N42</f>
        <v>423523.09080213209</v>
      </c>
    </row>
    <row r="44" spans="1:27" x14ac:dyDescent="0.2">
      <c r="B44" s="108" t="s">
        <v>252</v>
      </c>
      <c r="C44" s="108"/>
      <c r="D44" s="108"/>
      <c r="E44" s="108"/>
      <c r="F44" s="108"/>
      <c r="G44" s="108"/>
      <c r="H44" s="108"/>
      <c r="I44" s="108"/>
      <c r="J44" s="108"/>
      <c r="K44" s="108"/>
      <c r="L44" s="108"/>
      <c r="M44" s="108"/>
      <c r="N44" s="107">
        <f>991614186/1000000</f>
        <v>991.61418600000002</v>
      </c>
    </row>
    <row r="45" spans="1:27" ht="15" x14ac:dyDescent="0.25">
      <c r="A45" t="s">
        <v>251</v>
      </c>
      <c r="B45" s="56" t="s">
        <v>374</v>
      </c>
      <c r="C45" s="56"/>
      <c r="D45" s="56"/>
      <c r="E45" s="56"/>
      <c r="F45" s="56"/>
      <c r="G45" s="56"/>
      <c r="H45" s="56"/>
      <c r="I45" s="56"/>
      <c r="J45" s="56"/>
      <c r="K45" s="56"/>
      <c r="L45" s="56"/>
      <c r="M45" s="56"/>
      <c r="N45" s="182">
        <f>N43/N44</f>
        <v>427.10471147105198</v>
      </c>
    </row>
    <row r="46" spans="1:27" ht="15.75" thickBot="1" x14ac:dyDescent="0.3">
      <c r="B46" s="56" t="s">
        <v>371</v>
      </c>
      <c r="C46" s="56"/>
      <c r="D46" s="56"/>
      <c r="E46" s="56"/>
      <c r="F46" s="56"/>
      <c r="G46" s="56"/>
      <c r="H46" s="56"/>
      <c r="I46" s="56"/>
      <c r="J46" s="56"/>
      <c r="K46" s="56"/>
      <c r="L46" s="56"/>
      <c r="M46" s="56"/>
      <c r="N46" s="182">
        <v>330</v>
      </c>
    </row>
    <row r="47" spans="1:27" ht="15.75" thickBot="1" x14ac:dyDescent="0.3">
      <c r="B47" s="56" t="s">
        <v>372</v>
      </c>
      <c r="N47" s="184">
        <f>(N45-N46)/N46</f>
        <v>0.29425670142743027</v>
      </c>
    </row>
    <row r="48" spans="1:27" x14ac:dyDescent="0.2">
      <c r="A48" s="159"/>
      <c r="B48" s="159"/>
      <c r="C48" s="159"/>
      <c r="D48" s="159"/>
      <c r="E48" s="159"/>
      <c r="F48" s="159"/>
      <c r="G48" s="159"/>
      <c r="H48" s="159"/>
      <c r="I48" s="159"/>
      <c r="J48" s="159"/>
      <c r="K48" s="159"/>
      <c r="L48" s="159"/>
      <c r="M48" s="159"/>
      <c r="O48" s="159"/>
      <c r="P48" s="159"/>
    </row>
    <row r="49" spans="1:17" ht="15" x14ac:dyDescent="0.25">
      <c r="A49" s="185" t="s">
        <v>376</v>
      </c>
      <c r="B49" s="186"/>
      <c r="C49" s="186"/>
      <c r="D49" s="186"/>
      <c r="E49" s="186"/>
      <c r="F49" s="186"/>
      <c r="G49" s="186"/>
    </row>
    <row r="51" spans="1:17" ht="15" x14ac:dyDescent="0.25">
      <c r="B51" s="128" t="s">
        <v>260</v>
      </c>
      <c r="C51" s="130"/>
      <c r="D51" s="130"/>
      <c r="E51" s="128"/>
      <c r="F51" s="128"/>
      <c r="G51" s="128"/>
      <c r="H51" s="128"/>
      <c r="I51" s="129" t="s">
        <v>363</v>
      </c>
      <c r="J51" s="129">
        <v>1</v>
      </c>
      <c r="K51" s="129">
        <v>2</v>
      </c>
      <c r="L51" s="129">
        <v>3</v>
      </c>
      <c r="M51" s="129">
        <v>4</v>
      </c>
      <c r="N51" s="129">
        <v>5</v>
      </c>
      <c r="O51" s="129">
        <v>6</v>
      </c>
      <c r="P51" s="129">
        <v>7</v>
      </c>
      <c r="Q51" s="148" t="s">
        <v>358</v>
      </c>
    </row>
    <row r="52" spans="1:17" x14ac:dyDescent="0.2">
      <c r="E52" s="119"/>
      <c r="F52" s="119"/>
      <c r="G52" s="119"/>
      <c r="H52" s="119"/>
      <c r="I52" s="120"/>
      <c r="J52" s="126"/>
      <c r="K52" s="126"/>
      <c r="L52" s="126"/>
      <c r="M52" s="126"/>
      <c r="N52" s="126"/>
    </row>
    <row r="53" spans="1:17" x14ac:dyDescent="0.2">
      <c r="B53" s="116" t="s">
        <v>359</v>
      </c>
      <c r="E53" s="124"/>
      <c r="F53" s="124"/>
      <c r="G53" s="124"/>
      <c r="H53" s="124"/>
      <c r="I53" s="160"/>
      <c r="J53" s="161">
        <v>-0.02</v>
      </c>
      <c r="K53" s="161">
        <v>-0.01</v>
      </c>
      <c r="L53" s="161">
        <v>0</v>
      </c>
      <c r="M53" s="161">
        <v>0.01</v>
      </c>
      <c r="N53" s="161">
        <v>0.02</v>
      </c>
      <c r="O53" s="161">
        <v>0.04</v>
      </c>
      <c r="P53" s="161">
        <f>I15</f>
        <v>6.3355408577405098E-2</v>
      </c>
      <c r="Q53" s="161">
        <f>P53</f>
        <v>6.3355408577405098E-2</v>
      </c>
    </row>
    <row r="54" spans="1:17" ht="15" x14ac:dyDescent="0.25">
      <c r="G54" s="56"/>
      <c r="I54" s="115"/>
    </row>
    <row r="55" spans="1:17" x14ac:dyDescent="0.2">
      <c r="B55" s="118" t="s">
        <v>308</v>
      </c>
      <c r="E55" s="119"/>
      <c r="F55" s="119"/>
      <c r="G55" s="119"/>
      <c r="H55" s="119"/>
      <c r="I55" s="153">
        <v>152669</v>
      </c>
      <c r="J55" s="162">
        <f>I55+I55*J53</f>
        <v>149615.62</v>
      </c>
      <c r="K55" s="162">
        <f t="shared" ref="K55:Q55" si="10">J55+J55*K53</f>
        <v>148119.4638</v>
      </c>
      <c r="L55" s="162">
        <f t="shared" si="10"/>
        <v>148119.4638</v>
      </c>
      <c r="M55" s="162">
        <f t="shared" si="10"/>
        <v>149600.65843799998</v>
      </c>
      <c r="N55" s="162">
        <f t="shared" si="10"/>
        <v>152592.67160675998</v>
      </c>
      <c r="O55" s="162">
        <f t="shared" si="10"/>
        <v>158696.37847103039</v>
      </c>
      <c r="P55" s="162">
        <f t="shared" si="10"/>
        <v>168750.65236881704</v>
      </c>
      <c r="Q55" s="162">
        <f t="shared" si="10"/>
        <v>179441.91889734709</v>
      </c>
    </row>
    <row r="56" spans="1:17" x14ac:dyDescent="0.2">
      <c r="B56" s="116"/>
      <c r="E56" s="124"/>
      <c r="F56" s="124"/>
      <c r="G56" s="124"/>
      <c r="H56" s="124"/>
      <c r="I56" s="155"/>
      <c r="J56" s="156"/>
      <c r="K56" s="156"/>
      <c r="L56" s="156"/>
      <c r="M56" s="156"/>
      <c r="N56" s="156"/>
      <c r="O56" s="154"/>
      <c r="P56" s="154"/>
      <c r="Q56" s="154"/>
    </row>
    <row r="57" spans="1:17" x14ac:dyDescent="0.2">
      <c r="B57" t="s">
        <v>360</v>
      </c>
      <c r="I57" s="163">
        <v>0.1421</v>
      </c>
      <c r="J57" s="164">
        <v>0.14000000000000001</v>
      </c>
      <c r="K57" s="164">
        <v>0.14000000000000001</v>
      </c>
      <c r="L57" s="164">
        <v>0.14000000000000001</v>
      </c>
      <c r="M57" s="164">
        <v>0.14000000000000001</v>
      </c>
      <c r="N57" s="164">
        <v>0.14000000000000001</v>
      </c>
      <c r="O57" s="164">
        <v>0.14000000000000001</v>
      </c>
      <c r="P57" s="164">
        <v>0.14000000000000001</v>
      </c>
      <c r="Q57" s="164">
        <v>0.14000000000000001</v>
      </c>
    </row>
    <row r="58" spans="1:17" x14ac:dyDescent="0.2">
      <c r="I58" s="153"/>
      <c r="J58" s="154"/>
      <c r="K58" s="154"/>
      <c r="L58" s="154"/>
      <c r="M58" s="154"/>
      <c r="N58" s="154"/>
      <c r="O58" s="154"/>
      <c r="P58" s="154"/>
      <c r="Q58" s="154"/>
    </row>
    <row r="59" spans="1:17" x14ac:dyDescent="0.2">
      <c r="B59" s="118" t="s">
        <v>259</v>
      </c>
      <c r="E59" s="119"/>
      <c r="F59" s="119"/>
      <c r="G59" s="119"/>
      <c r="H59" s="119"/>
      <c r="I59" s="153">
        <f>I55*I57</f>
        <v>21694.264900000002</v>
      </c>
      <c r="J59" s="165">
        <f t="shared" ref="J59" si="11">J55*J57</f>
        <v>20946.186800000003</v>
      </c>
      <c r="K59" s="154">
        <f>K55*K57</f>
        <v>20736.724932000001</v>
      </c>
      <c r="L59" s="154">
        <f t="shared" ref="L59:Q59" si="12">L55*L57</f>
        <v>20736.724932000001</v>
      </c>
      <c r="M59" s="154">
        <f t="shared" si="12"/>
        <v>20944.09218132</v>
      </c>
      <c r="N59" s="154">
        <f t="shared" si="12"/>
        <v>21362.974024946398</v>
      </c>
      <c r="O59" s="154">
        <f t="shared" si="12"/>
        <v>22217.492985944256</v>
      </c>
      <c r="P59" s="154">
        <f t="shared" si="12"/>
        <v>23625.091331634387</v>
      </c>
      <c r="Q59" s="154">
        <f t="shared" si="12"/>
        <v>25121.868645628594</v>
      </c>
    </row>
    <row r="60" spans="1:17" x14ac:dyDescent="0.2">
      <c r="B60" s="116"/>
      <c r="E60" s="124"/>
      <c r="F60" s="124"/>
      <c r="G60" s="124"/>
      <c r="H60" s="124"/>
      <c r="I60" s="155"/>
      <c r="J60" s="156"/>
      <c r="K60" s="156"/>
      <c r="L60" s="156"/>
      <c r="M60" s="156"/>
      <c r="N60" s="156"/>
      <c r="O60" s="154"/>
      <c r="P60" s="154"/>
      <c r="Q60" s="154"/>
    </row>
    <row r="61" spans="1:17" x14ac:dyDescent="0.2">
      <c r="B61" t="s">
        <v>361</v>
      </c>
      <c r="I61" s="149">
        <v>0.24</v>
      </c>
      <c r="J61" s="144">
        <f>I61</f>
        <v>0.24</v>
      </c>
      <c r="K61" s="144">
        <f t="shared" ref="K61:Q61" si="13">J61</f>
        <v>0.24</v>
      </c>
      <c r="L61" s="144">
        <f t="shared" si="13"/>
        <v>0.24</v>
      </c>
      <c r="M61" s="144">
        <f t="shared" si="13"/>
        <v>0.24</v>
      </c>
      <c r="N61" s="144">
        <f t="shared" si="13"/>
        <v>0.24</v>
      </c>
      <c r="O61" s="144">
        <f t="shared" si="13"/>
        <v>0.24</v>
      </c>
      <c r="P61" s="144">
        <f t="shared" si="13"/>
        <v>0.24</v>
      </c>
      <c r="Q61" s="144">
        <f t="shared" si="13"/>
        <v>0.24</v>
      </c>
    </row>
    <row r="62" spans="1:17" x14ac:dyDescent="0.2">
      <c r="I62" s="115"/>
    </row>
    <row r="63" spans="1:17" ht="15" x14ac:dyDescent="0.25">
      <c r="B63" s="154" t="s">
        <v>362</v>
      </c>
      <c r="C63" s="76"/>
      <c r="D63" s="76"/>
      <c r="E63" s="76"/>
      <c r="F63" s="76"/>
      <c r="G63" s="76"/>
      <c r="H63" s="76"/>
      <c r="I63" s="153">
        <f>I59*(1-I61)</f>
        <v>16487.641324</v>
      </c>
      <c r="J63" s="154">
        <f t="shared" ref="J63:Q63" si="14">J59*(1-J61)</f>
        <v>15919.101968000003</v>
      </c>
      <c r="K63" s="154">
        <f t="shared" si="14"/>
        <v>15759.910948320001</v>
      </c>
      <c r="L63" s="154">
        <f t="shared" si="14"/>
        <v>15759.910948320001</v>
      </c>
      <c r="M63" s="154">
        <f t="shared" si="14"/>
        <v>15917.5100578032</v>
      </c>
      <c r="N63" s="154">
        <f t="shared" si="14"/>
        <v>16235.860258959263</v>
      </c>
      <c r="O63" s="154">
        <f t="shared" si="14"/>
        <v>16885.294669317635</v>
      </c>
      <c r="P63" s="154">
        <f t="shared" si="14"/>
        <v>17955.069412042136</v>
      </c>
      <c r="Q63" s="154">
        <f t="shared" si="14"/>
        <v>19092.620170677732</v>
      </c>
    </row>
    <row r="64" spans="1:17" x14ac:dyDescent="0.2">
      <c r="B64" s="157"/>
      <c r="C64" s="1"/>
      <c r="D64" s="1"/>
      <c r="E64" s="1"/>
      <c r="F64" s="1"/>
      <c r="G64" s="1"/>
      <c r="H64" s="1"/>
      <c r="I64" s="152"/>
      <c r="J64" s="1"/>
      <c r="K64" s="1"/>
      <c r="L64" s="1"/>
      <c r="M64" s="1"/>
      <c r="N64" s="1"/>
      <c r="O64" s="1"/>
      <c r="P64" s="1"/>
      <c r="Q64" s="1"/>
    </row>
    <row r="65" spans="2:17" x14ac:dyDescent="0.2">
      <c r="B65" s="157" t="s">
        <v>365</v>
      </c>
      <c r="C65" s="1"/>
      <c r="D65" s="1"/>
      <c r="E65" s="1"/>
      <c r="F65" s="1"/>
      <c r="G65" s="1"/>
      <c r="H65" s="1"/>
      <c r="I65" s="152"/>
      <c r="J65">
        <f>4.3</f>
        <v>4.3</v>
      </c>
      <c r="K65">
        <f t="shared" ref="K65:Q65" si="15">4.3</f>
        <v>4.3</v>
      </c>
      <c r="L65">
        <f t="shared" si="15"/>
        <v>4.3</v>
      </c>
      <c r="M65">
        <f t="shared" si="15"/>
        <v>4.3</v>
      </c>
      <c r="N65">
        <f t="shared" si="15"/>
        <v>4.3</v>
      </c>
      <c r="O65">
        <f t="shared" si="15"/>
        <v>4.3</v>
      </c>
      <c r="P65">
        <f t="shared" si="15"/>
        <v>4.3</v>
      </c>
      <c r="Q65">
        <f t="shared" si="15"/>
        <v>4.3</v>
      </c>
    </row>
    <row r="66" spans="2:17" x14ac:dyDescent="0.2">
      <c r="B66" s="157"/>
      <c r="C66" s="1"/>
      <c r="D66" s="1"/>
      <c r="E66" s="1"/>
      <c r="F66" s="1"/>
      <c r="G66" s="1"/>
      <c r="H66" s="1"/>
      <c r="I66" s="152"/>
      <c r="J66" s="1"/>
      <c r="K66" s="1"/>
      <c r="L66" s="1"/>
      <c r="M66" s="1"/>
      <c r="N66" s="1"/>
      <c r="O66" s="1"/>
      <c r="P66" s="1"/>
      <c r="Q66" s="1"/>
    </row>
    <row r="67" spans="2:17" x14ac:dyDescent="0.2">
      <c r="B67" s="157" t="s">
        <v>366</v>
      </c>
      <c r="C67" s="1"/>
      <c r="D67" s="1"/>
      <c r="E67" s="1"/>
      <c r="F67" s="1"/>
      <c r="G67" s="1"/>
      <c r="H67" s="1"/>
      <c r="I67" s="152"/>
      <c r="J67" s="154">
        <f>J63-I63</f>
        <v>-568.5393559999975</v>
      </c>
      <c r="K67" s="154">
        <f t="shared" ref="K67:Q67" si="16">K63-J63</f>
        <v>-159.19101968000177</v>
      </c>
      <c r="L67" s="154">
        <f t="shared" si="16"/>
        <v>0</v>
      </c>
      <c r="M67" s="154">
        <f t="shared" si="16"/>
        <v>157.59910948319884</v>
      </c>
      <c r="N67" s="154">
        <f t="shared" si="16"/>
        <v>318.35020115606312</v>
      </c>
      <c r="O67" s="154">
        <f t="shared" si="16"/>
        <v>649.43441035837168</v>
      </c>
      <c r="P67" s="154">
        <f t="shared" si="16"/>
        <v>1069.7747427245013</v>
      </c>
      <c r="Q67" s="154">
        <f t="shared" si="16"/>
        <v>1137.5507586355961</v>
      </c>
    </row>
    <row r="68" spans="2:17" x14ac:dyDescent="0.2">
      <c r="B68" s="157"/>
      <c r="C68" s="1"/>
      <c r="D68" s="1"/>
      <c r="E68" s="1"/>
      <c r="F68" s="1"/>
      <c r="G68" s="1"/>
      <c r="H68" s="1"/>
      <c r="I68" s="152"/>
      <c r="J68" s="1"/>
      <c r="K68" s="1"/>
      <c r="L68" s="1"/>
      <c r="M68" s="1"/>
      <c r="N68" s="1"/>
      <c r="O68" s="1"/>
      <c r="P68" s="1"/>
      <c r="Q68" s="1"/>
    </row>
    <row r="69" spans="2:17" x14ac:dyDescent="0.2">
      <c r="B69" s="154" t="s">
        <v>306</v>
      </c>
      <c r="C69" s="1"/>
      <c r="D69" s="1"/>
      <c r="E69" s="158"/>
      <c r="F69" s="158"/>
      <c r="G69" s="158"/>
      <c r="H69" s="158"/>
      <c r="I69" s="150"/>
      <c r="J69" s="166">
        <f>J67/J65</f>
        <v>-132.21845488372034</v>
      </c>
      <c r="K69" s="166">
        <f t="shared" ref="K69:Q69" si="17">K67/K65</f>
        <v>-37.021167367442274</v>
      </c>
      <c r="L69" s="166">
        <f t="shared" si="17"/>
        <v>0</v>
      </c>
      <c r="M69" s="166">
        <f t="shared" si="17"/>
        <v>36.650955693767173</v>
      </c>
      <c r="N69" s="166">
        <f t="shared" si="17"/>
        <v>74.034930501410031</v>
      </c>
      <c r="O69" s="166">
        <f t="shared" si="17"/>
        <v>151.03125822287714</v>
      </c>
      <c r="P69" s="166">
        <f t="shared" si="17"/>
        <v>248.7848238894189</v>
      </c>
      <c r="Q69" s="166">
        <f t="shared" si="17"/>
        <v>264.5466880547898</v>
      </c>
    </row>
    <row r="70" spans="2:17" ht="15" thickBot="1" x14ac:dyDescent="0.25">
      <c r="B70" s="1"/>
      <c r="C70" s="1"/>
      <c r="D70" s="1"/>
      <c r="E70" s="158"/>
      <c r="F70" s="158"/>
      <c r="G70" s="158"/>
      <c r="H70" s="158"/>
      <c r="I70" s="150"/>
      <c r="J70" s="175">
        <v>1</v>
      </c>
      <c r="K70" s="175">
        <v>2</v>
      </c>
      <c r="L70" s="175">
        <v>3</v>
      </c>
      <c r="M70" s="175">
        <v>4</v>
      </c>
      <c r="N70" s="175">
        <v>5</v>
      </c>
      <c r="O70" s="175">
        <v>6</v>
      </c>
      <c r="P70" s="175">
        <v>7</v>
      </c>
      <c r="Q70" s="175">
        <v>8</v>
      </c>
    </row>
    <row r="71" spans="2:17" ht="15.75" thickBot="1" x14ac:dyDescent="0.3">
      <c r="B71" s="154" t="s">
        <v>307</v>
      </c>
      <c r="C71" s="1"/>
      <c r="D71" s="1"/>
      <c r="E71" s="158"/>
      <c r="F71" s="158"/>
      <c r="G71" s="158"/>
      <c r="H71" s="236" t="s">
        <v>368</v>
      </c>
      <c r="I71" s="237"/>
      <c r="J71" s="169">
        <f>J63-J69</f>
        <v>16051.320422883722</v>
      </c>
      <c r="K71" s="167">
        <f t="shared" ref="K71:Q71" si="18">K63-K69</f>
        <v>15796.932115687443</v>
      </c>
      <c r="L71" s="167">
        <f t="shared" si="18"/>
        <v>15759.910948320001</v>
      </c>
      <c r="M71" s="167">
        <f t="shared" si="18"/>
        <v>15880.859102109433</v>
      </c>
      <c r="N71" s="167">
        <f t="shared" si="18"/>
        <v>16161.825328457853</v>
      </c>
      <c r="O71" s="167">
        <f t="shared" si="18"/>
        <v>16734.263411094758</v>
      </c>
      <c r="P71" s="167">
        <f t="shared" si="18"/>
        <v>17706.284588152717</v>
      </c>
      <c r="Q71" s="168">
        <f t="shared" si="18"/>
        <v>18828.073482622942</v>
      </c>
    </row>
    <row r="72" spans="2:17" ht="15.75" thickBot="1" x14ac:dyDescent="0.3">
      <c r="C72" s="56"/>
      <c r="D72" s="56"/>
      <c r="E72" s="56"/>
      <c r="F72" s="56"/>
      <c r="G72" s="56"/>
      <c r="H72" s="236" t="s">
        <v>262</v>
      </c>
      <c r="I72" s="237"/>
      <c r="J72" s="173">
        <f>J34</f>
        <v>9.5042732416065187E-2</v>
      </c>
      <c r="K72" s="173">
        <f t="shared" ref="K72:Q72" si="19">K34</f>
        <v>9.6043946848434494E-2</v>
      </c>
      <c r="L72" s="173">
        <f t="shared" si="19"/>
        <v>9.7808330585682973E-2</v>
      </c>
      <c r="M72" s="173">
        <f t="shared" si="19"/>
        <v>8.571856946173087E-2</v>
      </c>
      <c r="N72" s="173">
        <f t="shared" si="19"/>
        <v>7.9647551083938423E-2</v>
      </c>
      <c r="O72" s="173">
        <f t="shared" si="19"/>
        <v>7.1473091768586461E-2</v>
      </c>
      <c r="P72" s="173">
        <f t="shared" si="19"/>
        <v>6.8525859088486338E-2</v>
      </c>
      <c r="Q72" s="173">
        <f t="shared" si="19"/>
        <v>6.6278297198561029E-2</v>
      </c>
    </row>
    <row r="73" spans="2:17" ht="15.75" thickBot="1" x14ac:dyDescent="0.3">
      <c r="C73" s="56"/>
      <c r="D73" s="56"/>
      <c r="E73" s="56"/>
      <c r="F73" s="56"/>
      <c r="G73" s="56"/>
      <c r="H73" s="171" t="s">
        <v>367</v>
      </c>
      <c r="I73" s="170"/>
      <c r="J73" s="176">
        <f>J71/((1+J72)^J70)</f>
        <v>14658.168076663667</v>
      </c>
      <c r="K73" s="176">
        <f t="shared" ref="K73" si="20">K71/((1+K72)^K70)</f>
        <v>13149.729405236927</v>
      </c>
      <c r="L73" s="176">
        <f t="shared" ref="L73" si="21">L71/((1+L72)^L70)</f>
        <v>11911.712232431984</v>
      </c>
      <c r="M73" s="176">
        <f t="shared" ref="M73" si="22">M71/((1+M72)^M70)</f>
        <v>11428.913070500235</v>
      </c>
      <c r="N73" s="176">
        <f t="shared" ref="N73" si="23">N71/((1+N72)^N70)</f>
        <v>11017.432254074163</v>
      </c>
      <c r="O73" s="176">
        <f t="shared" ref="O73" si="24">O71/((1+O72)^O70)</f>
        <v>11059.07968128778</v>
      </c>
      <c r="P73" s="176">
        <f>P71/((1+P72)^P70)</f>
        <v>11133.512016278548</v>
      </c>
      <c r="Q73" s="176">
        <f>Q71/((1+Q72)^Q70)</f>
        <v>11267.856994868393</v>
      </c>
    </row>
    <row r="74" spans="2:17" ht="15.75" thickBot="1" x14ac:dyDescent="0.3">
      <c r="I74" s="178" t="s">
        <v>369</v>
      </c>
      <c r="J74" s="177">
        <f>SUM(J73:P73)</f>
        <v>84358.546736473305</v>
      </c>
    </row>
    <row r="75" spans="2:17" ht="15" x14ac:dyDescent="0.25">
      <c r="B75" t="s">
        <v>370</v>
      </c>
      <c r="C75" s="179">
        <v>3.5000000000000003E-2</v>
      </c>
      <c r="I75" s="56"/>
      <c r="J75" s="1"/>
    </row>
    <row r="76" spans="2:17" x14ac:dyDescent="0.2">
      <c r="B76" t="s">
        <v>258</v>
      </c>
      <c r="J76" s="114"/>
      <c r="N76" s="151">
        <f>Q73/(Q72-C75)</f>
        <v>360245.21806087246</v>
      </c>
    </row>
    <row r="77" spans="2:17" x14ac:dyDescent="0.2">
      <c r="B77" s="108" t="s">
        <v>257</v>
      </c>
      <c r="C77" s="108"/>
      <c r="D77" s="108"/>
      <c r="E77" s="108"/>
      <c r="F77" s="108"/>
      <c r="G77" s="108"/>
      <c r="H77" s="108"/>
      <c r="I77" s="108"/>
      <c r="J77" s="108"/>
      <c r="K77" s="108"/>
      <c r="L77" s="108"/>
      <c r="M77" s="108"/>
      <c r="N77" s="180">
        <f>N76/((1+Q72)^Q70)</f>
        <v>215592.50891714729</v>
      </c>
    </row>
    <row r="78" spans="2:17" ht="15" x14ac:dyDescent="0.25">
      <c r="B78" s="56" t="s">
        <v>256</v>
      </c>
      <c r="C78" s="56"/>
      <c r="D78" s="56"/>
      <c r="E78" s="56"/>
      <c r="F78" s="56"/>
      <c r="G78" s="56"/>
      <c r="H78" s="56"/>
      <c r="I78" s="56"/>
      <c r="J78" s="56"/>
      <c r="K78" s="56"/>
      <c r="L78" s="56"/>
      <c r="M78" s="56"/>
      <c r="N78" s="181">
        <f>J74+N77</f>
        <v>299951.05565362063</v>
      </c>
    </row>
    <row r="79" spans="2:17" x14ac:dyDescent="0.2">
      <c r="B79" s="113" t="s">
        <v>255</v>
      </c>
      <c r="N79" s="112">
        <v>3760</v>
      </c>
    </row>
    <row r="80" spans="2:17" x14ac:dyDescent="0.2">
      <c r="B80" s="111" t="s">
        <v>254</v>
      </c>
      <c r="C80" s="108"/>
      <c r="D80" s="108"/>
      <c r="E80" s="108"/>
      <c r="F80" s="108"/>
      <c r="G80" s="108"/>
      <c r="H80" s="108"/>
      <c r="I80" s="108"/>
      <c r="J80" s="108"/>
      <c r="K80" s="108"/>
      <c r="L80" s="108"/>
      <c r="M80" s="108"/>
      <c r="N80" s="110">
        <v>42743</v>
      </c>
    </row>
    <row r="81" spans="2:17" ht="15" x14ac:dyDescent="0.25">
      <c r="B81" s="56" t="s">
        <v>253</v>
      </c>
      <c r="C81" s="56"/>
      <c r="D81" s="56"/>
      <c r="E81" s="56"/>
      <c r="F81" s="56"/>
      <c r="G81" s="56"/>
      <c r="H81" s="56"/>
      <c r="I81" s="56"/>
      <c r="J81" s="56"/>
      <c r="K81" s="56"/>
      <c r="L81" s="56"/>
      <c r="M81" s="56"/>
      <c r="N81" s="109">
        <f>N78+N79-N80</f>
        <v>260968.05565362063</v>
      </c>
    </row>
    <row r="82" spans="2:17" x14ac:dyDescent="0.2">
      <c r="B82" s="108" t="s">
        <v>252</v>
      </c>
      <c r="C82" s="108"/>
      <c r="D82" s="108"/>
      <c r="E82" s="108"/>
      <c r="F82" s="108"/>
      <c r="G82" s="108"/>
      <c r="H82" s="108"/>
      <c r="I82" s="108"/>
      <c r="J82" s="108"/>
      <c r="K82" s="108"/>
      <c r="L82" s="108"/>
      <c r="M82" s="108"/>
      <c r="N82" s="107">
        <f>991614186/1000000</f>
        <v>991.61418600000002</v>
      </c>
    </row>
    <row r="83" spans="2:17" ht="15" x14ac:dyDescent="0.25">
      <c r="B83" s="56" t="s">
        <v>374</v>
      </c>
      <c r="C83" s="56"/>
      <c r="D83" s="56"/>
      <c r="E83" s="56"/>
      <c r="F83" s="56"/>
      <c r="G83" s="56"/>
      <c r="H83" s="56"/>
      <c r="I83" s="56"/>
      <c r="J83" s="56"/>
      <c r="K83" s="56"/>
      <c r="L83" s="56"/>
      <c r="M83" s="56"/>
      <c r="N83" s="106">
        <f>N81/N82</f>
        <v>263.17499218755694</v>
      </c>
    </row>
    <row r="84" spans="2:17" ht="15.75" thickBot="1" x14ac:dyDescent="0.3">
      <c r="B84" s="56" t="s">
        <v>371</v>
      </c>
      <c r="C84" s="56"/>
      <c r="D84" s="56"/>
      <c r="E84" s="56"/>
      <c r="F84" s="56"/>
      <c r="G84" s="56"/>
      <c r="H84" s="56"/>
      <c r="I84" s="56"/>
      <c r="J84" s="56"/>
      <c r="K84" s="56"/>
      <c r="L84" s="56"/>
      <c r="M84" s="56"/>
      <c r="N84" s="182">
        <v>330</v>
      </c>
    </row>
    <row r="85" spans="2:17" ht="15.75" thickBot="1" x14ac:dyDescent="0.3">
      <c r="B85" s="56" t="s">
        <v>372</v>
      </c>
      <c r="N85" s="187">
        <f>(N83-N84)/N84</f>
        <v>-0.20250002367406988</v>
      </c>
    </row>
    <row r="86" spans="2:17" x14ac:dyDescent="0.2">
      <c r="B86" s="159"/>
      <c r="C86" s="159"/>
      <c r="D86" s="159"/>
      <c r="E86" s="159"/>
      <c r="F86" s="159"/>
      <c r="G86" s="159"/>
      <c r="H86" s="159"/>
      <c r="I86" s="159"/>
      <c r="J86" s="159"/>
      <c r="K86" s="159"/>
      <c r="L86" s="159"/>
      <c r="M86" s="159"/>
      <c r="N86" s="159"/>
      <c r="O86" s="159"/>
      <c r="P86" s="159"/>
      <c r="Q86" s="159"/>
    </row>
    <row r="87" spans="2:17" ht="15" x14ac:dyDescent="0.25">
      <c r="B87" s="185" t="s">
        <v>373</v>
      </c>
    </row>
    <row r="89" spans="2:17" ht="15" x14ac:dyDescent="0.25">
      <c r="B89" s="128" t="s">
        <v>260</v>
      </c>
      <c r="C89" s="130"/>
      <c r="D89" s="130"/>
      <c r="E89" s="128"/>
      <c r="F89" s="128"/>
      <c r="G89" s="128"/>
      <c r="H89" s="128"/>
      <c r="I89" s="129" t="s">
        <v>363</v>
      </c>
      <c r="J89" s="129">
        <v>1</v>
      </c>
      <c r="K89" s="129">
        <v>2</v>
      </c>
      <c r="L89" s="129">
        <v>3</v>
      </c>
      <c r="M89" s="129">
        <v>4</v>
      </c>
      <c r="N89" s="129">
        <v>5</v>
      </c>
      <c r="O89" s="129">
        <v>6</v>
      </c>
      <c r="P89" s="129">
        <v>7</v>
      </c>
      <c r="Q89" s="148" t="s">
        <v>358</v>
      </c>
    </row>
    <row r="90" spans="2:17" x14ac:dyDescent="0.2">
      <c r="E90" s="119"/>
      <c r="F90" s="119"/>
      <c r="G90" s="119"/>
      <c r="H90" s="119"/>
      <c r="I90" s="120"/>
      <c r="J90" s="126"/>
      <c r="K90" s="126"/>
      <c r="L90" s="126"/>
      <c r="M90" s="126"/>
      <c r="N90" s="126"/>
    </row>
    <row r="91" spans="2:17" x14ac:dyDescent="0.2">
      <c r="B91" s="116" t="s">
        <v>359</v>
      </c>
      <c r="E91" s="124"/>
      <c r="F91" s="124"/>
      <c r="G91" s="124"/>
      <c r="H91" s="124"/>
      <c r="I91" s="160"/>
      <c r="J91" s="161">
        <f>0</f>
        <v>0</v>
      </c>
      <c r="K91" s="161">
        <v>0.04</v>
      </c>
      <c r="L91" s="161">
        <v>0.06</v>
      </c>
      <c r="M91" s="161">
        <v>0.06</v>
      </c>
      <c r="N91" s="161">
        <f>P53</f>
        <v>6.3355408577405098E-2</v>
      </c>
      <c r="O91" s="161">
        <f>N91</f>
        <v>6.3355408577405098E-2</v>
      </c>
      <c r="P91" s="161">
        <f t="shared" ref="P91:Q91" si="25">O91</f>
        <v>6.3355408577405098E-2</v>
      </c>
      <c r="Q91" s="161">
        <f t="shared" si="25"/>
        <v>6.3355408577405098E-2</v>
      </c>
    </row>
    <row r="92" spans="2:17" ht="15" x14ac:dyDescent="0.25">
      <c r="G92" s="56"/>
      <c r="I92" s="115"/>
    </row>
    <row r="93" spans="2:17" x14ac:dyDescent="0.2">
      <c r="B93" s="118" t="s">
        <v>308</v>
      </c>
      <c r="E93" s="119"/>
      <c r="F93" s="119"/>
      <c r="G93" s="119"/>
      <c r="H93" s="119"/>
      <c r="I93" s="153">
        <v>152669</v>
      </c>
      <c r="J93" s="162">
        <f>I93+I93*J91</f>
        <v>152669</v>
      </c>
      <c r="K93" s="162">
        <f t="shared" ref="K93:Q93" si="26">J93+J93*K91</f>
        <v>158775.76</v>
      </c>
      <c r="L93" s="162">
        <f t="shared" si="26"/>
        <v>168302.30560000002</v>
      </c>
      <c r="M93" s="162">
        <f t="shared" si="26"/>
        <v>178400.44393600003</v>
      </c>
      <c r="N93" s="162">
        <f t="shared" si="26"/>
        <v>189703.07695195577</v>
      </c>
      <c r="O93" s="162">
        <f t="shared" si="26"/>
        <v>201721.79290063784</v>
      </c>
      <c r="P93" s="162">
        <f t="shared" si="26"/>
        <v>214501.95950882445</v>
      </c>
      <c r="Q93" s="162">
        <f t="shared" si="26"/>
        <v>228091.81879416003</v>
      </c>
    </row>
    <row r="94" spans="2:17" x14ac:dyDescent="0.2">
      <c r="B94" s="116"/>
      <c r="E94" s="124"/>
      <c r="F94" s="124"/>
      <c r="G94" s="124"/>
      <c r="H94" s="124"/>
      <c r="I94" s="155"/>
      <c r="J94" s="156"/>
      <c r="K94" s="156"/>
      <c r="L94" s="156"/>
      <c r="M94" s="156"/>
      <c r="N94" s="156"/>
      <c r="O94" s="154"/>
      <c r="P94" s="154"/>
      <c r="Q94" s="154"/>
    </row>
    <row r="95" spans="2:17" x14ac:dyDescent="0.2">
      <c r="B95" t="s">
        <v>360</v>
      </c>
      <c r="I95" s="163">
        <v>0.1421</v>
      </c>
      <c r="J95" s="164">
        <v>0.14000000000000001</v>
      </c>
      <c r="K95" s="164">
        <v>0.14000000000000001</v>
      </c>
      <c r="L95" s="164">
        <v>0.14000000000000001</v>
      </c>
      <c r="M95" s="164">
        <v>0.14000000000000001</v>
      </c>
      <c r="N95" s="164">
        <v>0.14000000000000001</v>
      </c>
      <c r="O95" s="164">
        <v>0.14000000000000001</v>
      </c>
      <c r="P95" s="164">
        <v>0.14000000000000001</v>
      </c>
      <c r="Q95" s="164">
        <v>0.14000000000000001</v>
      </c>
    </row>
    <row r="96" spans="2:17" x14ac:dyDescent="0.2">
      <c r="I96" s="153"/>
      <c r="J96" s="154"/>
      <c r="K96" s="154"/>
      <c r="L96" s="154"/>
      <c r="M96" s="154"/>
      <c r="N96" s="154"/>
      <c r="O96" s="154"/>
      <c r="P96" s="154"/>
      <c r="Q96" s="154"/>
    </row>
    <row r="97" spans="2:17" x14ac:dyDescent="0.2">
      <c r="B97" s="118" t="s">
        <v>259</v>
      </c>
      <c r="E97" s="119"/>
      <c r="F97" s="119"/>
      <c r="G97" s="119"/>
      <c r="H97" s="119"/>
      <c r="I97" s="153">
        <f>I93*I95</f>
        <v>21694.264900000002</v>
      </c>
      <c r="J97" s="165">
        <f t="shared" ref="J97" si="27">J93*J95</f>
        <v>21373.660000000003</v>
      </c>
      <c r="K97" s="154">
        <f>K93*K95</f>
        <v>22228.606400000004</v>
      </c>
      <c r="L97" s="154">
        <f t="shared" ref="L97:Q97" si="28">L93*L95</f>
        <v>23562.322784000004</v>
      </c>
      <c r="M97" s="154">
        <f t="shared" si="28"/>
        <v>24976.062151040005</v>
      </c>
      <c r="N97" s="154">
        <f t="shared" si="28"/>
        <v>26558.430773273809</v>
      </c>
      <c r="O97" s="154">
        <f t="shared" si="28"/>
        <v>28241.051006089299</v>
      </c>
      <c r="P97" s="154">
        <f t="shared" si="28"/>
        <v>30030.274331235425</v>
      </c>
      <c r="Q97" s="154">
        <f t="shared" si="28"/>
        <v>31932.854631182407</v>
      </c>
    </row>
    <row r="98" spans="2:17" x14ac:dyDescent="0.2">
      <c r="B98" s="116"/>
      <c r="E98" s="124"/>
      <c r="F98" s="124"/>
      <c r="G98" s="124"/>
      <c r="H98" s="124"/>
      <c r="I98" s="155"/>
      <c r="J98" s="156"/>
      <c r="K98" s="156"/>
      <c r="L98" s="156"/>
      <c r="M98" s="156"/>
      <c r="N98" s="156"/>
      <c r="O98" s="154"/>
      <c r="P98" s="154"/>
      <c r="Q98" s="154"/>
    </row>
    <row r="99" spans="2:17" x14ac:dyDescent="0.2">
      <c r="B99" t="s">
        <v>361</v>
      </c>
      <c r="I99" s="149">
        <v>0.24</v>
      </c>
      <c r="J99" s="144">
        <f>I99</f>
        <v>0.24</v>
      </c>
      <c r="K99" s="144">
        <f t="shared" ref="K99:Q99" si="29">J99</f>
        <v>0.24</v>
      </c>
      <c r="L99" s="144">
        <f t="shared" si="29"/>
        <v>0.24</v>
      </c>
      <c r="M99" s="144">
        <f t="shared" si="29"/>
        <v>0.24</v>
      </c>
      <c r="N99" s="144">
        <f t="shared" si="29"/>
        <v>0.24</v>
      </c>
      <c r="O99" s="144">
        <f t="shared" si="29"/>
        <v>0.24</v>
      </c>
      <c r="P99" s="144">
        <f t="shared" si="29"/>
        <v>0.24</v>
      </c>
      <c r="Q99" s="144">
        <f t="shared" si="29"/>
        <v>0.24</v>
      </c>
    </row>
    <row r="100" spans="2:17" x14ac:dyDescent="0.2">
      <c r="I100" s="115"/>
    </row>
    <row r="101" spans="2:17" ht="15" x14ac:dyDescent="0.25">
      <c r="B101" s="154" t="s">
        <v>362</v>
      </c>
      <c r="C101" s="76"/>
      <c r="D101" s="76"/>
      <c r="E101" s="76"/>
      <c r="F101" s="76"/>
      <c r="G101" s="76"/>
      <c r="H101" s="76"/>
      <c r="I101" s="153">
        <f>I97*(1-I99)</f>
        <v>16487.641324</v>
      </c>
      <c r="J101" s="154">
        <f t="shared" ref="J101:Q101" si="30">J97*(1-J99)</f>
        <v>16243.981600000003</v>
      </c>
      <c r="K101" s="154">
        <f t="shared" si="30"/>
        <v>16893.740864000003</v>
      </c>
      <c r="L101" s="154">
        <f t="shared" si="30"/>
        <v>17907.365315840001</v>
      </c>
      <c r="M101" s="154">
        <f t="shared" si="30"/>
        <v>18981.807234790405</v>
      </c>
      <c r="N101" s="154">
        <f t="shared" si="30"/>
        <v>20184.407387688094</v>
      </c>
      <c r="O101" s="154">
        <f t="shared" si="30"/>
        <v>21463.198764627869</v>
      </c>
      <c r="P101" s="154">
        <f t="shared" si="30"/>
        <v>22823.008491738925</v>
      </c>
      <c r="Q101" s="154">
        <f t="shared" si="30"/>
        <v>24268.969519698629</v>
      </c>
    </row>
    <row r="102" spans="2:17" x14ac:dyDescent="0.2">
      <c r="B102" s="157"/>
      <c r="C102" s="1"/>
      <c r="D102" s="1"/>
      <c r="E102" s="1"/>
      <c r="F102" s="1"/>
      <c r="G102" s="1"/>
      <c r="H102" s="1"/>
      <c r="I102" s="152"/>
      <c r="J102" s="1"/>
      <c r="K102" s="1"/>
      <c r="L102" s="1"/>
      <c r="M102" s="1"/>
      <c r="N102" s="1"/>
      <c r="O102" s="1"/>
      <c r="P102" s="1"/>
      <c r="Q102" s="1"/>
    </row>
    <row r="103" spans="2:17" x14ac:dyDescent="0.2">
      <c r="B103" s="157" t="s">
        <v>365</v>
      </c>
      <c r="C103" s="1"/>
      <c r="D103" s="1"/>
      <c r="E103" s="1"/>
      <c r="F103" s="1"/>
      <c r="G103" s="1"/>
      <c r="H103" s="1"/>
      <c r="I103" s="152"/>
      <c r="J103">
        <f>4.3</f>
        <v>4.3</v>
      </c>
      <c r="K103">
        <f t="shared" ref="K103:Q103" si="31">4.3</f>
        <v>4.3</v>
      </c>
      <c r="L103">
        <f t="shared" si="31"/>
        <v>4.3</v>
      </c>
      <c r="M103">
        <f t="shared" si="31"/>
        <v>4.3</v>
      </c>
      <c r="N103">
        <f t="shared" si="31"/>
        <v>4.3</v>
      </c>
      <c r="O103">
        <f t="shared" si="31"/>
        <v>4.3</v>
      </c>
      <c r="P103">
        <f t="shared" si="31"/>
        <v>4.3</v>
      </c>
      <c r="Q103">
        <f t="shared" si="31"/>
        <v>4.3</v>
      </c>
    </row>
    <row r="104" spans="2:17" x14ac:dyDescent="0.2">
      <c r="B104" s="157"/>
      <c r="C104" s="1"/>
      <c r="D104" s="1"/>
      <c r="E104" s="1"/>
      <c r="F104" s="1"/>
      <c r="G104" s="1"/>
      <c r="H104" s="1"/>
      <c r="I104" s="152"/>
      <c r="J104" s="1"/>
      <c r="K104" s="1"/>
      <c r="L104" s="1"/>
      <c r="M104" s="1"/>
      <c r="N104" s="1"/>
      <c r="O104" s="1"/>
      <c r="P104" s="1"/>
      <c r="Q104" s="1"/>
    </row>
    <row r="105" spans="2:17" x14ac:dyDescent="0.2">
      <c r="B105" s="157" t="s">
        <v>366</v>
      </c>
      <c r="C105" s="1"/>
      <c r="D105" s="1"/>
      <c r="E105" s="1"/>
      <c r="F105" s="1"/>
      <c r="G105" s="1"/>
      <c r="H105" s="1"/>
      <c r="I105" s="152"/>
      <c r="J105" s="154">
        <f>J101-I101</f>
        <v>-243.65972399999737</v>
      </c>
      <c r="K105" s="154">
        <f t="shared" ref="K105:Q105" si="32">K101-J101</f>
        <v>649.75926400000026</v>
      </c>
      <c r="L105" s="154">
        <f t="shared" si="32"/>
        <v>1013.6244518399981</v>
      </c>
      <c r="M105" s="154">
        <f t="shared" si="32"/>
        <v>1074.4419189504042</v>
      </c>
      <c r="N105" s="154">
        <f t="shared" si="32"/>
        <v>1202.6001528976885</v>
      </c>
      <c r="O105" s="154">
        <f t="shared" si="32"/>
        <v>1278.7913769397746</v>
      </c>
      <c r="P105" s="154">
        <f t="shared" si="32"/>
        <v>1359.8097271110564</v>
      </c>
      <c r="Q105" s="154">
        <f t="shared" si="32"/>
        <v>1445.9610279597036</v>
      </c>
    </row>
    <row r="106" spans="2:17" x14ac:dyDescent="0.2">
      <c r="B106" s="157"/>
      <c r="C106" s="1"/>
      <c r="D106" s="1"/>
      <c r="E106" s="1"/>
      <c r="F106" s="1"/>
      <c r="G106" s="1"/>
      <c r="H106" s="1"/>
      <c r="I106" s="152"/>
      <c r="J106" s="1"/>
      <c r="K106" s="1"/>
      <c r="L106" s="1"/>
      <c r="M106" s="1"/>
      <c r="N106" s="1"/>
      <c r="O106" s="1"/>
      <c r="P106" s="1"/>
      <c r="Q106" s="1"/>
    </row>
    <row r="107" spans="2:17" x14ac:dyDescent="0.2">
      <c r="B107" s="154" t="s">
        <v>306</v>
      </c>
      <c r="C107" s="1"/>
      <c r="D107" s="1"/>
      <c r="E107" s="158"/>
      <c r="F107" s="158"/>
      <c r="G107" s="158"/>
      <c r="H107" s="158"/>
      <c r="I107" s="150"/>
      <c r="J107" s="166">
        <f>J105/J103</f>
        <v>-56.665052093022645</v>
      </c>
      <c r="K107" s="166">
        <f t="shared" ref="K107:Q107" si="33">K105/K103</f>
        <v>151.10680558139541</v>
      </c>
      <c r="L107" s="166">
        <f t="shared" si="33"/>
        <v>235.7266167069763</v>
      </c>
      <c r="M107" s="166">
        <f t="shared" si="33"/>
        <v>249.87021370939635</v>
      </c>
      <c r="N107" s="166">
        <f t="shared" si="33"/>
        <v>279.67445416225314</v>
      </c>
      <c r="O107" s="166">
        <f t="shared" si="33"/>
        <v>297.39334347436619</v>
      </c>
      <c r="P107" s="166">
        <f t="shared" si="33"/>
        <v>316.23482025838524</v>
      </c>
      <c r="Q107" s="166">
        <f t="shared" si="33"/>
        <v>336.27000650225665</v>
      </c>
    </row>
    <row r="108" spans="2:17" ht="15" thickBot="1" x14ac:dyDescent="0.25">
      <c r="B108" s="1"/>
      <c r="C108" s="1"/>
      <c r="D108" s="1"/>
      <c r="E108" s="158"/>
      <c r="F108" s="158"/>
      <c r="G108" s="158"/>
      <c r="H108" s="158"/>
      <c r="I108" s="150"/>
      <c r="J108" s="175">
        <v>1</v>
      </c>
      <c r="K108" s="175">
        <v>2</v>
      </c>
      <c r="L108" s="175">
        <v>3</v>
      </c>
      <c r="M108" s="175">
        <v>4</v>
      </c>
      <c r="N108" s="175">
        <v>5</v>
      </c>
      <c r="O108" s="175">
        <v>6</v>
      </c>
      <c r="P108" s="175">
        <v>7</v>
      </c>
      <c r="Q108" s="175">
        <v>8</v>
      </c>
    </row>
    <row r="109" spans="2:17" ht="15.75" thickBot="1" x14ac:dyDescent="0.3">
      <c r="B109" s="154" t="s">
        <v>307</v>
      </c>
      <c r="C109" s="1"/>
      <c r="D109" s="1"/>
      <c r="E109" s="158"/>
      <c r="F109" s="158"/>
      <c r="G109" s="158"/>
      <c r="H109" s="236" t="s">
        <v>368</v>
      </c>
      <c r="I109" s="237"/>
      <c r="J109" s="169">
        <f>J101-J107</f>
        <v>16300.646652093026</v>
      </c>
      <c r="K109" s="167">
        <f t="shared" ref="K109:Q109" si="34">K101-K107</f>
        <v>16742.634058418607</v>
      </c>
      <c r="L109" s="167">
        <f t="shared" si="34"/>
        <v>17671.638699133026</v>
      </c>
      <c r="M109" s="167">
        <f t="shared" si="34"/>
        <v>18731.937021081008</v>
      </c>
      <c r="N109" s="167">
        <f t="shared" si="34"/>
        <v>19904.73293352584</v>
      </c>
      <c r="O109" s="167">
        <f t="shared" si="34"/>
        <v>21165.805421153502</v>
      </c>
      <c r="P109" s="167">
        <f t="shared" si="34"/>
        <v>22506.77367148054</v>
      </c>
      <c r="Q109" s="168">
        <f t="shared" si="34"/>
        <v>23932.69951319637</v>
      </c>
    </row>
    <row r="110" spans="2:17" ht="15.75" thickBot="1" x14ac:dyDescent="0.3">
      <c r="C110" s="56"/>
      <c r="D110" s="56"/>
      <c r="E110" s="56"/>
      <c r="F110" s="56"/>
      <c r="G110" s="56"/>
      <c r="H110" s="236" t="s">
        <v>262</v>
      </c>
      <c r="I110" s="237"/>
      <c r="J110" s="173">
        <f>J34</f>
        <v>9.5042732416065187E-2</v>
      </c>
      <c r="K110" s="173">
        <f t="shared" ref="K110:Q110" si="35">K34</f>
        <v>9.6043946848434494E-2</v>
      </c>
      <c r="L110" s="173">
        <f t="shared" si="35"/>
        <v>9.7808330585682973E-2</v>
      </c>
      <c r="M110" s="173">
        <f t="shared" si="35"/>
        <v>8.571856946173087E-2</v>
      </c>
      <c r="N110" s="173">
        <f t="shared" si="35"/>
        <v>7.9647551083938423E-2</v>
      </c>
      <c r="O110" s="173">
        <f t="shared" si="35"/>
        <v>7.1473091768586461E-2</v>
      </c>
      <c r="P110" s="173">
        <f t="shared" si="35"/>
        <v>6.8525859088486338E-2</v>
      </c>
      <c r="Q110" s="173">
        <f t="shared" si="35"/>
        <v>6.6278297198561029E-2</v>
      </c>
    </row>
    <row r="111" spans="2:17" ht="15.75" thickBot="1" x14ac:dyDescent="0.3">
      <c r="C111" s="56"/>
      <c r="D111" s="56"/>
      <c r="E111" s="56"/>
      <c r="F111" s="56"/>
      <c r="G111" s="56"/>
      <c r="H111" s="171" t="s">
        <v>367</v>
      </c>
      <c r="I111" s="170"/>
      <c r="J111" s="176">
        <f>J109/((1+J110)^J108)</f>
        <v>14885.854377689748</v>
      </c>
      <c r="K111" s="176">
        <f t="shared" ref="K111" si="36">K109/((1+K110)^K108)</f>
        <v>13936.953440502113</v>
      </c>
      <c r="L111" s="176">
        <f t="shared" ref="L111" si="37">L109/((1+L110)^L108)</f>
        <v>13356.64113521025</v>
      </c>
      <c r="M111" s="176">
        <f t="shared" ref="M111" si="38">M109/((1+M110)^M108)</f>
        <v>13480.73668304149</v>
      </c>
      <c r="N111" s="176">
        <f t="shared" ref="N111" si="39">N109/((1+N110)^N108)</f>
        <v>13568.952898186357</v>
      </c>
      <c r="O111" s="176">
        <f t="shared" ref="O111" si="40">O109/((1+O110)^O108)</f>
        <v>13987.728226865305</v>
      </c>
      <c r="P111" s="176">
        <f>P109/((1+P110)^P108)</f>
        <v>14152.005400769003</v>
      </c>
      <c r="Q111" s="176">
        <f>Q109/((1+Q110)^Q108)</f>
        <v>14322.773695606233</v>
      </c>
    </row>
    <row r="112" spans="2:17" ht="15.75" thickBot="1" x14ac:dyDescent="0.3">
      <c r="I112" s="178" t="s">
        <v>369</v>
      </c>
      <c r="J112" s="177">
        <f>SUM(J111:P111)</f>
        <v>97368.872162264277</v>
      </c>
    </row>
    <row r="113" spans="2:17" ht="15" x14ac:dyDescent="0.25">
      <c r="B113" t="s">
        <v>370</v>
      </c>
      <c r="C113" s="183">
        <v>0.04</v>
      </c>
      <c r="I113" s="56"/>
      <c r="J113" s="1"/>
    </row>
    <row r="114" spans="2:17" x14ac:dyDescent="0.2">
      <c r="B114" t="s">
        <v>258</v>
      </c>
      <c r="J114" s="114"/>
      <c r="N114" s="151">
        <f>Q111/(Q110-C113)</f>
        <v>545041.92518191529</v>
      </c>
    </row>
    <row r="115" spans="2:17" x14ac:dyDescent="0.2">
      <c r="B115" s="108" t="s">
        <v>257</v>
      </c>
      <c r="C115" s="108"/>
      <c r="D115" s="108"/>
      <c r="E115" s="108"/>
      <c r="F115" s="108"/>
      <c r="G115" s="108"/>
      <c r="H115" s="108"/>
      <c r="I115" s="108"/>
      <c r="J115" s="108"/>
      <c r="K115" s="108"/>
      <c r="L115" s="108"/>
      <c r="M115" s="108"/>
      <c r="N115" s="180">
        <f>N114/((1+Q110)^Q108)</f>
        <v>326186.02613940998</v>
      </c>
    </row>
    <row r="116" spans="2:17" ht="15" x14ac:dyDescent="0.25">
      <c r="B116" s="56" t="s">
        <v>256</v>
      </c>
      <c r="C116" s="56"/>
      <c r="D116" s="56"/>
      <c r="E116" s="56"/>
      <c r="F116" s="56"/>
      <c r="G116" s="56"/>
      <c r="H116" s="56"/>
      <c r="I116" s="56"/>
      <c r="J116" s="56"/>
      <c r="K116" s="56"/>
      <c r="L116" s="56"/>
      <c r="M116" s="56"/>
      <c r="N116" s="181">
        <f>J112+N115</f>
        <v>423554.89830167429</v>
      </c>
    </row>
    <row r="117" spans="2:17" x14ac:dyDescent="0.2">
      <c r="B117" s="113" t="s">
        <v>255</v>
      </c>
      <c r="N117" s="112">
        <v>3760</v>
      </c>
    </row>
    <row r="118" spans="2:17" x14ac:dyDescent="0.2">
      <c r="B118" s="111" t="s">
        <v>254</v>
      </c>
      <c r="C118" s="108"/>
      <c r="D118" s="108"/>
      <c r="E118" s="108"/>
      <c r="F118" s="108"/>
      <c r="G118" s="108"/>
      <c r="H118" s="108"/>
      <c r="I118" s="108"/>
      <c r="J118" s="108"/>
      <c r="K118" s="108"/>
      <c r="L118" s="108"/>
      <c r="M118" s="108"/>
      <c r="N118" s="110">
        <v>42743</v>
      </c>
    </row>
    <row r="119" spans="2:17" ht="15" x14ac:dyDescent="0.25">
      <c r="B119" s="56" t="s">
        <v>253</v>
      </c>
      <c r="C119" s="56"/>
      <c r="D119" s="56"/>
      <c r="E119" s="56"/>
      <c r="F119" s="56"/>
      <c r="G119" s="56"/>
      <c r="H119" s="56"/>
      <c r="I119" s="56"/>
      <c r="J119" s="56"/>
      <c r="K119" s="56"/>
      <c r="L119" s="56"/>
      <c r="M119" s="56"/>
      <c r="N119" s="109">
        <f>N116+N117-N118</f>
        <v>384571.89830167429</v>
      </c>
    </row>
    <row r="120" spans="2:17" x14ac:dyDescent="0.2">
      <c r="B120" s="108" t="s">
        <v>252</v>
      </c>
      <c r="C120" s="108"/>
      <c r="D120" s="108"/>
      <c r="E120" s="108"/>
      <c r="F120" s="108"/>
      <c r="G120" s="108"/>
      <c r="H120" s="108"/>
      <c r="I120" s="108"/>
      <c r="J120" s="108"/>
      <c r="K120" s="108"/>
      <c r="L120" s="108"/>
      <c r="M120" s="108"/>
      <c r="N120" s="107">
        <f>991614186/1000000</f>
        <v>991.61418600000002</v>
      </c>
    </row>
    <row r="121" spans="2:17" ht="15" x14ac:dyDescent="0.25">
      <c r="B121" s="56" t="s">
        <v>374</v>
      </c>
      <c r="C121" s="56"/>
      <c r="D121" s="56"/>
      <c r="E121" s="56"/>
      <c r="F121" s="56"/>
      <c r="G121" s="56"/>
      <c r="H121" s="56"/>
      <c r="I121" s="56"/>
      <c r="J121" s="56"/>
      <c r="K121" s="56"/>
      <c r="L121" s="56"/>
      <c r="M121" s="56"/>
      <c r="N121" s="182">
        <f>N119/N120</f>
        <v>387.82411923025302</v>
      </c>
    </row>
    <row r="122" spans="2:17" ht="15.75" thickBot="1" x14ac:dyDescent="0.3">
      <c r="B122" s="56" t="s">
        <v>371</v>
      </c>
      <c r="C122" s="56"/>
      <c r="D122" s="56"/>
      <c r="E122" s="56"/>
      <c r="F122" s="56"/>
      <c r="G122" s="56"/>
      <c r="H122" s="56"/>
      <c r="I122" s="56"/>
      <c r="J122" s="56"/>
      <c r="K122" s="56"/>
      <c r="L122" s="56"/>
      <c r="M122" s="56"/>
      <c r="N122" s="182">
        <v>330</v>
      </c>
    </row>
    <row r="123" spans="2:17" ht="15.75" thickBot="1" x14ac:dyDescent="0.3">
      <c r="B123" s="56" t="s">
        <v>372</v>
      </c>
      <c r="N123" s="184">
        <f>(N121-N122)/N122</f>
        <v>0.17522460372803944</v>
      </c>
    </row>
    <row r="125" spans="2:17" x14ac:dyDescent="0.2">
      <c r="B125" s="159"/>
      <c r="C125" s="159"/>
      <c r="D125" s="159"/>
      <c r="E125" s="159"/>
      <c r="F125" s="159"/>
      <c r="G125" s="159"/>
      <c r="H125" s="159"/>
      <c r="I125" s="159"/>
      <c r="J125" s="159"/>
      <c r="K125" s="159"/>
      <c r="L125" s="159"/>
      <c r="M125" s="159"/>
      <c r="N125" s="159"/>
      <c r="O125" s="159"/>
      <c r="P125" s="159"/>
      <c r="Q125" s="159"/>
    </row>
    <row r="126" spans="2:17" ht="15" x14ac:dyDescent="0.25">
      <c r="B126" s="185" t="s">
        <v>375</v>
      </c>
      <c r="C126" s="186"/>
    </row>
    <row r="128" spans="2:17" ht="15" x14ac:dyDescent="0.25">
      <c r="B128" s="128" t="s">
        <v>260</v>
      </c>
      <c r="C128" s="130"/>
      <c r="D128" s="130"/>
      <c r="E128" s="128"/>
      <c r="F128" s="128"/>
      <c r="G128" s="128"/>
      <c r="H128" s="128"/>
      <c r="I128" s="129" t="s">
        <v>363</v>
      </c>
      <c r="J128" s="129">
        <v>1</v>
      </c>
      <c r="K128" s="129">
        <v>2</v>
      </c>
      <c r="L128" s="129">
        <v>3</v>
      </c>
      <c r="M128" s="129">
        <v>4</v>
      </c>
      <c r="N128" s="129">
        <v>5</v>
      </c>
      <c r="O128" s="129">
        <v>6</v>
      </c>
      <c r="P128" s="129">
        <v>7</v>
      </c>
      <c r="Q128" s="148" t="s">
        <v>358</v>
      </c>
    </row>
    <row r="129" spans="2:17" x14ac:dyDescent="0.2">
      <c r="E129" s="119"/>
      <c r="F129" s="119"/>
      <c r="G129" s="119"/>
      <c r="H129" s="119"/>
      <c r="I129" s="120"/>
      <c r="J129" s="126"/>
      <c r="K129" s="126"/>
      <c r="L129" s="126"/>
      <c r="M129" s="126"/>
      <c r="N129" s="126"/>
    </row>
    <row r="130" spans="2:17" x14ac:dyDescent="0.2">
      <c r="B130" s="116" t="s">
        <v>359</v>
      </c>
      <c r="E130" s="124"/>
      <c r="F130" s="124"/>
      <c r="G130" s="124"/>
      <c r="H130" s="124"/>
      <c r="I130" s="160"/>
      <c r="J130" s="161">
        <f>-3.01%</f>
        <v>-3.0099999999999998E-2</v>
      </c>
      <c r="K130" s="161">
        <v>9.7999999999999997E-3</v>
      </c>
      <c r="L130" s="161">
        <v>2.6100000000000002E-2</v>
      </c>
      <c r="M130" s="161">
        <v>3.9600000000000003E-2</v>
      </c>
      <c r="N130" s="161">
        <f>P53</f>
        <v>6.3355408577405098E-2</v>
      </c>
      <c r="O130" s="161">
        <f>N130</f>
        <v>6.3355408577405098E-2</v>
      </c>
      <c r="P130" s="161">
        <f t="shared" ref="P130:Q130" si="41">O130</f>
        <v>6.3355408577405098E-2</v>
      </c>
      <c r="Q130" s="161">
        <f t="shared" si="41"/>
        <v>6.3355408577405098E-2</v>
      </c>
    </row>
    <row r="131" spans="2:17" ht="15" x14ac:dyDescent="0.25">
      <c r="G131" s="56"/>
      <c r="I131" s="115"/>
    </row>
    <row r="132" spans="2:17" x14ac:dyDescent="0.2">
      <c r="B132" s="118" t="s">
        <v>308</v>
      </c>
      <c r="E132" s="119"/>
      <c r="F132" s="119"/>
      <c r="G132" s="119"/>
      <c r="H132" s="119"/>
      <c r="I132" s="153">
        <v>152669</v>
      </c>
      <c r="J132" s="162">
        <f>I132+I132*J130</f>
        <v>148073.66310000001</v>
      </c>
      <c r="K132" s="162">
        <f t="shared" ref="K132:Q132" si="42">J132+J132*K130</f>
        <v>149524.78499838</v>
      </c>
      <c r="L132" s="162">
        <f t="shared" si="42"/>
        <v>153427.38188683771</v>
      </c>
      <c r="M132" s="162">
        <f t="shared" si="42"/>
        <v>159503.10620955648</v>
      </c>
      <c r="N132" s="162">
        <f t="shared" si="42"/>
        <v>169608.49067282816</v>
      </c>
      <c r="O132" s="162">
        <f t="shared" si="42"/>
        <v>180354.10589760219</v>
      </c>
      <c r="P132" s="162">
        <f t="shared" si="42"/>
        <v>191780.51396535736</v>
      </c>
      <c r="Q132" s="162">
        <f t="shared" si="42"/>
        <v>203930.84678481732</v>
      </c>
    </row>
    <row r="133" spans="2:17" x14ac:dyDescent="0.2">
      <c r="B133" s="116"/>
      <c r="E133" s="124"/>
      <c r="F133" s="124"/>
      <c r="G133" s="124"/>
      <c r="H133" s="124"/>
      <c r="I133" s="155"/>
      <c r="J133" s="156"/>
      <c r="K133" s="156"/>
      <c r="L133" s="156"/>
      <c r="M133" s="156"/>
      <c r="N133" s="156"/>
      <c r="O133" s="154"/>
      <c r="P133" s="154"/>
      <c r="Q133" s="154"/>
    </row>
    <row r="134" spans="2:17" x14ac:dyDescent="0.2">
      <c r="B134" t="s">
        <v>360</v>
      </c>
      <c r="I134" s="163">
        <v>0.1421</v>
      </c>
      <c r="J134" s="164">
        <v>0.14000000000000001</v>
      </c>
      <c r="K134" s="164">
        <v>0.14000000000000001</v>
      </c>
      <c r="L134" s="164">
        <v>0.14000000000000001</v>
      </c>
      <c r="M134" s="164">
        <v>0.14000000000000001</v>
      </c>
      <c r="N134" s="164">
        <v>0.14000000000000001</v>
      </c>
      <c r="O134" s="164">
        <v>0.14000000000000001</v>
      </c>
      <c r="P134" s="164">
        <v>0.14000000000000001</v>
      </c>
      <c r="Q134" s="164">
        <v>0.14000000000000001</v>
      </c>
    </row>
    <row r="135" spans="2:17" x14ac:dyDescent="0.2">
      <c r="I135" s="153"/>
      <c r="J135" s="154"/>
      <c r="K135" s="154"/>
      <c r="L135" s="154"/>
      <c r="M135" s="154"/>
      <c r="N135" s="154"/>
      <c r="O135" s="154"/>
      <c r="P135" s="154"/>
      <c r="Q135" s="154"/>
    </row>
    <row r="136" spans="2:17" x14ac:dyDescent="0.2">
      <c r="B136" s="118" t="s">
        <v>259</v>
      </c>
      <c r="E136" s="119"/>
      <c r="F136" s="119"/>
      <c r="G136" s="119"/>
      <c r="H136" s="119"/>
      <c r="I136" s="153">
        <f>I132*I134</f>
        <v>21694.264900000002</v>
      </c>
      <c r="J136" s="165">
        <f t="shared" ref="J136" si="43">J132*J134</f>
        <v>20730.312834000004</v>
      </c>
      <c r="K136" s="154">
        <f>K132*K134</f>
        <v>20933.469899773201</v>
      </c>
      <c r="L136" s="154">
        <f t="shared" ref="L136:Q136" si="44">L132*L134</f>
        <v>21479.83346415728</v>
      </c>
      <c r="M136" s="154">
        <f t="shared" si="44"/>
        <v>22330.434869337911</v>
      </c>
      <c r="N136" s="154">
        <f t="shared" si="44"/>
        <v>23745.188694195946</v>
      </c>
      <c r="O136" s="154">
        <f t="shared" si="44"/>
        <v>25249.574825664309</v>
      </c>
      <c r="P136" s="154">
        <f t="shared" si="44"/>
        <v>26849.271955150034</v>
      </c>
      <c r="Q136" s="154">
        <f t="shared" si="44"/>
        <v>28550.318549874428</v>
      </c>
    </row>
    <row r="137" spans="2:17" x14ac:dyDescent="0.2">
      <c r="B137" s="116"/>
      <c r="E137" s="124"/>
      <c r="F137" s="124"/>
      <c r="G137" s="124"/>
      <c r="H137" s="124"/>
      <c r="I137" s="155"/>
      <c r="J137" s="156"/>
      <c r="K137" s="156"/>
      <c r="L137" s="156"/>
      <c r="M137" s="156"/>
      <c r="N137" s="156"/>
      <c r="O137" s="154"/>
      <c r="P137" s="154"/>
      <c r="Q137" s="154"/>
    </row>
    <row r="138" spans="2:17" x14ac:dyDescent="0.2">
      <c r="B138" t="s">
        <v>361</v>
      </c>
      <c r="I138" s="149">
        <v>0.24</v>
      </c>
      <c r="J138" s="144">
        <f>I138</f>
        <v>0.24</v>
      </c>
      <c r="K138" s="144">
        <f t="shared" ref="K138:Q138" si="45">J138</f>
        <v>0.24</v>
      </c>
      <c r="L138" s="144">
        <f t="shared" si="45"/>
        <v>0.24</v>
      </c>
      <c r="M138" s="144">
        <f t="shared" si="45"/>
        <v>0.24</v>
      </c>
      <c r="N138" s="144">
        <f t="shared" si="45"/>
        <v>0.24</v>
      </c>
      <c r="O138" s="144">
        <f t="shared" si="45"/>
        <v>0.24</v>
      </c>
      <c r="P138" s="144">
        <f t="shared" si="45"/>
        <v>0.24</v>
      </c>
      <c r="Q138" s="144">
        <f t="shared" si="45"/>
        <v>0.24</v>
      </c>
    </row>
    <row r="139" spans="2:17" x14ac:dyDescent="0.2">
      <c r="I139" s="115"/>
    </row>
    <row r="140" spans="2:17" ht="15" x14ac:dyDescent="0.25">
      <c r="B140" s="154" t="s">
        <v>362</v>
      </c>
      <c r="C140" s="76"/>
      <c r="D140" s="76"/>
      <c r="E140" s="76"/>
      <c r="F140" s="76"/>
      <c r="G140" s="76"/>
      <c r="H140" s="76"/>
      <c r="I140" s="153">
        <f>I136*(1-I138)</f>
        <v>16487.641324</v>
      </c>
      <c r="J140" s="154">
        <f t="shared" ref="J140:Q140" si="46">J136*(1-J138)</f>
        <v>15755.037753840003</v>
      </c>
      <c r="K140" s="154">
        <f t="shared" si="46"/>
        <v>15909.437123827633</v>
      </c>
      <c r="L140" s="154">
        <f t="shared" si="46"/>
        <v>16324.673432759533</v>
      </c>
      <c r="M140" s="154">
        <f t="shared" si="46"/>
        <v>16971.13050069681</v>
      </c>
      <c r="N140" s="154">
        <f t="shared" si="46"/>
        <v>18046.34340758892</v>
      </c>
      <c r="O140" s="154">
        <f t="shared" si="46"/>
        <v>19189.676867504877</v>
      </c>
      <c r="P140" s="154">
        <f t="shared" si="46"/>
        <v>20405.446685914027</v>
      </c>
      <c r="Q140" s="154">
        <f t="shared" si="46"/>
        <v>21698.242097904564</v>
      </c>
    </row>
    <row r="141" spans="2:17" x14ac:dyDescent="0.2">
      <c r="B141" s="157"/>
      <c r="C141" s="1"/>
      <c r="D141" s="1"/>
      <c r="E141" s="1"/>
      <c r="F141" s="1"/>
      <c r="G141" s="1"/>
      <c r="H141" s="1"/>
      <c r="I141" s="152"/>
      <c r="J141" s="1"/>
      <c r="K141" s="1"/>
      <c r="L141" s="1"/>
      <c r="M141" s="1"/>
      <c r="N141" s="1"/>
      <c r="O141" s="1"/>
      <c r="P141" s="1"/>
      <c r="Q141" s="1"/>
    </row>
    <row r="142" spans="2:17" x14ac:dyDescent="0.2">
      <c r="B142" s="157" t="s">
        <v>365</v>
      </c>
      <c r="C142" s="1"/>
      <c r="D142" s="1"/>
      <c r="E142" s="1"/>
      <c r="F142" s="1"/>
      <c r="G142" s="1"/>
      <c r="H142" s="1"/>
      <c r="I142" s="152"/>
      <c r="J142">
        <f>4.3</f>
        <v>4.3</v>
      </c>
      <c r="K142">
        <f t="shared" ref="K142:Q142" si="47">4.3</f>
        <v>4.3</v>
      </c>
      <c r="L142">
        <f t="shared" si="47"/>
        <v>4.3</v>
      </c>
      <c r="M142">
        <f t="shared" si="47"/>
        <v>4.3</v>
      </c>
      <c r="N142">
        <f t="shared" si="47"/>
        <v>4.3</v>
      </c>
      <c r="O142">
        <f t="shared" si="47"/>
        <v>4.3</v>
      </c>
      <c r="P142">
        <f t="shared" si="47"/>
        <v>4.3</v>
      </c>
      <c r="Q142">
        <f t="shared" si="47"/>
        <v>4.3</v>
      </c>
    </row>
    <row r="143" spans="2:17" x14ac:dyDescent="0.2">
      <c r="B143" s="157"/>
      <c r="C143" s="1"/>
      <c r="D143" s="1"/>
      <c r="E143" s="1"/>
      <c r="F143" s="1"/>
      <c r="G143" s="1"/>
      <c r="H143" s="1"/>
      <c r="I143" s="152"/>
      <c r="J143" s="1"/>
      <c r="K143" s="1"/>
      <c r="L143" s="1"/>
      <c r="M143" s="1"/>
      <c r="N143" s="1"/>
      <c r="O143" s="1"/>
      <c r="P143" s="1"/>
      <c r="Q143" s="1"/>
    </row>
    <row r="144" spans="2:17" x14ac:dyDescent="0.2">
      <c r="B144" s="157" t="s">
        <v>366</v>
      </c>
      <c r="C144" s="1"/>
      <c r="D144" s="1"/>
      <c r="E144" s="1"/>
      <c r="F144" s="1"/>
      <c r="G144" s="1"/>
      <c r="H144" s="1"/>
      <c r="I144" s="152"/>
      <c r="J144" s="154">
        <f>J140-I140</f>
        <v>-732.60357015999762</v>
      </c>
      <c r="K144" s="154">
        <f t="shared" ref="K144:Q144" si="48">K140-J140</f>
        <v>154.39936998763005</v>
      </c>
      <c r="L144" s="154">
        <f t="shared" si="48"/>
        <v>415.23630893190057</v>
      </c>
      <c r="M144" s="154">
        <f t="shared" si="48"/>
        <v>646.45706793727732</v>
      </c>
      <c r="N144" s="154">
        <f t="shared" si="48"/>
        <v>1075.2129068921095</v>
      </c>
      <c r="O144" s="154">
        <f t="shared" si="48"/>
        <v>1143.3334599159571</v>
      </c>
      <c r="P144" s="154">
        <f t="shared" si="48"/>
        <v>1215.7698184091496</v>
      </c>
      <c r="Q144" s="154">
        <f t="shared" si="48"/>
        <v>1292.7954119905371</v>
      </c>
    </row>
    <row r="145" spans="2:17" x14ac:dyDescent="0.2">
      <c r="B145" s="157"/>
      <c r="C145" s="1"/>
      <c r="D145" s="1"/>
      <c r="E145" s="1"/>
      <c r="F145" s="1"/>
      <c r="G145" s="1"/>
      <c r="H145" s="1"/>
      <c r="I145" s="152"/>
      <c r="J145" s="1"/>
      <c r="K145" s="1"/>
      <c r="L145" s="1"/>
      <c r="M145" s="1"/>
      <c r="N145" s="1"/>
      <c r="O145" s="1"/>
      <c r="P145" s="1"/>
      <c r="Q145" s="1"/>
    </row>
    <row r="146" spans="2:17" x14ac:dyDescent="0.2">
      <c r="B146" s="154" t="s">
        <v>306</v>
      </c>
      <c r="C146" s="1"/>
      <c r="D146" s="1"/>
      <c r="E146" s="158"/>
      <c r="F146" s="158"/>
      <c r="G146" s="158"/>
      <c r="H146" s="158"/>
      <c r="I146" s="150"/>
      <c r="J146" s="166">
        <f>J144/J142</f>
        <v>-170.37292329302272</v>
      </c>
      <c r="K146" s="166">
        <f t="shared" ref="K146:Q146" si="49">K144/K142</f>
        <v>35.906830229681411</v>
      </c>
      <c r="L146" s="166">
        <f t="shared" si="49"/>
        <v>96.566583472535015</v>
      </c>
      <c r="M146" s="166">
        <f t="shared" si="49"/>
        <v>150.33885300866916</v>
      </c>
      <c r="N146" s="166">
        <f t="shared" si="49"/>
        <v>250.04951323072314</v>
      </c>
      <c r="O146" s="166">
        <f t="shared" si="49"/>
        <v>265.89150230603656</v>
      </c>
      <c r="P146" s="166">
        <f t="shared" si="49"/>
        <v>282.73716707189527</v>
      </c>
      <c r="Q146" s="166">
        <f t="shared" si="49"/>
        <v>300.65009581175281</v>
      </c>
    </row>
    <row r="147" spans="2:17" ht="15" thickBot="1" x14ac:dyDescent="0.25">
      <c r="B147" s="1"/>
      <c r="C147" s="1"/>
      <c r="D147" s="1"/>
      <c r="E147" s="158"/>
      <c r="F147" s="158"/>
      <c r="G147" s="158"/>
      <c r="H147" s="158"/>
      <c r="I147" s="150"/>
      <c r="J147" s="175">
        <v>1</v>
      </c>
      <c r="K147" s="175">
        <v>2</v>
      </c>
      <c r="L147" s="175">
        <v>3</v>
      </c>
      <c r="M147" s="175">
        <v>4</v>
      </c>
      <c r="N147" s="175">
        <v>5</v>
      </c>
      <c r="O147" s="175">
        <v>6</v>
      </c>
      <c r="P147" s="175">
        <v>7</v>
      </c>
      <c r="Q147" s="175">
        <v>8</v>
      </c>
    </row>
    <row r="148" spans="2:17" ht="15.75" thickBot="1" x14ac:dyDescent="0.3">
      <c r="B148" s="154" t="s">
        <v>307</v>
      </c>
      <c r="C148" s="1"/>
      <c r="D148" s="1"/>
      <c r="E148" s="158"/>
      <c r="F148" s="158"/>
      <c r="G148" s="158"/>
      <c r="H148" s="236" t="s">
        <v>368</v>
      </c>
      <c r="I148" s="237"/>
      <c r="J148" s="169">
        <f>J140-J146</f>
        <v>15925.410677133026</v>
      </c>
      <c r="K148" s="167">
        <f t="shared" ref="K148:Q148" si="50">K140-K146</f>
        <v>15873.530293597951</v>
      </c>
      <c r="L148" s="167">
        <f t="shared" si="50"/>
        <v>16228.106849286998</v>
      </c>
      <c r="M148" s="167">
        <f t="shared" si="50"/>
        <v>16820.79164768814</v>
      </c>
      <c r="N148" s="167">
        <f t="shared" si="50"/>
        <v>17796.293894358198</v>
      </c>
      <c r="O148" s="167">
        <f t="shared" si="50"/>
        <v>18923.785365198841</v>
      </c>
      <c r="P148" s="167">
        <f t="shared" si="50"/>
        <v>20122.70951884213</v>
      </c>
      <c r="Q148" s="168">
        <f t="shared" si="50"/>
        <v>21397.59200209281</v>
      </c>
    </row>
    <row r="149" spans="2:17" ht="15.75" thickBot="1" x14ac:dyDescent="0.3">
      <c r="C149" s="56"/>
      <c r="D149" s="56"/>
      <c r="E149" s="56"/>
      <c r="F149" s="56"/>
      <c r="G149" s="56"/>
      <c r="H149" s="236" t="s">
        <v>262</v>
      </c>
      <c r="I149" s="237"/>
      <c r="J149" s="173">
        <f>J110</f>
        <v>9.5042732416065187E-2</v>
      </c>
      <c r="K149" s="173">
        <f t="shared" ref="K149:Q149" si="51">K110</f>
        <v>9.6043946848434494E-2</v>
      </c>
      <c r="L149" s="173">
        <f t="shared" si="51"/>
        <v>9.7808330585682973E-2</v>
      </c>
      <c r="M149" s="173">
        <f t="shared" si="51"/>
        <v>8.571856946173087E-2</v>
      </c>
      <c r="N149" s="173">
        <f t="shared" si="51"/>
        <v>7.9647551083938423E-2</v>
      </c>
      <c r="O149" s="173">
        <f t="shared" si="51"/>
        <v>7.1473091768586461E-2</v>
      </c>
      <c r="P149" s="173">
        <f t="shared" si="51"/>
        <v>6.8525859088486338E-2</v>
      </c>
      <c r="Q149" s="173">
        <f t="shared" si="51"/>
        <v>6.6278297198561029E-2</v>
      </c>
    </row>
    <row r="150" spans="2:17" ht="15.75" thickBot="1" x14ac:dyDescent="0.3">
      <c r="C150" s="56"/>
      <c r="D150" s="56"/>
      <c r="E150" s="56"/>
      <c r="F150" s="56"/>
      <c r="G150" s="56"/>
      <c r="H150" s="171" t="s">
        <v>367</v>
      </c>
      <c r="I150" s="170"/>
      <c r="J150" s="176">
        <f>J148/((1+J149)^J147)</f>
        <v>14543.186494645501</v>
      </c>
      <c r="K150" s="176">
        <f t="shared" ref="K150" si="52">K148/((1+K149)^K147)</f>
        <v>13213.491489234053</v>
      </c>
      <c r="L150" s="176">
        <f t="shared" ref="L150" si="53">L148/((1+L149)^L147)</f>
        <v>12265.585732035584</v>
      </c>
      <c r="M150" s="176">
        <f t="shared" ref="M150" si="54">M148/((1+M149)^M147)</f>
        <v>12105.350490320057</v>
      </c>
      <c r="N150" s="176">
        <f t="shared" ref="N150" si="55">N148/((1+N149)^N147)</f>
        <v>12131.640973092604</v>
      </c>
      <c r="O150" s="176">
        <f t="shared" ref="O150" si="56">O148/((1+O149)^O147)</f>
        <v>12506.056889636975</v>
      </c>
      <c r="P150" s="176">
        <f>P148/((1+P149)^P147)</f>
        <v>12652.932754622865</v>
      </c>
      <c r="Q150" s="176">
        <f>Q148/((1+Q149)^Q147)</f>
        <v>12805.612158707863</v>
      </c>
    </row>
    <row r="151" spans="2:17" ht="15.75" thickBot="1" x14ac:dyDescent="0.3">
      <c r="I151" s="178" t="s">
        <v>369</v>
      </c>
      <c r="J151" s="177">
        <f>SUM(J150:P150)</f>
        <v>89418.244823587636</v>
      </c>
    </row>
    <row r="152" spans="2:17" ht="15" x14ac:dyDescent="0.25">
      <c r="B152" t="s">
        <v>370</v>
      </c>
      <c r="C152" s="183">
        <v>0.04</v>
      </c>
      <c r="I152" s="56"/>
      <c r="J152" s="1"/>
    </row>
    <row r="153" spans="2:17" x14ac:dyDescent="0.2">
      <c r="B153" t="s">
        <v>258</v>
      </c>
      <c r="J153" s="114"/>
      <c r="N153" s="151">
        <f>Q150/(Q149-C152)</f>
        <v>487307.53221746365</v>
      </c>
    </row>
    <row r="154" spans="2:17" x14ac:dyDescent="0.2">
      <c r="B154" s="108" t="s">
        <v>257</v>
      </c>
      <c r="C154" s="108"/>
      <c r="D154" s="108"/>
      <c r="E154" s="108"/>
      <c r="F154" s="108"/>
      <c r="G154" s="108"/>
      <c r="H154" s="108"/>
      <c r="I154" s="108"/>
      <c r="J154" s="108"/>
      <c r="K154" s="108"/>
      <c r="L154" s="108"/>
      <c r="M154" s="108"/>
      <c r="N154" s="180">
        <f>N153/((1+Q149)^Q147)</f>
        <v>291634.27637014206</v>
      </c>
    </row>
    <row r="155" spans="2:17" ht="15" x14ac:dyDescent="0.25">
      <c r="B155" s="56" t="s">
        <v>256</v>
      </c>
      <c r="C155" s="56"/>
      <c r="D155" s="56"/>
      <c r="E155" s="56"/>
      <c r="F155" s="56"/>
      <c r="G155" s="56"/>
      <c r="H155" s="56"/>
      <c r="I155" s="56"/>
      <c r="J155" s="56"/>
      <c r="K155" s="56"/>
      <c r="L155" s="56"/>
      <c r="M155" s="56"/>
      <c r="N155" s="181">
        <f>J151+N154</f>
        <v>381052.52119372971</v>
      </c>
    </row>
    <row r="156" spans="2:17" x14ac:dyDescent="0.2">
      <c r="B156" s="113" t="s">
        <v>255</v>
      </c>
      <c r="N156" s="112">
        <v>3760</v>
      </c>
    </row>
    <row r="157" spans="2:17" x14ac:dyDescent="0.2">
      <c r="B157" s="111" t="s">
        <v>254</v>
      </c>
      <c r="C157" s="108"/>
      <c r="D157" s="108"/>
      <c r="E157" s="108"/>
      <c r="F157" s="108"/>
      <c r="G157" s="108"/>
      <c r="H157" s="108"/>
      <c r="I157" s="108"/>
      <c r="J157" s="108"/>
      <c r="K157" s="108"/>
      <c r="L157" s="108"/>
      <c r="M157" s="108"/>
      <c r="N157" s="110">
        <v>42743</v>
      </c>
    </row>
    <row r="158" spans="2:17" ht="15" x14ac:dyDescent="0.25">
      <c r="B158" s="56" t="s">
        <v>253</v>
      </c>
      <c r="C158" s="56"/>
      <c r="D158" s="56"/>
      <c r="E158" s="56"/>
      <c r="F158" s="56"/>
      <c r="G158" s="56"/>
      <c r="H158" s="56"/>
      <c r="I158" s="56"/>
      <c r="J158" s="56"/>
      <c r="K158" s="56"/>
      <c r="L158" s="56"/>
      <c r="M158" s="56"/>
      <c r="N158" s="109">
        <f>N155+N156-N157</f>
        <v>342069.52119372971</v>
      </c>
    </row>
    <row r="159" spans="2:17" x14ac:dyDescent="0.2">
      <c r="B159" s="108" t="s">
        <v>252</v>
      </c>
      <c r="C159" s="108"/>
      <c r="D159" s="108"/>
      <c r="E159" s="108"/>
      <c r="F159" s="108"/>
      <c r="G159" s="108"/>
      <c r="H159" s="108"/>
      <c r="I159" s="108"/>
      <c r="J159" s="108"/>
      <c r="K159" s="108"/>
      <c r="L159" s="108"/>
      <c r="M159" s="108"/>
      <c r="N159" s="107">
        <f>991614186/1000000</f>
        <v>991.61418600000002</v>
      </c>
    </row>
    <row r="160" spans="2:17" ht="15" x14ac:dyDescent="0.25">
      <c r="B160" s="56" t="s">
        <v>374</v>
      </c>
      <c r="C160" s="56"/>
      <c r="D160" s="56"/>
      <c r="E160" s="56"/>
      <c r="F160" s="56"/>
      <c r="G160" s="56"/>
      <c r="H160" s="56"/>
      <c r="I160" s="56"/>
      <c r="J160" s="56"/>
      <c r="K160" s="56"/>
      <c r="L160" s="56"/>
      <c r="M160" s="56"/>
      <c r="N160" s="182">
        <f>N158/N159</f>
        <v>344.96231097053879</v>
      </c>
    </row>
    <row r="161" spans="2:14" ht="15.75" thickBot="1" x14ac:dyDescent="0.3">
      <c r="B161" s="56" t="s">
        <v>371</v>
      </c>
      <c r="C161" s="56"/>
      <c r="D161" s="56"/>
      <c r="E161" s="56"/>
      <c r="F161" s="56"/>
      <c r="G161" s="56"/>
      <c r="H161" s="56"/>
      <c r="I161" s="56"/>
      <c r="J161" s="56"/>
      <c r="K161" s="56"/>
      <c r="L161" s="56"/>
      <c r="M161" s="56"/>
      <c r="N161" s="182">
        <v>330</v>
      </c>
    </row>
    <row r="162" spans="2:14" ht="15.75" thickBot="1" x14ac:dyDescent="0.3">
      <c r="B162" s="56" t="s">
        <v>372</v>
      </c>
      <c r="N162" s="184">
        <f>(N160-N161)/N161</f>
        <v>4.5340336274359981E-2</v>
      </c>
    </row>
  </sheetData>
  <mergeCells count="9">
    <mergeCell ref="N5:V7"/>
    <mergeCell ref="H33:I33"/>
    <mergeCell ref="H34:I34"/>
    <mergeCell ref="H149:I149"/>
    <mergeCell ref="H71:I71"/>
    <mergeCell ref="H72:I72"/>
    <mergeCell ref="H109:I109"/>
    <mergeCell ref="H110:I110"/>
    <mergeCell ref="H148:I14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6D47-4FE4-41AA-8E4D-57A99FF73548}">
  <sheetPr>
    <tabColor rgb="FF00B050"/>
  </sheetPr>
  <dimension ref="A3:T53"/>
  <sheetViews>
    <sheetView showGridLines="0" topLeftCell="A16" workbookViewId="0">
      <selection activeCell="O40" sqref="O40"/>
    </sheetView>
  </sheetViews>
  <sheetFormatPr defaultRowHeight="14.25" x14ac:dyDescent="0.2"/>
  <cols>
    <col min="1" max="1" width="9.875" bestFit="1" customWidth="1"/>
  </cols>
  <sheetData>
    <row r="3" spans="1:20" x14ac:dyDescent="0.2">
      <c r="E3" s="243" t="s">
        <v>377</v>
      </c>
      <c r="F3" s="243"/>
      <c r="G3" s="243"/>
      <c r="H3" s="243"/>
      <c r="I3" s="243"/>
      <c r="J3" s="243"/>
      <c r="K3" s="243"/>
      <c r="L3" s="243"/>
      <c r="M3" s="243"/>
      <c r="N3" s="243"/>
      <c r="O3" s="243"/>
      <c r="P3" s="243"/>
      <c r="Q3" s="243"/>
      <c r="R3" s="243"/>
      <c r="S3" s="243"/>
      <c r="T3" s="243"/>
    </row>
    <row r="4" spans="1:20" x14ac:dyDescent="0.2">
      <c r="E4" s="243"/>
      <c r="F4" s="243"/>
      <c r="G4" s="243"/>
      <c r="H4" s="243"/>
      <c r="I4" s="243"/>
      <c r="J4" s="243"/>
      <c r="K4" s="243"/>
      <c r="L4" s="243"/>
      <c r="M4" s="243"/>
      <c r="N4" s="243"/>
      <c r="O4" s="243"/>
      <c r="P4" s="243"/>
      <c r="Q4" s="243"/>
      <c r="R4" s="243"/>
      <c r="S4" s="243"/>
      <c r="T4" s="243"/>
    </row>
    <row r="5" spans="1:20" x14ac:dyDescent="0.2">
      <c r="E5" s="243"/>
      <c r="F5" s="243"/>
      <c r="G5" s="243"/>
      <c r="H5" s="243"/>
      <c r="I5" s="243"/>
      <c r="J5" s="243"/>
      <c r="K5" s="243"/>
      <c r="L5" s="243"/>
      <c r="M5" s="243"/>
      <c r="N5" s="243"/>
      <c r="O5" s="243"/>
      <c r="P5" s="243"/>
      <c r="Q5" s="243"/>
      <c r="R5" s="243"/>
      <c r="S5" s="243"/>
      <c r="T5" s="243"/>
    </row>
    <row r="6" spans="1:20" x14ac:dyDescent="0.2">
      <c r="E6" s="243"/>
      <c r="F6" s="243"/>
      <c r="G6" s="243"/>
      <c r="H6" s="243"/>
      <c r="I6" s="243"/>
      <c r="J6" s="243"/>
      <c r="K6" s="243"/>
      <c r="L6" s="243"/>
      <c r="M6" s="243"/>
      <c r="N6" s="243"/>
      <c r="O6" s="243"/>
      <c r="P6" s="243"/>
      <c r="Q6" s="243"/>
      <c r="R6" s="243"/>
      <c r="S6" s="243"/>
      <c r="T6" s="243"/>
    </row>
    <row r="7" spans="1:20" x14ac:dyDescent="0.2">
      <c r="E7" s="243"/>
      <c r="F7" s="243"/>
      <c r="G7" s="243"/>
      <c r="H7" s="243"/>
      <c r="I7" s="243"/>
      <c r="J7" s="243"/>
      <c r="K7" s="243"/>
      <c r="L7" s="243"/>
      <c r="M7" s="243"/>
      <c r="N7" s="243"/>
      <c r="O7" s="243"/>
      <c r="P7" s="243"/>
      <c r="Q7" s="243"/>
      <c r="R7" s="243"/>
      <c r="S7" s="243"/>
      <c r="T7" s="243"/>
    </row>
    <row r="9" spans="1:20" x14ac:dyDescent="0.2">
      <c r="A9" t="s">
        <v>378</v>
      </c>
    </row>
    <row r="10" spans="1:20" x14ac:dyDescent="0.2">
      <c r="A10" t="s">
        <v>379</v>
      </c>
    </row>
    <row r="11" spans="1:20" x14ac:dyDescent="0.2">
      <c r="A11" t="s">
        <v>380</v>
      </c>
    </row>
    <row r="12" spans="1:20" x14ac:dyDescent="0.2">
      <c r="A12" t="s">
        <v>381</v>
      </c>
    </row>
    <row r="13" spans="1:20" x14ac:dyDescent="0.2">
      <c r="A13" t="s">
        <v>382</v>
      </c>
    </row>
    <row r="14" spans="1:20" x14ac:dyDescent="0.2">
      <c r="A14" t="s">
        <v>383</v>
      </c>
    </row>
    <row r="16" spans="1:20" x14ac:dyDescent="0.2">
      <c r="A16" t="s">
        <v>384</v>
      </c>
    </row>
    <row r="18" spans="1:1" x14ac:dyDescent="0.2">
      <c r="A18" t="s">
        <v>385</v>
      </c>
    </row>
    <row r="19" spans="1:1" x14ac:dyDescent="0.2">
      <c r="A19" t="s">
        <v>386</v>
      </c>
    </row>
    <row r="20" spans="1:1" x14ac:dyDescent="0.2">
      <c r="A20" t="s">
        <v>395</v>
      </c>
    </row>
    <row r="21" spans="1:1" x14ac:dyDescent="0.2">
      <c r="A21" t="s">
        <v>387</v>
      </c>
    </row>
    <row r="23" spans="1:1" x14ac:dyDescent="0.2">
      <c r="A23" t="s">
        <v>388</v>
      </c>
    </row>
    <row r="24" spans="1:1" ht="15" x14ac:dyDescent="0.25">
      <c r="A24" t="s">
        <v>396</v>
      </c>
    </row>
    <row r="25" spans="1:1" x14ac:dyDescent="0.2">
      <c r="A25" t="s">
        <v>397</v>
      </c>
    </row>
    <row r="26" spans="1:1" ht="15" x14ac:dyDescent="0.25">
      <c r="A26" s="56" t="s">
        <v>389</v>
      </c>
    </row>
    <row r="28" spans="1:1" x14ac:dyDescent="0.2">
      <c r="A28" t="s">
        <v>390</v>
      </c>
    </row>
    <row r="29" spans="1:1" x14ac:dyDescent="0.2">
      <c r="A29" t="s">
        <v>391</v>
      </c>
    </row>
    <row r="30" spans="1:1" x14ac:dyDescent="0.2">
      <c r="A30" t="s">
        <v>392</v>
      </c>
    </row>
    <row r="31" spans="1:1" x14ac:dyDescent="0.2">
      <c r="A31" t="s">
        <v>394</v>
      </c>
    </row>
    <row r="33" spans="1:11" x14ac:dyDescent="0.2">
      <c r="A33" t="s">
        <v>393</v>
      </c>
    </row>
    <row r="35" spans="1:11" x14ac:dyDescent="0.2">
      <c r="A35" t="s">
        <v>398</v>
      </c>
    </row>
    <row r="36" spans="1:11" ht="15" thickBot="1" x14ac:dyDescent="0.25"/>
    <row r="37" spans="1:11" x14ac:dyDescent="0.2">
      <c r="D37" s="239" t="s">
        <v>399</v>
      </c>
      <c r="E37" s="240"/>
    </row>
    <row r="38" spans="1:11" ht="15" thickBot="1" x14ac:dyDescent="0.25">
      <c r="D38" s="241"/>
      <c r="E38" s="242"/>
    </row>
    <row r="40" spans="1:11" x14ac:dyDescent="0.2">
      <c r="A40" t="s">
        <v>400</v>
      </c>
    </row>
    <row r="41" spans="1:11" x14ac:dyDescent="0.2">
      <c r="A41" t="s">
        <v>401</v>
      </c>
    </row>
    <row r="43" spans="1:11" x14ac:dyDescent="0.2">
      <c r="A43" t="s">
        <v>402</v>
      </c>
      <c r="B43" s="1">
        <v>330</v>
      </c>
      <c r="C43" s="1">
        <v>300</v>
      </c>
      <c r="D43" s="1">
        <v>380</v>
      </c>
      <c r="E43" s="1"/>
      <c r="F43" s="1"/>
      <c r="G43" s="1"/>
      <c r="H43" s="1"/>
      <c r="I43" s="1"/>
      <c r="J43" s="1"/>
      <c r="K43" s="1"/>
    </row>
    <row r="44" spans="1:11" x14ac:dyDescent="0.2">
      <c r="A44" t="s">
        <v>403</v>
      </c>
      <c r="B44" s="244" t="s">
        <v>404</v>
      </c>
      <c r="C44" s="245" t="s">
        <v>405</v>
      </c>
      <c r="D44" s="246" t="s">
        <v>406</v>
      </c>
    </row>
    <row r="45" spans="1:11" x14ac:dyDescent="0.2">
      <c r="B45" s="28"/>
      <c r="C45" s="28"/>
      <c r="D45" s="28"/>
    </row>
    <row r="46" spans="1:11" x14ac:dyDescent="0.2">
      <c r="A46" t="s">
        <v>417</v>
      </c>
      <c r="G46" t="s">
        <v>419</v>
      </c>
      <c r="H46" s="247">
        <f>80/300</f>
        <v>0.26666666666666666</v>
      </c>
      <c r="J46" t="s">
        <v>418</v>
      </c>
      <c r="K46" t="s">
        <v>420</v>
      </c>
    </row>
    <row r="48" spans="1:11" x14ac:dyDescent="0.2">
      <c r="A48" t="s">
        <v>407</v>
      </c>
      <c r="B48" t="s">
        <v>408</v>
      </c>
      <c r="C48" t="s">
        <v>410</v>
      </c>
      <c r="D48" t="s">
        <v>411</v>
      </c>
      <c r="E48" t="s">
        <v>413</v>
      </c>
      <c r="F48" t="s">
        <v>414</v>
      </c>
    </row>
    <row r="49" spans="1:6" x14ac:dyDescent="0.2">
      <c r="A49" t="s">
        <v>403</v>
      </c>
      <c r="B49" t="s">
        <v>409</v>
      </c>
      <c r="C49" t="s">
        <v>409</v>
      </c>
      <c r="D49" t="s">
        <v>412</v>
      </c>
      <c r="E49" t="s">
        <v>412</v>
      </c>
      <c r="F49" t="s">
        <v>415</v>
      </c>
    </row>
    <row r="52" spans="1:6" x14ac:dyDescent="0.2">
      <c r="A52" t="s">
        <v>416</v>
      </c>
    </row>
    <row r="53" spans="1:6" x14ac:dyDescent="0.2">
      <c r="A53" s="114">
        <v>45443</v>
      </c>
    </row>
  </sheetData>
  <mergeCells count="2">
    <mergeCell ref="E3:T7"/>
    <mergeCell ref="D37:E3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5347-460F-4150-9AB1-81547AF29C9E}">
  <sheetPr>
    <tabColor theme="1"/>
  </sheetPr>
  <dimension ref="A1:A5"/>
  <sheetViews>
    <sheetView showGridLines="0" workbookViewId="0">
      <selection activeCell="G17" sqref="G17"/>
    </sheetView>
  </sheetViews>
  <sheetFormatPr defaultRowHeight="14.25" x14ac:dyDescent="0.2"/>
  <sheetData>
    <row r="1" spans="1:1" x14ac:dyDescent="0.2">
      <c r="A1" t="s">
        <v>150</v>
      </c>
    </row>
    <row r="2" spans="1:1" x14ac:dyDescent="0.2">
      <c r="A2" t="s">
        <v>146</v>
      </c>
    </row>
    <row r="3" spans="1:1" x14ac:dyDescent="0.2">
      <c r="A3" t="s">
        <v>147</v>
      </c>
    </row>
    <row r="4" spans="1:1" x14ac:dyDescent="0.2">
      <c r="A4" t="s">
        <v>148</v>
      </c>
    </row>
    <row r="5" spans="1:1" x14ac:dyDescent="0.2">
      <c r="A5"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DCE3A-6CB7-4576-9191-EF1AF13B5E19}">
  <sheetPr>
    <tabColor theme="0"/>
  </sheetPr>
  <dimension ref="D5:J14"/>
  <sheetViews>
    <sheetView topLeftCell="A4" workbookViewId="0">
      <selection activeCell="I5" sqref="I5"/>
    </sheetView>
  </sheetViews>
  <sheetFormatPr defaultRowHeight="14.25" x14ac:dyDescent="0.2"/>
  <cols>
    <col min="5" max="5" width="16.5" customWidth="1"/>
    <col min="8" max="8" width="9.75" customWidth="1"/>
    <col min="9" max="9" width="13.375" customWidth="1"/>
  </cols>
  <sheetData>
    <row r="5" spans="4:10" x14ac:dyDescent="0.2">
      <c r="D5" t="s">
        <v>303</v>
      </c>
      <c r="E5" t="s">
        <v>309</v>
      </c>
      <c r="F5" t="s">
        <v>259</v>
      </c>
      <c r="G5" t="s">
        <v>155</v>
      </c>
      <c r="H5" t="s">
        <v>305</v>
      </c>
      <c r="I5" t="s">
        <v>306</v>
      </c>
      <c r="J5" t="s">
        <v>307</v>
      </c>
    </row>
    <row r="8" spans="4:10" x14ac:dyDescent="0.2">
      <c r="D8" t="s">
        <v>310</v>
      </c>
    </row>
    <row r="10" spans="4:10" x14ac:dyDescent="0.2">
      <c r="D10" t="s">
        <v>312</v>
      </c>
    </row>
    <row r="12" spans="4:10" x14ac:dyDescent="0.2">
      <c r="D12" t="s">
        <v>313</v>
      </c>
    </row>
    <row r="14" spans="4:10" x14ac:dyDescent="0.2">
      <c r="D1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1.Openning</vt:lpstr>
      <vt:lpstr>2.Equity</vt:lpstr>
      <vt:lpstr>3.Debt</vt:lpstr>
      <vt:lpstr>4.WACC</vt:lpstr>
      <vt:lpstr>5.Story&amp;estimations</vt:lpstr>
      <vt:lpstr>6.DCF</vt:lpstr>
      <vt:lpstr>7.CONCLUSION - BUY OR SELL</vt:lpstr>
      <vt:lpstr>Sources</vt:lpstr>
      <vt:lpstr>Sheet4</vt:lpstr>
      <vt:lpstr>tgr</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איתי דיין</dc:creator>
  <cp:lastModifiedBy>רועי דיין</cp:lastModifiedBy>
  <dcterms:created xsi:type="dcterms:W3CDTF">2015-06-05T18:17:20Z</dcterms:created>
  <dcterms:modified xsi:type="dcterms:W3CDTF">2024-05-31T17:12:53Z</dcterms:modified>
</cp:coreProperties>
</file>