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ml.chartshape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5.xml" ContentType="application/vnd.openxmlformats-officedocument.drawingml.chartshapes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8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USER\Desktop\borsa\DCF\Companies\specifics\JBI\"/>
    </mc:Choice>
  </mc:AlternateContent>
  <xr:revisionPtr revIDLastSave="0" documentId="13_ncr:1_{2D41C957-C3C3-4BAE-8820-9B8E15BAF094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OVERVIEW" sheetId="1" r:id="rId1"/>
    <sheet name="Analysis" sheetId="6" r:id="rId2"/>
    <sheet name="WACC" sheetId="3" r:id="rId3"/>
    <sheet name="estimations" sheetId="4" r:id="rId4"/>
    <sheet name="DCF" sheetId="5" r:id="rId5"/>
    <sheet name="data" sheetId="2" r:id="rId6"/>
  </sheets>
  <definedNames>
    <definedName name="tgr">DCF!#REF!</definedName>
    <definedName name="wacc">DCF!#REF!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5" l="1"/>
  <c r="S98" i="6"/>
  <c r="T98" i="6" s="1"/>
  <c r="R98" i="6"/>
  <c r="T96" i="6"/>
  <c r="T95" i="6"/>
  <c r="T94" i="6"/>
  <c r="T90" i="6"/>
  <c r="R89" i="6"/>
  <c r="T89" i="6" s="1"/>
  <c r="S88" i="6"/>
  <c r="T88" i="6" s="1"/>
  <c r="R88" i="6"/>
  <c r="S87" i="6"/>
  <c r="R87" i="6"/>
  <c r="R91" i="6" s="1"/>
  <c r="D47" i="4"/>
  <c r="C47" i="4"/>
  <c r="C40" i="4"/>
  <c r="E45" i="4"/>
  <c r="X76" i="6"/>
  <c r="W76" i="6"/>
  <c r="U76" i="6"/>
  <c r="U75" i="6"/>
  <c r="W57" i="6"/>
  <c r="X57" i="6"/>
  <c r="U57" i="6"/>
  <c r="U56" i="6"/>
  <c r="X74" i="6"/>
  <c r="X75" i="6"/>
  <c r="X73" i="6"/>
  <c r="X41" i="6"/>
  <c r="X67" i="6"/>
  <c r="X68" i="6"/>
  <c r="X69" i="6"/>
  <c r="X66" i="6"/>
  <c r="W74" i="6"/>
  <c r="W75" i="6"/>
  <c r="W73" i="6"/>
  <c r="W69" i="6"/>
  <c r="W68" i="6"/>
  <c r="W67" i="6"/>
  <c r="W66" i="6"/>
  <c r="W41" i="6"/>
  <c r="W42" i="6"/>
  <c r="W43" i="6"/>
  <c r="W44" i="6"/>
  <c r="W45" i="6"/>
  <c r="W47" i="6"/>
  <c r="W48" i="6"/>
  <c r="W49" i="6"/>
  <c r="W50" i="6"/>
  <c r="W51" i="6"/>
  <c r="W52" i="6"/>
  <c r="W53" i="6"/>
  <c r="W54" i="6"/>
  <c r="W55" i="6"/>
  <c r="W56" i="6"/>
  <c r="U82" i="6"/>
  <c r="U83" i="6"/>
  <c r="U81" i="6"/>
  <c r="U74" i="6"/>
  <c r="U73" i="6"/>
  <c r="U69" i="6"/>
  <c r="U68" i="6"/>
  <c r="U67" i="6"/>
  <c r="U43" i="6"/>
  <c r="U44" i="6"/>
  <c r="U45" i="6"/>
  <c r="U46" i="6"/>
  <c r="U47" i="6"/>
  <c r="U48" i="6"/>
  <c r="U49" i="6"/>
  <c r="U50" i="6"/>
  <c r="U51" i="6"/>
  <c r="U52" i="6"/>
  <c r="U53" i="6"/>
  <c r="U54" i="6"/>
  <c r="U55" i="6"/>
  <c r="U42" i="6"/>
  <c r="X56" i="6"/>
  <c r="X55" i="6"/>
  <c r="X54" i="6"/>
  <c r="X53" i="6"/>
  <c r="X52" i="6"/>
  <c r="X51" i="6"/>
  <c r="X50" i="6"/>
  <c r="X49" i="6"/>
  <c r="X48" i="6"/>
  <c r="X47" i="6"/>
  <c r="X46" i="6"/>
  <c r="X45" i="6"/>
  <c r="X44" i="6"/>
  <c r="X43" i="6"/>
  <c r="X42" i="6"/>
  <c r="C21" i="6"/>
  <c r="C19" i="6"/>
  <c r="C17" i="6"/>
  <c r="C16" i="6"/>
  <c r="C14" i="6"/>
  <c r="C13" i="6"/>
  <c r="C11" i="6"/>
  <c r="G7" i="6"/>
  <c r="G6" i="6"/>
  <c r="G5" i="6"/>
  <c r="C5" i="6"/>
  <c r="H79" i="2"/>
  <c r="H67" i="4"/>
  <c r="K4" i="5"/>
  <c r="L4" i="5"/>
  <c r="M4" i="5"/>
  <c r="N4" i="5"/>
  <c r="O4" i="5"/>
  <c r="P4" i="5"/>
  <c r="Q4" i="5"/>
  <c r="R4" i="5"/>
  <c r="S4" i="5"/>
  <c r="N79" i="2"/>
  <c r="L83" i="2"/>
  <c r="K83" i="2"/>
  <c r="J83" i="2"/>
  <c r="H83" i="2"/>
  <c r="F83" i="2"/>
  <c r="F82" i="2"/>
  <c r="G83" i="2"/>
  <c r="H80" i="2"/>
  <c r="E39" i="4"/>
  <c r="D37" i="4"/>
  <c r="D36" i="4"/>
  <c r="D40" i="4" s="1"/>
  <c r="C38" i="4"/>
  <c r="E38" i="4" s="1"/>
  <c r="C37" i="4"/>
  <c r="E37" i="4" s="1"/>
  <c r="C3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N37" i="5"/>
  <c r="K27" i="5"/>
  <c r="L27" i="5"/>
  <c r="M27" i="5"/>
  <c r="N27" i="5"/>
  <c r="O27" i="5"/>
  <c r="P27" i="5"/>
  <c r="Q27" i="5"/>
  <c r="R27" i="5"/>
  <c r="S27" i="5"/>
  <c r="J27" i="5"/>
  <c r="K81" i="2"/>
  <c r="L80" i="2"/>
  <c r="L81" i="2"/>
  <c r="L82" i="2"/>
  <c r="L79" i="2"/>
  <c r="K80" i="2"/>
  <c r="K82" i="2"/>
  <c r="K79" i="2"/>
  <c r="H81" i="2"/>
  <c r="H82" i="2"/>
  <c r="G80" i="2"/>
  <c r="G81" i="2"/>
  <c r="G82" i="2"/>
  <c r="G79" i="2"/>
  <c r="T87" i="6" l="1"/>
  <c r="S91" i="6"/>
  <c r="U95" i="6"/>
  <c r="U88" i="6"/>
  <c r="U96" i="6"/>
  <c r="U94" i="6"/>
  <c r="E47" i="4"/>
  <c r="F45" i="4"/>
  <c r="F44" i="4"/>
  <c r="E44" i="4"/>
  <c r="E43" i="4"/>
  <c r="F43" i="4"/>
  <c r="E40" i="4"/>
  <c r="F36" i="4"/>
  <c r="F38" i="4"/>
  <c r="C54" i="4" s="1"/>
  <c r="F37" i="4"/>
  <c r="E36" i="4"/>
  <c r="F81" i="2"/>
  <c r="F79" i="2"/>
  <c r="F80" i="2"/>
  <c r="I6" i="5"/>
  <c r="J6" i="5" s="1"/>
  <c r="K6" i="5" s="1"/>
  <c r="L6" i="5" s="1"/>
  <c r="M6" i="5" s="1"/>
  <c r="N6" i="5" s="1"/>
  <c r="O6" i="5" s="1"/>
  <c r="P6" i="5" s="1"/>
  <c r="Q6" i="5" s="1"/>
  <c r="R6" i="5" s="1"/>
  <c r="T91" i="6" l="1"/>
  <c r="U89" i="6"/>
  <c r="U87" i="6"/>
  <c r="C53" i="4"/>
  <c r="R10" i="5"/>
  <c r="R14" i="5" s="1"/>
  <c r="R26" i="5" s="1"/>
  <c r="S6" i="5"/>
  <c r="L10" i="5"/>
  <c r="L14" i="5" s="1"/>
  <c r="L26" i="5" s="1"/>
  <c r="R28" i="5" l="1"/>
  <c r="J10" i="5"/>
  <c r="J14" i="5" s="1"/>
  <c r="J26" i="5" s="1"/>
  <c r="J28" i="5" s="1"/>
  <c r="L22" i="5"/>
  <c r="L28" i="5" s="1"/>
  <c r="J22" i="5"/>
  <c r="K22" i="5"/>
  <c r="K10" i="5"/>
  <c r="K14" i="5" s="1"/>
  <c r="K26" i="5" s="1"/>
  <c r="M10" i="5"/>
  <c r="M14" i="5" s="1"/>
  <c r="M26" i="5" s="1"/>
  <c r="M22" i="5"/>
  <c r="K28" i="5" l="1"/>
  <c r="M28" i="5"/>
  <c r="N22" i="5"/>
  <c r="N10" i="5"/>
  <c r="N14" i="5" s="1"/>
  <c r="N26" i="5" s="1"/>
  <c r="N28" i="5" l="1"/>
  <c r="O10" i="5"/>
  <c r="O14" i="5" s="1"/>
  <c r="O26" i="5" s="1"/>
  <c r="O22" i="5"/>
  <c r="O28" i="5" l="1"/>
  <c r="J29" i="5" s="1"/>
  <c r="P10" i="5"/>
  <c r="P14" i="5" s="1"/>
  <c r="P26" i="5" s="1"/>
  <c r="P22" i="5"/>
  <c r="P28" i="5" l="1"/>
  <c r="Q10" i="5"/>
  <c r="Q14" i="5" s="1"/>
  <c r="Q26" i="5" s="1"/>
  <c r="Q22" i="5"/>
  <c r="Q28" i="5" l="1"/>
  <c r="S22" i="5"/>
  <c r="S10" i="5"/>
  <c r="S14" i="5" s="1"/>
  <c r="S26" i="5" s="1"/>
  <c r="S28" i="5" s="1"/>
  <c r="N31" i="5" s="1"/>
  <c r="N32" i="5" s="1"/>
  <c r="N33" i="5" s="1"/>
  <c r="N36" i="5" l="1"/>
  <c r="N38" i="5" s="1"/>
  <c r="N40" i="5" s="1"/>
  <c r="F7" i="4"/>
  <c r="F8" i="4"/>
  <c r="F9" i="4"/>
  <c r="F6" i="4"/>
  <c r="H9" i="4"/>
  <c r="H8" i="4"/>
  <c r="H7" i="4"/>
  <c r="D8" i="4"/>
  <c r="D9" i="4"/>
  <c r="D7" i="4"/>
  <c r="L164" i="3"/>
  <c r="D165" i="3"/>
  <c r="M164" i="3"/>
  <c r="C164" i="3"/>
  <c r="B160" i="3"/>
  <c r="C156" i="3"/>
  <c r="D155" i="3"/>
  <c r="C155" i="3"/>
  <c r="D154" i="3"/>
  <c r="C154" i="3"/>
  <c r="D153" i="3"/>
  <c r="C153" i="3"/>
  <c r="D149" i="3"/>
  <c r="C149" i="3"/>
  <c r="D156" i="3"/>
  <c r="C157" i="3"/>
  <c r="D152" i="3"/>
  <c r="C152" i="3"/>
  <c r="D151" i="3"/>
  <c r="C151" i="3"/>
  <c r="C150" i="3"/>
  <c r="E136" i="3"/>
  <c r="E132" i="3"/>
  <c r="E133" i="3"/>
  <c r="E134" i="3"/>
  <c r="E135" i="3"/>
  <c r="E131" i="3"/>
  <c r="C122" i="3"/>
  <c r="G120" i="3"/>
  <c r="C120" i="3"/>
  <c r="N119" i="3"/>
  <c r="O119" i="3" s="1"/>
  <c r="M119" i="3"/>
  <c r="M120" i="3" s="1"/>
  <c r="D119" i="3"/>
  <c r="E119" i="3"/>
  <c r="F119" i="3"/>
  <c r="G119" i="3"/>
  <c r="H119" i="3"/>
  <c r="I119" i="3"/>
  <c r="J119" i="3"/>
  <c r="K119" i="3"/>
  <c r="L119" i="3"/>
  <c r="C119" i="3"/>
  <c r="H105" i="3"/>
  <c r="I105" i="3"/>
  <c r="J105" i="3" s="1"/>
  <c r="K105" i="3" s="1"/>
  <c r="L105" i="3" s="1"/>
  <c r="M105" i="3" s="1"/>
  <c r="N105" i="3" s="1"/>
  <c r="O105" i="3" s="1"/>
  <c r="P105" i="3" s="1"/>
  <c r="H104" i="3"/>
  <c r="I104" i="3" s="1"/>
  <c r="J104" i="3" s="1"/>
  <c r="K104" i="3" s="1"/>
  <c r="L104" i="3" s="1"/>
  <c r="M104" i="3" s="1"/>
  <c r="N104" i="3" s="1"/>
  <c r="O104" i="3" s="1"/>
  <c r="P104" i="3" s="1"/>
  <c r="Q104" i="3"/>
  <c r="G104" i="3"/>
  <c r="N120" i="3"/>
  <c r="L120" i="3"/>
  <c r="E118" i="3"/>
  <c r="F118" i="3" s="1"/>
  <c r="D118" i="3"/>
  <c r="D120" i="3" s="1"/>
  <c r="C118" i="3"/>
  <c r="D109" i="3"/>
  <c r="D107" i="3"/>
  <c r="E120" i="3"/>
  <c r="D150" i="3" l="1"/>
  <c r="O120" i="3"/>
  <c r="P119" i="3"/>
  <c r="G118" i="3"/>
  <c r="F120" i="3"/>
  <c r="D157" i="3" l="1"/>
  <c r="P120" i="3"/>
  <c r="Q119" i="3"/>
  <c r="H118" i="3"/>
  <c r="E165" i="3" l="1"/>
  <c r="F165" i="3" s="1"/>
  <c r="G165" i="3" s="1"/>
  <c r="H165" i="3" s="1"/>
  <c r="I165" i="3" s="1"/>
  <c r="J165" i="3" s="1"/>
  <c r="K165" i="3" s="1"/>
  <c r="L165" i="3" s="1"/>
  <c r="F160" i="3"/>
  <c r="Q120" i="3"/>
  <c r="R119" i="3"/>
  <c r="I118" i="3"/>
  <c r="H120" i="3"/>
  <c r="D164" i="3" l="1"/>
  <c r="E164" i="3" s="1"/>
  <c r="F164" i="3" s="1"/>
  <c r="G164" i="3" s="1"/>
  <c r="H164" i="3" s="1"/>
  <c r="I164" i="3" s="1"/>
  <c r="J164" i="3" s="1"/>
  <c r="K164" i="3" s="1"/>
  <c r="S119" i="3"/>
  <c r="R120" i="3"/>
  <c r="J118" i="3"/>
  <c r="I120" i="3"/>
  <c r="S120" i="3" l="1"/>
  <c r="T119" i="3"/>
  <c r="K118" i="3"/>
  <c r="J120" i="3"/>
  <c r="T120" i="3" l="1"/>
  <c r="U119" i="3"/>
  <c r="L118" i="3"/>
  <c r="K120" i="3"/>
  <c r="U120" i="3" l="1"/>
  <c r="V119" i="3"/>
  <c r="M118" i="3"/>
  <c r="N118" i="3" s="1"/>
  <c r="O118" i="3" s="1"/>
  <c r="P118" i="3" s="1"/>
  <c r="Q118" i="3" s="1"/>
  <c r="R118" i="3" s="1"/>
  <c r="S118" i="3" s="1"/>
  <c r="T118" i="3" s="1"/>
  <c r="U118" i="3" s="1"/>
  <c r="V118" i="3" s="1"/>
  <c r="W118" i="3" s="1"/>
  <c r="X118" i="3" s="1"/>
  <c r="Y118" i="3" s="1"/>
  <c r="Z118" i="3" s="1"/>
  <c r="AA118" i="3" s="1"/>
  <c r="AB118" i="3" s="1"/>
  <c r="AC118" i="3" s="1"/>
  <c r="AD118" i="3" s="1"/>
  <c r="AE118" i="3" s="1"/>
  <c r="AF118" i="3" s="1"/>
  <c r="AG118" i="3" s="1"/>
  <c r="AH118" i="3" s="1"/>
  <c r="AI118" i="3" s="1"/>
  <c r="AJ118" i="3" s="1"/>
  <c r="AK118" i="3" s="1"/>
  <c r="AL118" i="3" s="1"/>
  <c r="AM118" i="3" s="1"/>
  <c r="AN118" i="3" s="1"/>
  <c r="AO118" i="3" s="1"/>
  <c r="AP118" i="3" s="1"/>
  <c r="AQ118" i="3" s="1"/>
  <c r="AR118" i="3" s="1"/>
  <c r="AS118" i="3" s="1"/>
  <c r="AT118" i="3" s="1"/>
  <c r="AU118" i="3" s="1"/>
  <c r="AV118" i="3" s="1"/>
  <c r="AW118" i="3" s="1"/>
  <c r="AX118" i="3" s="1"/>
  <c r="AY118" i="3" s="1"/>
  <c r="AZ118" i="3" s="1"/>
  <c r="BA118" i="3" s="1"/>
  <c r="BB118" i="3" s="1"/>
  <c r="BC118" i="3" s="1"/>
  <c r="BD118" i="3" s="1"/>
  <c r="BE118" i="3" s="1"/>
  <c r="BF118" i="3" s="1"/>
  <c r="BG118" i="3" s="1"/>
  <c r="BH118" i="3" s="1"/>
  <c r="BI118" i="3" s="1"/>
  <c r="BJ118" i="3" s="1"/>
  <c r="BK118" i="3" s="1"/>
  <c r="BL118" i="3" s="1"/>
  <c r="BM118" i="3" s="1"/>
  <c r="BN118" i="3" s="1"/>
  <c r="BO118" i="3" s="1"/>
  <c r="BP118" i="3" s="1"/>
  <c r="BQ118" i="3" s="1"/>
  <c r="BR118" i="3" s="1"/>
  <c r="BS118" i="3" s="1"/>
  <c r="BT118" i="3" s="1"/>
  <c r="BU118" i="3" s="1"/>
  <c r="BV118" i="3" s="1"/>
  <c r="BW118" i="3" s="1"/>
  <c r="BX118" i="3" s="1"/>
  <c r="BY118" i="3" s="1"/>
  <c r="BZ118" i="3" s="1"/>
  <c r="CA118" i="3" s="1"/>
  <c r="CB118" i="3" s="1"/>
  <c r="CC118" i="3" s="1"/>
  <c r="CD118" i="3" s="1"/>
  <c r="CE118" i="3" s="1"/>
  <c r="CF118" i="3" s="1"/>
  <c r="CG118" i="3" s="1"/>
  <c r="CH118" i="3" s="1"/>
  <c r="CI118" i="3" s="1"/>
  <c r="CJ118" i="3" s="1"/>
  <c r="CK118" i="3" s="1"/>
  <c r="CL118" i="3" s="1"/>
  <c r="CM118" i="3" s="1"/>
  <c r="CN118" i="3" s="1"/>
  <c r="W119" i="3" l="1"/>
  <c r="V120" i="3"/>
  <c r="W120" i="3" l="1"/>
  <c r="X119" i="3"/>
  <c r="X120" i="3" l="1"/>
  <c r="Y119" i="3"/>
  <c r="Y120" i="3" l="1"/>
  <c r="Z119" i="3"/>
  <c r="AA119" i="3" l="1"/>
  <c r="Z120" i="3"/>
  <c r="AA120" i="3" l="1"/>
  <c r="AB119" i="3"/>
  <c r="AB120" i="3" l="1"/>
  <c r="AC119" i="3"/>
  <c r="AC120" i="3" l="1"/>
  <c r="AD119" i="3"/>
  <c r="AE119" i="3" l="1"/>
  <c r="AD120" i="3"/>
  <c r="AE120" i="3" l="1"/>
  <c r="AF119" i="3"/>
  <c r="AF120" i="3" l="1"/>
  <c r="AG119" i="3"/>
  <c r="AG120" i="3" l="1"/>
  <c r="AH119" i="3"/>
  <c r="AI119" i="3" l="1"/>
  <c r="AH120" i="3"/>
  <c r="AI120" i="3" l="1"/>
  <c r="AJ119" i="3"/>
  <c r="AJ120" i="3" l="1"/>
  <c r="AK119" i="3"/>
  <c r="AK120" i="3" l="1"/>
  <c r="AL119" i="3"/>
  <c r="AM119" i="3" l="1"/>
  <c r="AL120" i="3"/>
  <c r="AM120" i="3" l="1"/>
  <c r="AN119" i="3"/>
  <c r="AN120" i="3" l="1"/>
  <c r="AO119" i="3"/>
  <c r="AO120" i="3" l="1"/>
  <c r="AP119" i="3"/>
  <c r="AQ119" i="3" l="1"/>
  <c r="AP120" i="3"/>
  <c r="AQ120" i="3" l="1"/>
  <c r="AR119" i="3"/>
  <c r="AR120" i="3" l="1"/>
  <c r="AS119" i="3"/>
  <c r="AS120" i="3" l="1"/>
  <c r="AT119" i="3"/>
  <c r="AU119" i="3" l="1"/>
  <c r="AT120" i="3"/>
  <c r="AU120" i="3" l="1"/>
  <c r="AV119" i="3"/>
  <c r="AV120" i="3" l="1"/>
  <c r="AW119" i="3"/>
  <c r="H90" i="3"/>
  <c r="D90" i="3"/>
  <c r="C76" i="3"/>
  <c r="G68" i="3"/>
  <c r="C68" i="3"/>
  <c r="G63" i="3"/>
  <c r="G62" i="3"/>
  <c r="D63" i="3"/>
  <c r="D62" i="3"/>
  <c r="E63" i="3"/>
  <c r="E62" i="3"/>
  <c r="F63" i="3"/>
  <c r="F62" i="3"/>
  <c r="B55" i="3"/>
  <c r="E50" i="3"/>
  <c r="E49" i="3"/>
  <c r="D51" i="3"/>
  <c r="D49" i="3"/>
  <c r="F42" i="3"/>
  <c r="B42" i="3"/>
  <c r="F38" i="3"/>
  <c r="F37" i="3"/>
  <c r="D37" i="3"/>
  <c r="H37" i="3" s="1"/>
  <c r="D38" i="3"/>
  <c r="H38" i="3" s="1"/>
  <c r="H31" i="3"/>
  <c r="F32" i="3"/>
  <c r="H32" i="3" s="1"/>
  <c r="H33" i="3" s="1"/>
  <c r="F31" i="3"/>
  <c r="D32" i="3"/>
  <c r="D31" i="3"/>
  <c r="E25" i="3"/>
  <c r="E24" i="3"/>
  <c r="D26" i="3"/>
  <c r="F10" i="3"/>
  <c r="B10" i="3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52" i="2"/>
  <c r="F51" i="2"/>
  <c r="F50" i="2"/>
  <c r="F49" i="2"/>
  <c r="O20" i="2"/>
  <c r="O21" i="2"/>
  <c r="O22" i="2"/>
  <c r="AW120" i="3" l="1"/>
  <c r="AX119" i="3"/>
  <c r="H39" i="3"/>
  <c r="AY119" i="3" l="1"/>
  <c r="AX120" i="3"/>
  <c r="AY120" i="3" l="1"/>
  <c r="AZ119" i="3"/>
  <c r="AZ120" i="3" l="1"/>
  <c r="BA119" i="3"/>
  <c r="BA120" i="3" l="1"/>
  <c r="BB119" i="3"/>
  <c r="BC119" i="3" l="1"/>
  <c r="BB120" i="3"/>
  <c r="BC120" i="3" l="1"/>
  <c r="BD119" i="3"/>
  <c r="BD120" i="3" l="1"/>
  <c r="BE119" i="3"/>
  <c r="BE120" i="3" l="1"/>
  <c r="BF119" i="3"/>
  <c r="BG119" i="3" l="1"/>
  <c r="BF120" i="3"/>
  <c r="BG120" i="3" l="1"/>
  <c r="BH119" i="3"/>
  <c r="BH120" i="3" l="1"/>
  <c r="BI119" i="3"/>
  <c r="BI120" i="3" l="1"/>
  <c r="BJ119" i="3"/>
  <c r="BK119" i="3" l="1"/>
  <c r="BJ120" i="3"/>
  <c r="BK120" i="3" l="1"/>
  <c r="BL119" i="3"/>
  <c r="BL120" i="3" l="1"/>
  <c r="BM119" i="3"/>
  <c r="BM120" i="3" l="1"/>
  <c r="BN119" i="3"/>
  <c r="BO119" i="3" l="1"/>
  <c r="BN120" i="3"/>
  <c r="BO120" i="3" l="1"/>
  <c r="BP119" i="3"/>
  <c r="BP120" i="3" l="1"/>
  <c r="BQ119" i="3"/>
  <c r="BQ120" i="3" l="1"/>
  <c r="BR119" i="3"/>
  <c r="BS119" i="3" l="1"/>
  <c r="BR120" i="3"/>
  <c r="BS120" i="3" l="1"/>
  <c r="BT119" i="3"/>
  <c r="BT120" i="3" l="1"/>
  <c r="BU119" i="3"/>
  <c r="BU120" i="3" l="1"/>
  <c r="BV119" i="3"/>
  <c r="BW119" i="3" l="1"/>
  <c r="BV120" i="3"/>
  <c r="BW120" i="3" l="1"/>
  <c r="BX119" i="3"/>
  <c r="BX120" i="3" l="1"/>
  <c r="BY119" i="3"/>
  <c r="BY120" i="3" l="1"/>
  <c r="BZ119" i="3"/>
  <c r="CA119" i="3" l="1"/>
  <c r="BZ120" i="3"/>
  <c r="CA120" i="3" l="1"/>
  <c r="CB119" i="3"/>
  <c r="CB120" i="3" l="1"/>
  <c r="CC119" i="3"/>
  <c r="CC120" i="3" l="1"/>
  <c r="CD119" i="3"/>
  <c r="CE119" i="3" l="1"/>
  <c r="CD120" i="3"/>
  <c r="CF119" i="3" l="1"/>
  <c r="CE120" i="3"/>
  <c r="CF120" i="3" l="1"/>
  <c r="CG119" i="3"/>
  <c r="CG120" i="3" l="1"/>
  <c r="CH119" i="3"/>
  <c r="CI119" i="3" l="1"/>
  <c r="CH120" i="3"/>
  <c r="CJ119" i="3" l="1"/>
  <c r="CI120" i="3"/>
  <c r="CJ120" i="3" l="1"/>
  <c r="CK119" i="3"/>
  <c r="CK120" i="3" l="1"/>
  <c r="CL119" i="3"/>
  <c r="CM119" i="3" l="1"/>
  <c r="CL120" i="3"/>
  <c r="CN119" i="3" l="1"/>
  <c r="CN120" i="3" s="1"/>
  <c r="C124" i="3" s="1"/>
  <c r="CM120" i="3"/>
</calcChain>
</file>

<file path=xl/sharedStrings.xml><?xml version="1.0" encoding="utf-8"?>
<sst xmlns="http://schemas.openxmlformats.org/spreadsheetml/2006/main" count="373" uniqueCount="170">
  <si>
    <t>OVERVIEW</t>
  </si>
  <si>
    <r>
      <t xml:space="preserve">providing building solutions to the </t>
    </r>
    <r>
      <rPr>
        <b/>
        <u/>
        <sz val="11"/>
        <color theme="1"/>
        <rFont val="Times New Roman"/>
        <family val="1"/>
      </rPr>
      <t>self-storage industry</t>
    </r>
    <r>
      <rPr>
        <b/>
        <sz val="11"/>
        <color theme="1"/>
        <rFont val="Times New Roman"/>
        <family val="1"/>
      </rPr>
      <t xml:space="preserve"> and the broader </t>
    </r>
    <r>
      <rPr>
        <b/>
        <u/>
        <sz val="11"/>
        <color theme="1"/>
        <rFont val="Times New Roman"/>
        <family val="1"/>
      </rPr>
      <t>commercial industrial marlet</t>
    </r>
  </si>
  <si>
    <t>90% from america</t>
  </si>
  <si>
    <t xml:space="preserve">recently </t>
  </si>
  <si>
    <t>GROWTH</t>
  </si>
  <si>
    <t>REINVESTMENT</t>
  </si>
  <si>
    <t>WACC</t>
  </si>
  <si>
    <t>quarter</t>
  </si>
  <si>
    <t>2024 Q1</t>
  </si>
  <si>
    <t>2023 Q4</t>
  </si>
  <si>
    <t>2023 Q3</t>
  </si>
  <si>
    <t>2023 Q2</t>
  </si>
  <si>
    <t>2023 Q1</t>
  </si>
  <si>
    <t>2020 Q1</t>
  </si>
  <si>
    <t>2020 Q2</t>
  </si>
  <si>
    <t>2020 Q3</t>
  </si>
  <si>
    <t>2020 Q4</t>
  </si>
  <si>
    <t>2021 Q1</t>
  </si>
  <si>
    <t>2021 Q2</t>
  </si>
  <si>
    <t>2021 Q3</t>
  </si>
  <si>
    <t>2021 Q4</t>
  </si>
  <si>
    <t>2022 Q1</t>
  </si>
  <si>
    <t>2022 Q2</t>
  </si>
  <si>
    <t>2022 Q3</t>
  </si>
  <si>
    <t>2022 Q4</t>
  </si>
  <si>
    <t>revenue</t>
  </si>
  <si>
    <t>operating income</t>
  </si>
  <si>
    <t>net income</t>
  </si>
  <si>
    <t>EPS basic</t>
  </si>
  <si>
    <t>EPS diluted</t>
  </si>
  <si>
    <t>%growth</t>
  </si>
  <si>
    <t>net margins</t>
  </si>
  <si>
    <t>EQUITY</t>
  </si>
  <si>
    <t>risk free rate</t>
  </si>
  <si>
    <t>current us 30y bond:</t>
  </si>
  <si>
    <t>average us 30y bond:</t>
  </si>
  <si>
    <t>risk free rate Assumption</t>
  </si>
  <si>
    <t>equity risk premium</t>
  </si>
  <si>
    <t>current equity risk premium:</t>
  </si>
  <si>
    <t>historical average equity risk premium:</t>
  </si>
  <si>
    <t>Janus north america</t>
  </si>
  <si>
    <t>Janus International</t>
  </si>
  <si>
    <t>%</t>
  </si>
  <si>
    <t>total</t>
  </si>
  <si>
    <t>*excluding eliminations</t>
  </si>
  <si>
    <t>region</t>
  </si>
  <si>
    <t>default risk</t>
  </si>
  <si>
    <t xml:space="preserve">% </t>
  </si>
  <si>
    <t>weight avg</t>
  </si>
  <si>
    <t>region erp</t>
  </si>
  <si>
    <t>total:</t>
  </si>
  <si>
    <t>current</t>
  </si>
  <si>
    <t>terminal</t>
  </si>
  <si>
    <t xml:space="preserve">us erp </t>
  </si>
  <si>
    <t>terminal - I don’t expect Janus to become very worldwide</t>
  </si>
  <si>
    <t>equity risk premium Assumption</t>
  </si>
  <si>
    <t>beta</t>
  </si>
  <si>
    <t>industry</t>
  </si>
  <si>
    <t xml:space="preserve">self storage </t>
  </si>
  <si>
    <t>commercial&amp;others</t>
  </si>
  <si>
    <t>amount</t>
  </si>
  <si>
    <t>beta Assumption</t>
  </si>
  <si>
    <t>cost of equity</t>
  </si>
  <si>
    <t>rf</t>
  </si>
  <si>
    <t>erp</t>
  </si>
  <si>
    <t>coe</t>
  </si>
  <si>
    <t>cost of equity Assumption</t>
  </si>
  <si>
    <t>market value of equity</t>
  </si>
  <si>
    <t>shares</t>
  </si>
  <si>
    <t>mill</t>
  </si>
  <si>
    <t>stock price</t>
  </si>
  <si>
    <t>market value</t>
  </si>
  <si>
    <t>rating Assumption</t>
  </si>
  <si>
    <t>B1</t>
  </si>
  <si>
    <t>Default risk Assumption</t>
  </si>
  <si>
    <t>cost of debt Assumption</t>
  </si>
  <si>
    <t>debt</t>
  </si>
  <si>
    <t>year</t>
  </si>
  <si>
    <t>interest exp</t>
  </si>
  <si>
    <t>cost of debt</t>
  </si>
  <si>
    <t>present value</t>
  </si>
  <si>
    <t>total debt:</t>
  </si>
  <si>
    <t>market value of debt:</t>
  </si>
  <si>
    <t>years until</t>
  </si>
  <si>
    <t>average:</t>
  </si>
  <si>
    <t>thereafter/average:</t>
  </si>
  <si>
    <t>tax rate</t>
  </si>
  <si>
    <t>taxable icome</t>
  </si>
  <si>
    <t>tax expenses</t>
  </si>
  <si>
    <t>tax rate Assumption</t>
  </si>
  <si>
    <t>period</t>
  </si>
  <si>
    <t>after tax cost of debt</t>
  </si>
  <si>
    <t>market value of debt</t>
  </si>
  <si>
    <t>debt porion of capital</t>
  </si>
  <si>
    <t>equity portion of capital</t>
  </si>
  <si>
    <t>cost of capital (WACC)</t>
  </si>
  <si>
    <t>Weight Average Cost of Capital Assumption</t>
  </si>
  <si>
    <t>GROWTH RATE</t>
  </si>
  <si>
    <t>Year</t>
  </si>
  <si>
    <t>*millions</t>
  </si>
  <si>
    <t>% growth</t>
  </si>
  <si>
    <t>operating margins</t>
  </si>
  <si>
    <t>% gain (loss)</t>
  </si>
  <si>
    <t>current price</t>
  </si>
  <si>
    <t>Fair Share Price</t>
  </si>
  <si>
    <t>x</t>
  </si>
  <si>
    <t>Shares</t>
  </si>
  <si>
    <t>Equity Value</t>
  </si>
  <si>
    <t>- Debt</t>
  </si>
  <si>
    <t>+ Cash</t>
  </si>
  <si>
    <t>Enterprise Value</t>
  </si>
  <si>
    <t>Present Value of Terminal Value</t>
  </si>
  <si>
    <t>Terminal Value</t>
  </si>
  <si>
    <t>stable growth rate =</t>
  </si>
  <si>
    <t>TOTAL =</t>
  </si>
  <si>
    <t>Present Value of FCFF</t>
  </si>
  <si>
    <t>Unlevered FCFF</t>
  </si>
  <si>
    <t>FCFF</t>
  </si>
  <si>
    <t>chg in non cash wc (use of cash)</t>
  </si>
  <si>
    <t>chg in non cash wc as % of revenue</t>
  </si>
  <si>
    <t>net cap ex</t>
  </si>
  <si>
    <t>EBIT after tax</t>
  </si>
  <si>
    <t>Tax rate</t>
  </si>
  <si>
    <t>EBIT</t>
  </si>
  <si>
    <t>Operating margins</t>
  </si>
  <si>
    <t>Revenues</t>
  </si>
  <si>
    <t>Growth rate</t>
  </si>
  <si>
    <t>fiscal 2024</t>
  </si>
  <si>
    <t>DCF</t>
  </si>
  <si>
    <t>reinvestment rate</t>
  </si>
  <si>
    <t xml:space="preserve">cap ex </t>
  </si>
  <si>
    <t>depreciation</t>
  </si>
  <si>
    <t>chg in NWC</t>
  </si>
  <si>
    <t>reinvestment</t>
  </si>
  <si>
    <t>after tax oi</t>
  </si>
  <si>
    <t>PTI Australasia Pty Ltd</t>
  </si>
  <si>
    <t>acqusitions</t>
  </si>
  <si>
    <t>G &amp; M Stor-More Pty Ltd</t>
  </si>
  <si>
    <t>DBCI, LLC</t>
  </si>
  <si>
    <t>Access Control Technologies, LLC</t>
  </si>
  <si>
    <t>revenue type</t>
  </si>
  <si>
    <t>new construction</t>
  </si>
  <si>
    <t>R3</t>
  </si>
  <si>
    <t>commercial and others</t>
  </si>
  <si>
    <t>YOY growth %</t>
  </si>
  <si>
    <t>eliminations</t>
  </si>
  <si>
    <t>% from total revenue</t>
  </si>
  <si>
    <t>self storage</t>
  </si>
  <si>
    <t>commercials</t>
  </si>
  <si>
    <t>% rev</t>
  </si>
  <si>
    <t>growth</t>
  </si>
  <si>
    <t>Balance Sheet</t>
  </si>
  <si>
    <t>cash amount:</t>
  </si>
  <si>
    <t>*in millions</t>
  </si>
  <si>
    <t>total current assets:</t>
  </si>
  <si>
    <t>total assets:</t>
  </si>
  <si>
    <t>total current liabilities:</t>
  </si>
  <si>
    <t>total liabilities:</t>
  </si>
  <si>
    <t>shares outstanding:</t>
  </si>
  <si>
    <t>shareholders equity:</t>
  </si>
  <si>
    <t>long term deb:</t>
  </si>
  <si>
    <t>cash/current liab:</t>
  </si>
  <si>
    <t>cash/total liab:</t>
  </si>
  <si>
    <t>current assets/current liab:</t>
  </si>
  <si>
    <t>current assets/total liab:</t>
  </si>
  <si>
    <t>total assets/total liab:</t>
  </si>
  <si>
    <t>long term debt portion of</t>
  </si>
  <si>
    <t>Growth</t>
  </si>
  <si>
    <t>rev growth%</t>
  </si>
  <si>
    <t>2024 Q2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</si>
</sst>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_-[$$-409]* #,##0.00_ ;_-[$$-409]* \-#,##0.00\ ;_-[$$-409]* &quot;-&quot;??_ ;_-@_ "/>
    <numFmt numFmtId="165" formatCode="_-[$$-409]* #,##0.000_ ;_-[$$-409]* \-#,##0.000\ ;_-[$$-409]* &quot;-&quot;??_ ;_-@_ "/>
    <numFmt numFmtId="166" formatCode="0.0%"/>
    <numFmt numFmtId="167" formatCode="0.0000%"/>
    <numFmt numFmtId="168" formatCode="_-[$$-409]* #,##0.0_ ;_-[$$-409]* \-#,##0.0\ ;_-[$$-409]* &quot;-&quot;??_ ;_-@_ "/>
    <numFmt numFmtId="169" formatCode="0.000%"/>
    <numFmt numFmtId="170" formatCode="_-[$$-409]* #,##0.0000_ ;_-[$$-409]* \-#,##0.0000\ ;_-[$$-409]* &quot;-&quot;??_ ;_-@_ "/>
    <numFmt numFmtId="171" formatCode="_([$$-409]* #,##0.00_);_([$$-409]* \(#,##0.00\);_([$$-409]* &quot;-&quot;??_);_(@_)"/>
    <numFmt numFmtId="172" formatCode="&quot;$&quot;#,##0"/>
    <numFmt numFmtId="173" formatCode="B1mmm\-yy"/>
  </numFmts>
  <fonts count="32" x14ac:knownFonts="1">
    <font>
      <sz val="11"/>
      <color theme="1"/>
      <name val="Arial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u/>
      <sz val="11"/>
      <color theme="1"/>
      <name val="Times New Roman"/>
      <family val="1"/>
    </font>
    <font>
      <b/>
      <sz val="22"/>
      <color theme="1"/>
      <name val="Times New Roman"/>
      <family val="1"/>
    </font>
    <font>
      <b/>
      <sz val="24"/>
      <color theme="1"/>
      <name val="Times New Roman"/>
      <family val="1"/>
    </font>
    <font>
      <b/>
      <sz val="28"/>
      <color theme="1"/>
      <name val="Times New Roman"/>
      <family val="1"/>
    </font>
    <font>
      <sz val="11"/>
      <color theme="1"/>
      <name val="Arial"/>
      <family val="2"/>
      <scheme val="minor"/>
    </font>
    <font>
      <sz val="8"/>
      <name val="Arial"/>
      <family val="2"/>
      <scheme val="minor"/>
    </font>
    <font>
      <sz val="11"/>
      <color rgb="FF000000"/>
      <name val="Times New Roman"/>
      <family val="1"/>
    </font>
    <font>
      <u/>
      <sz val="11"/>
      <color theme="1"/>
      <name val="Times New Roman"/>
      <family val="1"/>
    </font>
    <font>
      <b/>
      <u/>
      <sz val="16"/>
      <color theme="1"/>
      <name val="Times New Roman"/>
      <family val="1"/>
    </font>
    <font>
      <sz val="11"/>
      <name val="Times New Roman"/>
      <family val="1"/>
    </font>
    <font>
      <sz val="11"/>
      <color rgb="FFFF0000"/>
      <name val="Times New Roman"/>
      <family val="1"/>
    </font>
    <font>
      <sz val="11"/>
      <color theme="0"/>
      <name val="Times New Roman"/>
      <family val="1"/>
    </font>
    <font>
      <sz val="11"/>
      <color theme="1"/>
      <name val="Times New Roman"/>
      <family val="1"/>
      <scheme val="major"/>
    </font>
    <font>
      <b/>
      <sz val="11"/>
      <color rgb="FF00B050"/>
      <name val="Times New Roman"/>
      <family val="1"/>
      <scheme val="major"/>
    </font>
    <font>
      <b/>
      <sz val="11"/>
      <color theme="1"/>
      <name val="Times New Roman"/>
      <family val="1"/>
      <scheme val="major"/>
    </font>
    <font>
      <sz val="11"/>
      <color theme="0"/>
      <name val="Arial"/>
      <family val="2"/>
      <scheme val="minor"/>
    </font>
    <font>
      <b/>
      <sz val="11"/>
      <color theme="0"/>
      <name val="Times New Roman"/>
      <family val="1"/>
    </font>
    <font>
      <b/>
      <sz val="11"/>
      <color rgb="FFFF0000"/>
      <name val="Times New Roman"/>
      <family val="1"/>
    </font>
    <font>
      <b/>
      <sz val="11"/>
      <color rgb="FF00B050"/>
      <name val="Times New Roman"/>
      <family val="1"/>
    </font>
    <font>
      <b/>
      <sz val="11"/>
      <name val="Times New Roman"/>
      <family val="1"/>
    </font>
    <font>
      <sz val="11"/>
      <color rgb="FF00B050"/>
      <name val="Times New Roman"/>
      <family val="1"/>
    </font>
    <font>
      <sz val="11"/>
      <color rgb="FF7030A0"/>
      <name val="Times New Roman"/>
      <family val="1"/>
    </font>
    <font>
      <i/>
      <sz val="11"/>
      <color rgb="FF00B050"/>
      <name val="Times New Roman"/>
      <family val="1"/>
    </font>
    <font>
      <i/>
      <sz val="11"/>
      <color theme="1"/>
      <name val="Times New Roman"/>
      <family val="1"/>
    </font>
    <font>
      <b/>
      <i/>
      <sz val="11"/>
      <color rgb="FF00B050"/>
      <name val="Times New Roman"/>
      <family val="1"/>
    </font>
    <font>
      <b/>
      <u/>
      <sz val="11"/>
      <color rgb="FF000000"/>
      <name val="Times New Roman"/>
      <family val="1"/>
    </font>
    <font>
      <b/>
      <u/>
      <sz val="11"/>
      <color theme="1"/>
      <name val="Times New Roman"/>
      <family val="1"/>
      <scheme val="major"/>
    </font>
    <font>
      <b/>
      <u/>
      <sz val="18"/>
      <color theme="1"/>
      <name val="Times New Roman"/>
      <family val="1"/>
      <scheme val="major"/>
    </font>
    <font>
      <b/>
      <u/>
      <sz val="20"/>
      <color theme="1"/>
      <name val="Times New Roman"/>
      <family val="1"/>
      <scheme val="maj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164">
    <xf numFmtId="0" fontId="0" fillId="0" borderId="0" xfId="0"/>
    <xf numFmtId="0" fontId="1" fillId="0" borderId="0" xfId="0" applyFont="1"/>
    <xf numFmtId="0" fontId="3" fillId="0" borderId="0" xfId="0" applyFont="1"/>
    <xf numFmtId="0" fontId="2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164" fontId="1" fillId="0" borderId="0" xfId="0" applyNumberFormat="1" applyFont="1"/>
    <xf numFmtId="165" fontId="1" fillId="0" borderId="0" xfId="0" applyNumberFormat="1" applyFont="1"/>
    <xf numFmtId="9" fontId="1" fillId="0" borderId="0" xfId="1" applyFont="1"/>
    <xf numFmtId="166" fontId="1" fillId="0" borderId="0" xfId="1" applyNumberFormat="1" applyFont="1"/>
    <xf numFmtId="0" fontId="9" fillId="0" borderId="0" xfId="0" applyFont="1"/>
    <xf numFmtId="0" fontId="10" fillId="0" borderId="0" xfId="0" applyFont="1"/>
    <xf numFmtId="10" fontId="1" fillId="0" borderId="0" xfId="0" applyNumberFormat="1" applyFont="1"/>
    <xf numFmtId="9" fontId="1" fillId="0" borderId="0" xfId="0" applyNumberFormat="1" applyFont="1"/>
    <xf numFmtId="166" fontId="2" fillId="0" borderId="0" xfId="1" applyNumberFormat="1" applyFont="1"/>
    <xf numFmtId="167" fontId="1" fillId="0" borderId="0" xfId="0" applyNumberFormat="1" applyFont="1"/>
    <xf numFmtId="10" fontId="1" fillId="2" borderId="0" xfId="0" applyNumberFormat="1" applyFont="1" applyFill="1"/>
    <xf numFmtId="166" fontId="2" fillId="2" borderId="0" xfId="1" applyNumberFormat="1" applyFont="1" applyFill="1"/>
    <xf numFmtId="167" fontId="1" fillId="3" borderId="0" xfId="0" applyNumberFormat="1" applyFont="1" applyFill="1"/>
    <xf numFmtId="0" fontId="1" fillId="0" borderId="0" xfId="0" applyFont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168" fontId="1" fillId="0" borderId="1" xfId="0" applyNumberFormat="1" applyFont="1" applyBorder="1"/>
    <xf numFmtId="166" fontId="1" fillId="0" borderId="1" xfId="1" applyNumberFormat="1" applyFont="1" applyBorder="1"/>
    <xf numFmtId="164" fontId="1" fillId="0" borderId="1" xfId="0" applyNumberFormat="1" applyFont="1" applyBorder="1"/>
    <xf numFmtId="0" fontId="1" fillId="0" borderId="3" xfId="0" applyFont="1" applyBorder="1"/>
    <xf numFmtId="0" fontId="1" fillId="0" borderId="2" xfId="0" applyFont="1" applyBorder="1"/>
    <xf numFmtId="169" fontId="1" fillId="0" borderId="0" xfId="0" applyNumberFormat="1" applyFont="1"/>
    <xf numFmtId="10" fontId="1" fillId="0" borderId="1" xfId="0" applyNumberFormat="1" applyFont="1" applyBorder="1"/>
    <xf numFmtId="9" fontId="1" fillId="0" borderId="1" xfId="0" applyNumberFormat="1" applyFont="1" applyBorder="1"/>
    <xf numFmtId="167" fontId="1" fillId="0" borderId="1" xfId="0" applyNumberFormat="1" applyFont="1" applyBorder="1"/>
    <xf numFmtId="169" fontId="1" fillId="3" borderId="1" xfId="0" applyNumberFormat="1" applyFont="1" applyFill="1" applyBorder="1" applyAlignment="1">
      <alignment horizontal="center"/>
    </xf>
    <xf numFmtId="0" fontId="11" fillId="0" borderId="0" xfId="0" applyFont="1"/>
    <xf numFmtId="0" fontId="2" fillId="0" borderId="1" xfId="0" applyFont="1" applyBorder="1"/>
    <xf numFmtId="166" fontId="1" fillId="0" borderId="0" xfId="0" applyNumberFormat="1" applyFont="1"/>
    <xf numFmtId="0" fontId="1" fillId="0" borderId="0" xfId="0" applyFont="1" applyAlignment="1">
      <alignment horizontal="center" vertical="center"/>
    </xf>
    <xf numFmtId="10" fontId="1" fillId="4" borderId="1" xfId="0" applyNumberFormat="1" applyFont="1" applyFill="1" applyBorder="1"/>
    <xf numFmtId="164" fontId="1" fillId="4" borderId="1" xfId="0" applyNumberFormat="1" applyFont="1" applyFill="1" applyBorder="1"/>
    <xf numFmtId="9" fontId="12" fillId="0" borderId="1" xfId="1" applyFont="1" applyBorder="1"/>
    <xf numFmtId="9" fontId="12" fillId="0" borderId="0" xfId="1" applyFont="1" applyBorder="1"/>
    <xf numFmtId="169" fontId="1" fillId="4" borderId="1" xfId="1" applyNumberFormat="1" applyFont="1" applyFill="1" applyBorder="1"/>
    <xf numFmtId="169" fontId="1" fillId="0" borderId="0" xfId="1" applyNumberFormat="1" applyFont="1" applyBorder="1"/>
    <xf numFmtId="170" fontId="1" fillId="4" borderId="1" xfId="0" applyNumberFormat="1" applyFont="1" applyFill="1" applyBorder="1"/>
    <xf numFmtId="170" fontId="1" fillId="0" borderId="0" xfId="0" applyNumberFormat="1" applyFont="1"/>
    <xf numFmtId="166" fontId="1" fillId="4" borderId="1" xfId="1" applyNumberFormat="1" applyFont="1" applyFill="1" applyBorder="1"/>
    <xf numFmtId="10" fontId="1" fillId="0" borderId="0" xfId="1" applyNumberFormat="1" applyFont="1" applyBorder="1"/>
    <xf numFmtId="0" fontId="1" fillId="0" borderId="4" xfId="0" applyFont="1" applyBorder="1"/>
    <xf numFmtId="10" fontId="1" fillId="4" borderId="0" xfId="1" applyNumberFormat="1" applyFont="1" applyFill="1" applyBorder="1"/>
    <xf numFmtId="0" fontId="1" fillId="2" borderId="5" xfId="0" applyFont="1" applyFill="1" applyBorder="1"/>
    <xf numFmtId="10" fontId="1" fillId="3" borderId="6" xfId="0" applyNumberFormat="1" applyFont="1" applyFill="1" applyBorder="1"/>
    <xf numFmtId="10" fontId="1" fillId="4" borderId="0" xfId="0" applyNumberFormat="1" applyFont="1" applyFill="1"/>
    <xf numFmtId="0" fontId="1" fillId="4" borderId="0" xfId="0" applyFont="1" applyFill="1"/>
    <xf numFmtId="0" fontId="14" fillId="0" borderId="0" xfId="0" applyFont="1"/>
    <xf numFmtId="0" fontId="0" fillId="4" borderId="0" xfId="0" applyFill="1"/>
    <xf numFmtId="0" fontId="15" fillId="4" borderId="0" xfId="0" applyFont="1" applyFill="1"/>
    <xf numFmtId="0" fontId="15" fillId="0" borderId="0" xfId="0" applyFont="1"/>
    <xf numFmtId="10" fontId="16" fillId="4" borderId="0" xfId="1" applyNumberFormat="1" applyFont="1" applyFill="1" applyBorder="1"/>
    <xf numFmtId="0" fontId="17" fillId="4" borderId="0" xfId="0" applyFont="1" applyFill="1"/>
    <xf numFmtId="0" fontId="18" fillId="4" borderId="0" xfId="0" applyFont="1" applyFill="1"/>
    <xf numFmtId="0" fontId="14" fillId="4" borderId="0" xfId="0" applyFont="1" applyFill="1"/>
    <xf numFmtId="171" fontId="19" fillId="4" borderId="0" xfId="0" applyNumberFormat="1" applyFont="1" applyFill="1"/>
    <xf numFmtId="0" fontId="19" fillId="4" borderId="0" xfId="0" applyFont="1" applyFill="1"/>
    <xf numFmtId="3" fontId="14" fillId="4" borderId="0" xfId="0" applyNumberFormat="1" applyFont="1" applyFill="1" applyAlignment="1">
      <alignment horizontal="right"/>
    </xf>
    <xf numFmtId="37" fontId="19" fillId="4" borderId="0" xfId="0" applyNumberFormat="1" applyFont="1" applyFill="1"/>
    <xf numFmtId="172" fontId="14" fillId="4" borderId="0" xfId="0" applyNumberFormat="1" applyFont="1" applyFill="1" applyAlignment="1">
      <alignment horizontal="right"/>
    </xf>
    <xf numFmtId="0" fontId="14" fillId="4" borderId="0" xfId="0" quotePrefix="1" applyFont="1" applyFill="1"/>
    <xf numFmtId="164" fontId="19" fillId="4" borderId="0" xfId="0" applyNumberFormat="1" applyFont="1" applyFill="1"/>
    <xf numFmtId="164" fontId="14" fillId="4" borderId="0" xfId="0" applyNumberFormat="1" applyFont="1" applyFill="1"/>
    <xf numFmtId="14" fontId="14" fillId="4" borderId="0" xfId="0" applyNumberFormat="1" applyFont="1" applyFill="1"/>
    <xf numFmtId="10" fontId="19" fillId="4" borderId="0" xfId="0" applyNumberFormat="1" applyFont="1" applyFill="1"/>
    <xf numFmtId="10" fontId="19" fillId="4" borderId="0" xfId="1" applyNumberFormat="1" applyFont="1" applyFill="1" applyBorder="1" applyAlignment="1"/>
    <xf numFmtId="0" fontId="14" fillId="4" borderId="0" xfId="0" applyFont="1" applyFill="1" applyAlignment="1">
      <alignment horizontal="center" vertical="center"/>
    </xf>
    <xf numFmtId="0" fontId="1" fillId="0" borderId="7" xfId="0" applyFont="1" applyBorder="1"/>
    <xf numFmtId="171" fontId="21" fillId="0" borderId="0" xfId="0" applyNumberFormat="1" applyFont="1"/>
    <xf numFmtId="4" fontId="1" fillId="0" borderId="0" xfId="0" applyNumberFormat="1" applyFont="1"/>
    <xf numFmtId="0" fontId="1" fillId="0" borderId="9" xfId="0" applyFont="1" applyBorder="1"/>
    <xf numFmtId="37" fontId="22" fillId="0" borderId="0" xfId="0" applyNumberFormat="1" applyFont="1"/>
    <xf numFmtId="0" fontId="1" fillId="0" borderId="9" xfId="0" quotePrefix="1" applyFont="1" applyBorder="1"/>
    <xf numFmtId="0" fontId="1" fillId="0" borderId="0" xfId="0" quotePrefix="1" applyFont="1"/>
    <xf numFmtId="164" fontId="22" fillId="0" borderId="0" xfId="0" applyNumberFormat="1" applyFont="1"/>
    <xf numFmtId="164" fontId="12" fillId="0" borderId="9" xfId="0" applyNumberFormat="1" applyFont="1" applyBorder="1"/>
    <xf numFmtId="164" fontId="12" fillId="0" borderId="0" xfId="0" applyNumberFormat="1" applyFont="1"/>
    <xf numFmtId="14" fontId="1" fillId="0" borderId="0" xfId="0" applyNumberFormat="1" applyFont="1"/>
    <xf numFmtId="10" fontId="21" fillId="0" borderId="0" xfId="0" applyNumberFormat="1" applyFont="1"/>
    <xf numFmtId="164" fontId="1" fillId="0" borderId="10" xfId="0" applyNumberFormat="1" applyFont="1" applyBorder="1"/>
    <xf numFmtId="0" fontId="2" fillId="0" borderId="11" xfId="0" applyFont="1" applyBorder="1"/>
    <xf numFmtId="164" fontId="23" fillId="0" borderId="1" xfId="0" applyNumberFormat="1" applyFont="1" applyBorder="1"/>
    <xf numFmtId="169" fontId="2" fillId="4" borderId="1" xfId="1" applyNumberFormat="1" applyFont="1" applyFill="1" applyBorder="1" applyAlignment="1"/>
    <xf numFmtId="164" fontId="24" fillId="0" borderId="0" xfId="0" applyNumberFormat="1" applyFont="1"/>
    <xf numFmtId="164" fontId="23" fillId="0" borderId="0" xfId="0" applyNumberFormat="1" applyFont="1"/>
    <xf numFmtId="0" fontId="12" fillId="0" borderId="0" xfId="0" applyFont="1" applyAlignment="1">
      <alignment horizontal="center" vertical="center"/>
    </xf>
    <xf numFmtId="164" fontId="24" fillId="0" borderId="12" xfId="0" applyNumberFormat="1" applyFont="1" applyBorder="1"/>
    <xf numFmtId="164" fontId="13" fillId="0" borderId="0" xfId="0" applyNumberFormat="1" applyFont="1"/>
    <xf numFmtId="9" fontId="13" fillId="0" borderId="0" xfId="1" applyFont="1"/>
    <xf numFmtId="9" fontId="20" fillId="0" borderId="1" xfId="1" applyFont="1" applyBorder="1"/>
    <xf numFmtId="164" fontId="24" fillId="0" borderId="3" xfId="0" applyNumberFormat="1" applyFont="1" applyBorder="1"/>
    <xf numFmtId="164" fontId="24" fillId="0" borderId="13" xfId="0" applyNumberFormat="1" applyFont="1" applyBorder="1"/>
    <xf numFmtId="164" fontId="1" fillId="0" borderId="13" xfId="0" applyNumberFormat="1" applyFont="1" applyBorder="1"/>
    <xf numFmtId="164" fontId="13" fillId="0" borderId="13" xfId="0" applyNumberFormat="1" applyFont="1" applyBorder="1"/>
    <xf numFmtId="164" fontId="20" fillId="0" borderId="1" xfId="1" applyNumberFormat="1" applyFont="1" applyBorder="1"/>
    <xf numFmtId="164" fontId="23" fillId="0" borderId="12" xfId="0" applyNumberFormat="1" applyFont="1" applyBorder="1"/>
    <xf numFmtId="164" fontId="2" fillId="0" borderId="0" xfId="0" applyNumberFormat="1" applyFont="1"/>
    <xf numFmtId="0" fontId="1" fillId="0" borderId="12" xfId="0" applyFont="1" applyBorder="1"/>
    <xf numFmtId="10" fontId="20" fillId="0" borderId="1" xfId="0" applyNumberFormat="1" applyFont="1" applyBorder="1"/>
    <xf numFmtId="9" fontId="1" fillId="0" borderId="3" xfId="0" applyNumberFormat="1" applyFont="1" applyBorder="1"/>
    <xf numFmtId="0" fontId="1" fillId="0" borderId="13" xfId="0" applyFont="1" applyBorder="1"/>
    <xf numFmtId="0" fontId="13" fillId="0" borderId="13" xfId="0" applyFont="1" applyBorder="1"/>
    <xf numFmtId="164" fontId="23" fillId="4" borderId="0" xfId="0" applyNumberFormat="1" applyFont="1" applyFill="1"/>
    <xf numFmtId="164" fontId="25" fillId="0" borderId="0" xfId="1" applyNumberFormat="1" applyFont="1" applyFill="1" applyBorder="1"/>
    <xf numFmtId="164" fontId="25" fillId="0" borderId="12" xfId="1" applyNumberFormat="1" applyFont="1" applyBorder="1"/>
    <xf numFmtId="166" fontId="26" fillId="0" borderId="0" xfId="1" applyNumberFormat="1" applyFont="1"/>
    <xf numFmtId="0" fontId="26" fillId="0" borderId="0" xfId="0" applyFont="1"/>
    <xf numFmtId="164" fontId="1" fillId="0" borderId="14" xfId="0" applyNumberFormat="1" applyFont="1" applyBorder="1"/>
    <xf numFmtId="3" fontId="24" fillId="0" borderId="0" xfId="0" applyNumberFormat="1" applyFont="1"/>
    <xf numFmtId="0" fontId="12" fillId="0" borderId="0" xfId="0" applyFont="1"/>
    <xf numFmtId="10" fontId="21" fillId="0" borderId="1" xfId="1" applyNumberFormat="1" applyFont="1" applyBorder="1"/>
    <xf numFmtId="10" fontId="23" fillId="0" borderId="3" xfId="1" applyNumberFormat="1" applyFont="1" applyBorder="1"/>
    <xf numFmtId="0" fontId="23" fillId="0" borderId="13" xfId="0" applyFont="1" applyBorder="1"/>
    <xf numFmtId="168" fontId="1" fillId="0" borderId="0" xfId="0" applyNumberFormat="1" applyFont="1"/>
    <xf numFmtId="164" fontId="1" fillId="0" borderId="12" xfId="0" applyNumberFormat="1" applyFont="1" applyBorder="1"/>
    <xf numFmtId="10" fontId="27" fillId="0" borderId="1" xfId="1" applyNumberFormat="1" applyFont="1" applyFill="1" applyBorder="1"/>
    <xf numFmtId="10" fontId="26" fillId="0" borderId="3" xfId="1" applyNumberFormat="1" applyFont="1" applyBorder="1"/>
    <xf numFmtId="166" fontId="26" fillId="0" borderId="13" xfId="1" applyNumberFormat="1" applyFont="1" applyBorder="1"/>
    <xf numFmtId="0" fontId="27" fillId="0" borderId="13" xfId="0" applyFont="1" applyBorder="1"/>
    <xf numFmtId="3" fontId="12" fillId="0" borderId="0" xfId="0" applyNumberFormat="1" applyFont="1"/>
    <xf numFmtId="3" fontId="24" fillId="0" borderId="12" xfId="0" applyNumberFormat="1" applyFont="1" applyBorder="1"/>
    <xf numFmtId="0" fontId="1" fillId="5" borderId="0" xfId="0" applyFont="1" applyFill="1"/>
    <xf numFmtId="0" fontId="19" fillId="6" borderId="0" xfId="0" applyFont="1" applyFill="1" applyAlignment="1">
      <alignment horizontal="center" vertical="center"/>
    </xf>
    <xf numFmtId="0" fontId="19" fillId="6" borderId="0" xfId="0" applyFont="1" applyFill="1"/>
    <xf numFmtId="0" fontId="1" fillId="6" borderId="0" xfId="0" applyFont="1" applyFill="1"/>
    <xf numFmtId="0" fontId="1" fillId="0" borderId="1" xfId="0" applyFont="1" applyBorder="1" applyAlignment="1">
      <alignment horizontal="center" vertical="center"/>
    </xf>
    <xf numFmtId="9" fontId="1" fillId="0" borderId="1" xfId="1" applyFont="1" applyBorder="1"/>
    <xf numFmtId="9" fontId="20" fillId="0" borderId="0" xfId="1" applyFont="1" applyBorder="1"/>
    <xf numFmtId="169" fontId="2" fillId="4" borderId="0" xfId="1" applyNumberFormat="1" applyFont="1" applyFill="1" applyBorder="1" applyAlignment="1"/>
    <xf numFmtId="173" fontId="1" fillId="0" borderId="0" xfId="0" applyNumberFormat="1" applyFont="1"/>
    <xf numFmtId="0" fontId="28" fillId="0" borderId="0" xfId="0" applyFont="1"/>
    <xf numFmtId="173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0" fontId="1" fillId="0" borderId="1" xfId="1" applyNumberFormat="1" applyFont="1" applyBorder="1" applyAlignment="1">
      <alignment horizontal="center" vertical="center"/>
    </xf>
    <xf numFmtId="166" fontId="1" fillId="0" borderId="1" xfId="0" applyNumberFormat="1" applyFont="1" applyBorder="1"/>
    <xf numFmtId="10" fontId="22" fillId="7" borderId="8" xfId="1" applyNumberFormat="1" applyFont="1" applyFill="1" applyBorder="1" applyAlignment="1">
      <alignment horizontal="center" vertical="center"/>
    </xf>
    <xf numFmtId="169" fontId="1" fillId="0" borderId="0" xfId="1" applyNumberFormat="1" applyFont="1"/>
    <xf numFmtId="0" fontId="29" fillId="0" borderId="0" xfId="0" applyFont="1"/>
    <xf numFmtId="0" fontId="17" fillId="0" borderId="0" xfId="0" applyFont="1"/>
    <xf numFmtId="0" fontId="30" fillId="0" borderId="0" xfId="0" applyFont="1"/>
    <xf numFmtId="0" fontId="31" fillId="0" borderId="0" xfId="0" applyFont="1"/>
    <xf numFmtId="164" fontId="15" fillId="0" borderId="0" xfId="0" applyNumberFormat="1" applyFont="1"/>
    <xf numFmtId="168" fontId="15" fillId="0" borderId="0" xfId="0" applyNumberFormat="1" applyFont="1"/>
    <xf numFmtId="166" fontId="15" fillId="0" borderId="0" xfId="1" applyNumberFormat="1" applyFont="1"/>
    <xf numFmtId="166" fontId="17" fillId="7" borderId="0" xfId="1" applyNumberFormat="1" applyFont="1" applyFill="1"/>
    <xf numFmtId="166" fontId="17" fillId="8" borderId="0" xfId="1" applyNumberFormat="1" applyFont="1" applyFill="1"/>
    <xf numFmtId="0" fontId="15" fillId="0" borderId="7" xfId="0" applyFont="1" applyBorder="1"/>
    <xf numFmtId="0" fontId="15" fillId="3" borderId="0" xfId="0" applyFont="1" applyFill="1"/>
    <xf numFmtId="166" fontId="15" fillId="3" borderId="0" xfId="1" applyNumberFormat="1" applyFont="1" applyFill="1"/>
    <xf numFmtId="164" fontId="15" fillId="3" borderId="0" xfId="0" applyNumberFormat="1" applyFont="1" applyFill="1"/>
    <xf numFmtId="166" fontId="17" fillId="0" borderId="0" xfId="1" applyNumberFormat="1" applyFont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28" fillId="0" borderId="0" xfId="0" applyFont="1" applyAlignment="1">
      <alignment horizontal="center"/>
    </xf>
    <xf numFmtId="173" fontId="1" fillId="0" borderId="0" xfId="0" applyNumberFormat="1" applyFont="1" applyAlignment="1">
      <alignment horizontal="center"/>
    </xf>
    <xf numFmtId="0" fontId="19" fillId="4" borderId="0" xfId="0" applyFont="1" applyFill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Analysis!$T$39:$T$40</c:f>
              <c:strCache>
                <c:ptCount val="2"/>
                <c:pt idx="0">
                  <c:v>revenue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Pt>
            <c:idx val="16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C70E-4E60-8C78-03805DDF860B}"/>
              </c:ext>
            </c:extLst>
          </c:dPt>
          <c:cat>
            <c:strRef>
              <c:f>Analysis!$S$41:$S$57</c:f>
              <c:strCache>
                <c:ptCount val="17"/>
                <c:pt idx="0">
                  <c:v>2020 Q2</c:v>
                </c:pt>
                <c:pt idx="1">
                  <c:v>2020 Q3</c:v>
                </c:pt>
                <c:pt idx="2">
                  <c:v>2020 Q4</c:v>
                </c:pt>
                <c:pt idx="3">
                  <c:v>2021 Q1</c:v>
                </c:pt>
                <c:pt idx="4">
                  <c:v>2021 Q2</c:v>
                </c:pt>
                <c:pt idx="5">
                  <c:v>2021 Q3</c:v>
                </c:pt>
                <c:pt idx="6">
                  <c:v>2021 Q4</c:v>
                </c:pt>
                <c:pt idx="7">
                  <c:v>2022 Q1</c:v>
                </c:pt>
                <c:pt idx="8">
                  <c:v>2022 Q2</c:v>
                </c:pt>
                <c:pt idx="9">
                  <c:v>2022 Q3</c:v>
                </c:pt>
                <c:pt idx="10">
                  <c:v>2022 Q4</c:v>
                </c:pt>
                <c:pt idx="11">
                  <c:v>2023 Q1</c:v>
                </c:pt>
                <c:pt idx="12">
                  <c:v>2023 Q2</c:v>
                </c:pt>
                <c:pt idx="13">
                  <c:v>2023 Q3</c:v>
                </c:pt>
                <c:pt idx="14">
                  <c:v>2023 Q4</c:v>
                </c:pt>
                <c:pt idx="15">
                  <c:v>2024 Q1</c:v>
                </c:pt>
                <c:pt idx="16">
                  <c:v>2024 Q2</c:v>
                </c:pt>
              </c:strCache>
            </c:strRef>
          </c:cat>
          <c:val>
            <c:numRef>
              <c:f>Analysis!$T$41:$T$57</c:f>
              <c:numCache>
                <c:formatCode>_-[$$-409]* #,##0.00_ ;_-[$$-409]* \-#,##0.00\ ;_-[$$-409]* "-"??_ ;_-@_ </c:formatCode>
                <c:ptCount val="17"/>
                <c:pt idx="0">
                  <c:v>122.23</c:v>
                </c:pt>
                <c:pt idx="1">
                  <c:v>140.339</c:v>
                </c:pt>
                <c:pt idx="2">
                  <c:v>286.404</c:v>
                </c:pt>
                <c:pt idx="3">
                  <c:v>152.82400000000001</c:v>
                </c:pt>
                <c:pt idx="4">
                  <c:v>174.18199999999999</c:v>
                </c:pt>
                <c:pt idx="5">
                  <c:v>187.79</c:v>
                </c:pt>
                <c:pt idx="6">
                  <c:v>235.304</c:v>
                </c:pt>
                <c:pt idx="7">
                  <c:v>229.52</c:v>
                </c:pt>
                <c:pt idx="8">
                  <c:v>247.714</c:v>
                </c:pt>
                <c:pt idx="9">
                  <c:v>262.5</c:v>
                </c:pt>
                <c:pt idx="10">
                  <c:v>279.76600000000002</c:v>
                </c:pt>
                <c:pt idx="11">
                  <c:v>251.9</c:v>
                </c:pt>
                <c:pt idx="12">
                  <c:v>270.61099999999999</c:v>
                </c:pt>
                <c:pt idx="13">
                  <c:v>280.10000000000002</c:v>
                </c:pt>
                <c:pt idx="14">
                  <c:v>263.78899999999999</c:v>
                </c:pt>
                <c:pt idx="15">
                  <c:v>254.5</c:v>
                </c:pt>
                <c:pt idx="16">
                  <c:v>248.4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86-4980-BC94-A841ED13FC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2"/>
        <c:overlap val="-27"/>
        <c:axId val="1599695919"/>
        <c:axId val="1599696399"/>
      </c:barChart>
      <c:catAx>
        <c:axId val="1599695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599696399"/>
        <c:crosses val="autoZero"/>
        <c:auto val="1"/>
        <c:lblAlgn val="ctr"/>
        <c:lblOffset val="100"/>
        <c:noMultiLvlLbl val="0"/>
      </c:catAx>
      <c:valAx>
        <c:axId val="1599696399"/>
        <c:scaling>
          <c:orientation val="minMax"/>
        </c:scaling>
        <c:delete val="0"/>
        <c:axPos val="l"/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599695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>
        <c:manualLayout>
          <c:layoutTarget val="inner"/>
          <c:xMode val="edge"/>
          <c:yMode val="edge"/>
          <c:x val="7.6822784045188428E-2"/>
          <c:y val="8.727702048302452E-2"/>
          <c:w val="0.90720084743655616"/>
          <c:h val="0.8476534495944778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Analysis!$W$39</c:f>
              <c:strCache>
                <c:ptCount val="1"/>
                <c:pt idx="0">
                  <c:v>% growth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dLbls>
            <c:dLbl>
              <c:idx val="3"/>
              <c:layout>
                <c:manualLayout>
                  <c:x val="0"/>
                  <c:y val="-6.652662846172996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BD5-4E5C-B237-651EE3A7B5DE}"/>
                </c:ext>
              </c:extLst>
            </c:dLbl>
            <c:dLbl>
              <c:idx val="6"/>
              <c:layout>
                <c:manualLayout>
                  <c:x val="0"/>
                  <c:y val="-0.1235499161117771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BD5-4E5C-B237-651EE3A7B5DE}"/>
                </c:ext>
              </c:extLst>
            </c:dLbl>
            <c:dLbl>
              <c:idx val="11"/>
              <c:layout>
                <c:manualLayout>
                  <c:x val="0"/>
                  <c:y val="-2.851151910271779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BD5-4E5C-B237-651EE3A7B5DE}"/>
                </c:ext>
              </c:extLst>
            </c:dLbl>
            <c:dLbl>
              <c:idx val="14"/>
              <c:layout>
                <c:manualLayout>
                  <c:x val="0"/>
                  <c:y val="-0.10158730158730159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BD5-4E5C-B237-651EE3A7B5DE}"/>
                </c:ext>
              </c:extLst>
            </c:dLbl>
            <c:dLbl>
              <c:idx val="15"/>
              <c:layout>
                <c:manualLayout>
                  <c:x val="2.0346453451917995E-3"/>
                  <c:y val="-0.13970868860482136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BD5-4E5C-B237-651EE3A7B5D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Analysis!$S$41:$S$57</c:f>
              <c:strCache>
                <c:ptCount val="17"/>
                <c:pt idx="0">
                  <c:v>2020 Q2</c:v>
                </c:pt>
                <c:pt idx="1">
                  <c:v>2020 Q3</c:v>
                </c:pt>
                <c:pt idx="2">
                  <c:v>2020 Q4</c:v>
                </c:pt>
                <c:pt idx="3">
                  <c:v>2021 Q1</c:v>
                </c:pt>
                <c:pt idx="4">
                  <c:v>2021 Q2</c:v>
                </c:pt>
                <c:pt idx="5">
                  <c:v>2021 Q3</c:v>
                </c:pt>
                <c:pt idx="6">
                  <c:v>2021 Q4</c:v>
                </c:pt>
                <c:pt idx="7">
                  <c:v>2022 Q1</c:v>
                </c:pt>
                <c:pt idx="8">
                  <c:v>2022 Q2</c:v>
                </c:pt>
                <c:pt idx="9">
                  <c:v>2022 Q3</c:v>
                </c:pt>
                <c:pt idx="10">
                  <c:v>2022 Q4</c:v>
                </c:pt>
                <c:pt idx="11">
                  <c:v>2023 Q1</c:v>
                </c:pt>
                <c:pt idx="12">
                  <c:v>2023 Q2</c:v>
                </c:pt>
                <c:pt idx="13">
                  <c:v>2023 Q3</c:v>
                </c:pt>
                <c:pt idx="14">
                  <c:v>2023 Q4</c:v>
                </c:pt>
                <c:pt idx="15">
                  <c:v>2024 Q1</c:v>
                </c:pt>
                <c:pt idx="16">
                  <c:v>2024 Q2</c:v>
                </c:pt>
              </c:strCache>
            </c:strRef>
          </c:cat>
          <c:val>
            <c:numRef>
              <c:f>Analysis!$W$41:$W$57</c:f>
              <c:numCache>
                <c:formatCode>0.0%</c:formatCode>
                <c:ptCount val="17"/>
                <c:pt idx="0">
                  <c:v>0.32189562087582479</c:v>
                </c:pt>
                <c:pt idx="1">
                  <c:v>0.88536939553457961</c:v>
                </c:pt>
                <c:pt idx="2">
                  <c:v>-0.19549415106147403</c:v>
                </c:pt>
                <c:pt idx="3">
                  <c:v>-0.11925562470081381</c:v>
                </c:pt>
                <c:pt idx="4">
                  <c:v>-1.115089340308445</c:v>
                </c:pt>
                <c:pt idx="6">
                  <c:v>-1.9881611118260152E-2</c:v>
                </c:pt>
                <c:pt idx="7">
                  <c:v>0.29350751657585505</c:v>
                </c:pt>
                <c:pt idx="8">
                  <c:v>0.15900324807145752</c:v>
                </c:pt>
                <c:pt idx="9">
                  <c:v>0.41875027367867929</c:v>
                </c:pt>
                <c:pt idx="10">
                  <c:v>1.1388888888888882E-2</c:v>
                </c:pt>
                <c:pt idx="11">
                  <c:v>-0.20656718239799807</c:v>
                </c:pt>
                <c:pt idx="12">
                  <c:v>0.42257692307692313</c:v>
                </c:pt>
                <c:pt idx="13">
                  <c:v>3.5147484251218329E-4</c:v>
                </c:pt>
                <c:pt idx="14">
                  <c:v>-3.4783783783783759E-2</c:v>
                </c:pt>
                <c:pt idx="15">
                  <c:v>-0.14036905328591834</c:v>
                </c:pt>
                <c:pt idx="16">
                  <c:v>-0.10097719869706834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BD5-4E5C-B237-651EE3A7B5D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92"/>
        <c:overlap val="-27"/>
        <c:axId val="1599695919"/>
        <c:axId val="1599696399"/>
      </c:barChart>
      <c:catAx>
        <c:axId val="1599695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599696399"/>
        <c:crosses val="autoZero"/>
        <c:auto val="1"/>
        <c:lblAlgn val="ctr"/>
        <c:lblOffset val="100"/>
        <c:noMultiLvlLbl val="0"/>
      </c:catAx>
      <c:valAx>
        <c:axId val="1599696399"/>
        <c:scaling>
          <c:orientation val="minMax"/>
        </c:scaling>
        <c:delete val="0"/>
        <c:axPos val="l"/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599695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net income growth by Q1 %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Analysis!$W$64:$W$65</c:f>
              <c:strCache>
                <c:ptCount val="2"/>
                <c:pt idx="0">
                  <c:v>% growth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Analysis!$S$66:$S$69</c:f>
              <c:strCache>
                <c:ptCount val="4"/>
                <c:pt idx="0">
                  <c:v>2021 Q1</c:v>
                </c:pt>
                <c:pt idx="1">
                  <c:v>2022 Q1</c:v>
                </c:pt>
                <c:pt idx="2">
                  <c:v>2023 Q1</c:v>
                </c:pt>
                <c:pt idx="3">
                  <c:v>2024 Q1</c:v>
                </c:pt>
              </c:strCache>
              <c:extLst xmlns:c15="http://schemas.microsoft.com/office/drawing/2012/chart"/>
            </c:strRef>
          </c:cat>
          <c:val>
            <c:numRef>
              <c:f>Analysis!$W$66:$W$69</c:f>
              <c:numCache>
                <c:formatCode>0.0%</c:formatCode>
                <c:ptCount val="4"/>
                <c:pt idx="0">
                  <c:v>0.76592681463707235</c:v>
                </c:pt>
                <c:pt idx="1">
                  <c:v>0.33867789931381215</c:v>
                </c:pt>
                <c:pt idx="2">
                  <c:v>0.31952902963865198</c:v>
                </c:pt>
                <c:pt idx="3">
                  <c:v>0.18076923076923074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96-4495-838F-25A72C6E22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4"/>
        <c:axId val="1590776511"/>
        <c:axId val="159077699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Analysis!$T$64:$T$65</c15:sqref>
                        </c15:formulaRef>
                      </c:ext>
                    </c:extLst>
                    <c:strCache>
                      <c:ptCount val="2"/>
                      <c:pt idx="0">
                        <c:v>revenue</c:v>
                      </c:pt>
                    </c:strCache>
                  </c:strRef>
                </c:tx>
                <c:spPr>
                  <a:solidFill>
                    <a:srgbClr val="00B050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50" b="1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he-IL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Analysis!$S$66:$S$69</c15:sqref>
                        </c15:formulaRef>
                      </c:ext>
                    </c:extLst>
                    <c:strCache>
                      <c:ptCount val="4"/>
                      <c:pt idx="0">
                        <c:v>2021 Q1</c:v>
                      </c:pt>
                      <c:pt idx="1">
                        <c:v>2022 Q1</c:v>
                      </c:pt>
                      <c:pt idx="2">
                        <c:v>2023 Q1</c:v>
                      </c:pt>
                      <c:pt idx="3">
                        <c:v>2024 Q1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Analysis!$T$66:$T$69</c15:sqref>
                        </c15:formulaRef>
                      </c:ext>
                    </c:extLst>
                    <c:numCache>
                      <c:formatCode>_-[$$-409]* #,##0.00_ ;_-[$$-409]* \-#,##0.00\ ;_-[$$-409]* "-"??_ ;_-@_ </c:formatCode>
                      <c:ptCount val="4"/>
                      <c:pt idx="0">
                        <c:v>152.82400000000001</c:v>
                      </c:pt>
                      <c:pt idx="1">
                        <c:v>229.52</c:v>
                      </c:pt>
                      <c:pt idx="2">
                        <c:v>251.9</c:v>
                      </c:pt>
                      <c:pt idx="3">
                        <c:v>254.5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A096-4495-838F-25A72C6E2250}"/>
                  </c:ext>
                </c:extLst>
              </c15:ser>
            </c15:filteredBarSeries>
          </c:ext>
        </c:extLst>
      </c:barChart>
      <c:catAx>
        <c:axId val="1590776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590776991"/>
        <c:crosses val="autoZero"/>
        <c:auto val="1"/>
        <c:lblAlgn val="ctr"/>
        <c:lblOffset val="100"/>
        <c:noMultiLvlLbl val="0"/>
      </c:catAx>
      <c:valAx>
        <c:axId val="1590776991"/>
        <c:scaling>
          <c:orientation val="minMax"/>
        </c:scaling>
        <c:delete val="0"/>
        <c:axPos val="l"/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590776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net income growth by Q2 %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Analysis!$W$71</c:f>
              <c:strCache>
                <c:ptCount val="1"/>
                <c:pt idx="0">
                  <c:v>% growth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3B83-4E10-BBAF-45F9EF44733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Analysis!$S$72:$S$76</c:f>
              <c:strCache>
                <c:ptCount val="5"/>
                <c:pt idx="0">
                  <c:v>2020 Q2</c:v>
                </c:pt>
                <c:pt idx="1">
                  <c:v>2021 Q2</c:v>
                </c:pt>
                <c:pt idx="2">
                  <c:v>2022 Q2</c:v>
                </c:pt>
                <c:pt idx="3">
                  <c:v>2023 Q2</c:v>
                </c:pt>
                <c:pt idx="4">
                  <c:v>2024 Q2</c:v>
                </c:pt>
              </c:strCache>
            </c:strRef>
          </c:cat>
          <c:val>
            <c:numRef>
              <c:f>Analysis!$W$72:$W$76</c:f>
              <c:numCache>
                <c:formatCode>0.0%</c:formatCode>
                <c:ptCount val="5"/>
                <c:pt idx="1">
                  <c:v>-1.1537484116899619</c:v>
                </c:pt>
                <c:pt idx="2">
                  <c:v>-14.481109799291618</c:v>
                </c:pt>
                <c:pt idx="3">
                  <c:v>0.61960853001707761</c:v>
                </c:pt>
                <c:pt idx="4">
                  <c:v>-0.25379187282018006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83-4E10-BBAF-45F9EF4473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4"/>
        <c:axId val="1590776511"/>
        <c:axId val="159077699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Analysis!$T$64:$T$65</c15:sqref>
                        </c15:formulaRef>
                      </c:ext>
                    </c:extLst>
                    <c:strCache>
                      <c:ptCount val="2"/>
                      <c:pt idx="0">
                        <c:v>revenue</c:v>
                      </c:pt>
                    </c:strCache>
                  </c:strRef>
                </c:tx>
                <c:spPr>
                  <a:solidFill>
                    <a:srgbClr val="00B050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50" b="1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he-IL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Analysis!$S$72:$S$76</c15:sqref>
                        </c15:formulaRef>
                      </c:ext>
                    </c:extLst>
                    <c:strCache>
                      <c:ptCount val="5"/>
                      <c:pt idx="0">
                        <c:v>2020 Q2</c:v>
                      </c:pt>
                      <c:pt idx="1">
                        <c:v>2021 Q2</c:v>
                      </c:pt>
                      <c:pt idx="2">
                        <c:v>2022 Q2</c:v>
                      </c:pt>
                      <c:pt idx="3">
                        <c:v>2023 Q2</c:v>
                      </c:pt>
                      <c:pt idx="4">
                        <c:v>2024 Q2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Analysis!$T$66:$T$69</c15:sqref>
                        </c15:formulaRef>
                      </c:ext>
                    </c:extLst>
                    <c:numCache>
                      <c:formatCode>_-[$$-409]* #,##0.00_ ;_-[$$-409]* \-#,##0.00\ ;_-[$$-409]* "-"??_ ;_-@_ </c:formatCode>
                      <c:ptCount val="4"/>
                      <c:pt idx="0">
                        <c:v>152.82400000000001</c:v>
                      </c:pt>
                      <c:pt idx="1">
                        <c:v>229.52</c:v>
                      </c:pt>
                      <c:pt idx="2">
                        <c:v>251.9</c:v>
                      </c:pt>
                      <c:pt idx="3">
                        <c:v>254.5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3B83-4E10-BBAF-45F9EF447335}"/>
                  </c:ext>
                </c:extLst>
              </c15:ser>
            </c15:filteredBarSeries>
          </c:ext>
        </c:extLst>
      </c:barChart>
      <c:catAx>
        <c:axId val="1590776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590776991"/>
        <c:crosses val="autoZero"/>
        <c:auto val="1"/>
        <c:lblAlgn val="ctr"/>
        <c:lblOffset val="100"/>
        <c:noMultiLvlLbl val="0"/>
      </c:catAx>
      <c:valAx>
        <c:axId val="15907769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590776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Analysis!$X$39:$X$40</c:f>
              <c:strCache>
                <c:ptCount val="2"/>
                <c:pt idx="0">
                  <c:v>net margins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Analysis!$S$41:$S$56</c:f>
              <c:strCache>
                <c:ptCount val="16"/>
                <c:pt idx="0">
                  <c:v>2020 Q2</c:v>
                </c:pt>
                <c:pt idx="1">
                  <c:v>2020 Q3</c:v>
                </c:pt>
                <c:pt idx="2">
                  <c:v>2020 Q4</c:v>
                </c:pt>
                <c:pt idx="3">
                  <c:v>2021 Q1</c:v>
                </c:pt>
                <c:pt idx="4">
                  <c:v>2021 Q2</c:v>
                </c:pt>
                <c:pt idx="5">
                  <c:v>2021 Q3</c:v>
                </c:pt>
                <c:pt idx="6">
                  <c:v>2021 Q4</c:v>
                </c:pt>
                <c:pt idx="7">
                  <c:v>2022 Q1</c:v>
                </c:pt>
                <c:pt idx="8">
                  <c:v>2022 Q2</c:v>
                </c:pt>
                <c:pt idx="9">
                  <c:v>2022 Q3</c:v>
                </c:pt>
                <c:pt idx="10">
                  <c:v>2022 Q4</c:v>
                </c:pt>
                <c:pt idx="11">
                  <c:v>2023 Q1</c:v>
                </c:pt>
                <c:pt idx="12">
                  <c:v>2023 Q2</c:v>
                </c:pt>
                <c:pt idx="13">
                  <c:v>2023 Q3</c:v>
                </c:pt>
                <c:pt idx="14">
                  <c:v>2023 Q4</c:v>
                </c:pt>
                <c:pt idx="15">
                  <c:v>2024 Q1</c:v>
                </c:pt>
              </c:strCache>
            </c:strRef>
          </c:cat>
          <c:val>
            <c:numRef>
              <c:f>Analysis!$X$41:$X$56</c:f>
              <c:numCache>
                <c:formatCode>0.0%</c:formatCode>
                <c:ptCount val="16"/>
                <c:pt idx="0">
                  <c:v>9.0141536447680609E-2</c:v>
                </c:pt>
                <c:pt idx="1">
                  <c:v>0.14802015120529574</c:v>
                </c:pt>
                <c:pt idx="2">
                  <c:v>5.8351140347201853E-2</c:v>
                </c:pt>
                <c:pt idx="3">
                  <c:v>9.6313406271266278E-2</c:v>
                </c:pt>
                <c:pt idx="4">
                  <c:v>-9.7254595767645342E-3</c:v>
                </c:pt>
                <c:pt idx="5">
                  <c:v>8.2762660418552639E-2</c:v>
                </c:pt>
                <c:pt idx="6">
                  <c:v>6.4737531023697004E-2</c:v>
                </c:pt>
                <c:pt idx="7">
                  <c:v>8.5848727779714182E-2</c:v>
                </c:pt>
                <c:pt idx="8">
                  <c:v>9.21909944532808E-2</c:v>
                </c:pt>
                <c:pt idx="9">
                  <c:v>0.12342857142857143</c:v>
                </c:pt>
                <c:pt idx="10">
                  <c:v>0.1171300300965807</c:v>
                </c:pt>
                <c:pt idx="11">
                  <c:v>0.10321556173084558</c:v>
                </c:pt>
                <c:pt idx="12">
                  <c:v>0.13667958804335376</c:v>
                </c:pt>
                <c:pt idx="13">
                  <c:v>0.13209568011424491</c:v>
                </c:pt>
                <c:pt idx="14">
                  <c:v>0.13538472036362398</c:v>
                </c:pt>
                <c:pt idx="15">
                  <c:v>0.1206286836935167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FF-4775-8A92-445DB154F4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2"/>
        <c:overlap val="-27"/>
        <c:axId val="1599695919"/>
        <c:axId val="1599696399"/>
      </c:barChart>
      <c:catAx>
        <c:axId val="1599695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599696399"/>
        <c:crosses val="autoZero"/>
        <c:auto val="1"/>
        <c:lblAlgn val="ctr"/>
        <c:lblOffset val="100"/>
        <c:noMultiLvlLbl val="0"/>
      </c:catAx>
      <c:valAx>
        <c:axId val="1599696399"/>
        <c:scaling>
          <c:orientation val="minMax"/>
        </c:scaling>
        <c:delete val="0"/>
        <c:axPos val="l"/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599695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  <c:userShapes r:id="rId3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income nargin by Q1 %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Analysis!$X$64:$X$65</c:f>
              <c:strCache>
                <c:ptCount val="2"/>
                <c:pt idx="0">
                  <c:v>net margins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Analysis!$S$66:$S$69</c:f>
              <c:strCache>
                <c:ptCount val="4"/>
                <c:pt idx="0">
                  <c:v>2021 Q1</c:v>
                </c:pt>
                <c:pt idx="1">
                  <c:v>2022 Q1</c:v>
                </c:pt>
                <c:pt idx="2">
                  <c:v>2023 Q1</c:v>
                </c:pt>
                <c:pt idx="3">
                  <c:v>2024 Q1</c:v>
                </c:pt>
              </c:strCache>
              <c:extLst xmlns:c15="http://schemas.microsoft.com/office/drawing/2012/chart"/>
            </c:strRef>
          </c:cat>
          <c:val>
            <c:numRef>
              <c:f>Analysis!$X$66:$X$69</c:f>
              <c:numCache>
                <c:formatCode>0.0%</c:formatCode>
                <c:ptCount val="4"/>
                <c:pt idx="0">
                  <c:v>9.6313406271266278E-2</c:v>
                </c:pt>
                <c:pt idx="1">
                  <c:v>8.5848727779714182E-2</c:v>
                </c:pt>
                <c:pt idx="2">
                  <c:v>0.10321556173084558</c:v>
                </c:pt>
                <c:pt idx="3">
                  <c:v>0.1206286836935167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56-4FD9-BAB7-221859ACBB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4"/>
        <c:axId val="1590776511"/>
        <c:axId val="159077699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Analysis!$T$64:$T$65</c15:sqref>
                        </c15:formulaRef>
                      </c:ext>
                    </c:extLst>
                    <c:strCache>
                      <c:ptCount val="2"/>
                      <c:pt idx="0">
                        <c:v>revenue</c:v>
                      </c:pt>
                    </c:strCache>
                  </c:strRef>
                </c:tx>
                <c:spPr>
                  <a:solidFill>
                    <a:srgbClr val="00B050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50" b="1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he-IL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Analysis!$S$66:$S$69</c15:sqref>
                        </c15:formulaRef>
                      </c:ext>
                    </c:extLst>
                    <c:strCache>
                      <c:ptCount val="4"/>
                      <c:pt idx="0">
                        <c:v>2021 Q1</c:v>
                      </c:pt>
                      <c:pt idx="1">
                        <c:v>2022 Q1</c:v>
                      </c:pt>
                      <c:pt idx="2">
                        <c:v>2023 Q1</c:v>
                      </c:pt>
                      <c:pt idx="3">
                        <c:v>2024 Q1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Analysis!$T$66:$T$69</c15:sqref>
                        </c15:formulaRef>
                      </c:ext>
                    </c:extLst>
                    <c:numCache>
                      <c:formatCode>_-[$$-409]* #,##0.00_ ;_-[$$-409]* \-#,##0.00\ ;_-[$$-409]* "-"??_ ;_-@_ </c:formatCode>
                      <c:ptCount val="4"/>
                      <c:pt idx="0">
                        <c:v>152.82400000000001</c:v>
                      </c:pt>
                      <c:pt idx="1">
                        <c:v>229.52</c:v>
                      </c:pt>
                      <c:pt idx="2">
                        <c:v>251.9</c:v>
                      </c:pt>
                      <c:pt idx="3">
                        <c:v>254.5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9556-4FD9-BAB7-221859ACBB94}"/>
                  </c:ext>
                </c:extLst>
              </c15:ser>
            </c15:filteredBarSeries>
          </c:ext>
        </c:extLst>
      </c:barChart>
      <c:catAx>
        <c:axId val="1590776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590776991"/>
        <c:crosses val="autoZero"/>
        <c:auto val="1"/>
        <c:lblAlgn val="ctr"/>
        <c:lblOffset val="100"/>
        <c:noMultiLvlLbl val="0"/>
      </c:catAx>
      <c:valAx>
        <c:axId val="1590776991"/>
        <c:scaling>
          <c:orientation val="minMax"/>
        </c:scaling>
        <c:delete val="0"/>
        <c:axPos val="l"/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590776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income nargin by Q1 %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Analysis!$X$71</c:f>
              <c:strCache>
                <c:ptCount val="1"/>
                <c:pt idx="0">
                  <c:v>net margins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Analysis!$S$72:$S$75</c:f>
              <c:strCache>
                <c:ptCount val="4"/>
                <c:pt idx="0">
                  <c:v>2020 Q2</c:v>
                </c:pt>
                <c:pt idx="1">
                  <c:v>2021 Q2</c:v>
                </c:pt>
                <c:pt idx="2">
                  <c:v>2022 Q2</c:v>
                </c:pt>
                <c:pt idx="3">
                  <c:v>2023 Q2</c:v>
                </c:pt>
              </c:strCache>
            </c:strRef>
          </c:cat>
          <c:val>
            <c:numRef>
              <c:f>Analysis!$X$72:$X$75</c:f>
              <c:numCache>
                <c:formatCode>0.0%</c:formatCode>
                <c:ptCount val="4"/>
                <c:pt idx="1">
                  <c:v>-9.7254595767645342E-3</c:v>
                </c:pt>
                <c:pt idx="2">
                  <c:v>9.21909944532808E-2</c:v>
                </c:pt>
                <c:pt idx="3">
                  <c:v>0.13667958804335376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60-4782-A470-39C8690BC4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4"/>
        <c:axId val="1590776511"/>
        <c:axId val="159077699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Analysis!$T$64:$T$65</c15:sqref>
                        </c15:formulaRef>
                      </c:ext>
                    </c:extLst>
                    <c:strCache>
                      <c:ptCount val="2"/>
                      <c:pt idx="0">
                        <c:v>revenue</c:v>
                      </c:pt>
                    </c:strCache>
                  </c:strRef>
                </c:tx>
                <c:spPr>
                  <a:solidFill>
                    <a:srgbClr val="00B050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50" b="1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he-IL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Analysis!$S$72:$S$75</c15:sqref>
                        </c15:formulaRef>
                      </c:ext>
                    </c:extLst>
                    <c:strCache>
                      <c:ptCount val="4"/>
                      <c:pt idx="0">
                        <c:v>2020 Q2</c:v>
                      </c:pt>
                      <c:pt idx="1">
                        <c:v>2021 Q2</c:v>
                      </c:pt>
                      <c:pt idx="2">
                        <c:v>2022 Q2</c:v>
                      </c:pt>
                      <c:pt idx="3">
                        <c:v>2023 Q2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Analysis!$T$66:$T$69</c15:sqref>
                        </c15:formulaRef>
                      </c:ext>
                    </c:extLst>
                    <c:numCache>
                      <c:formatCode>_-[$$-409]* #,##0.00_ ;_-[$$-409]* \-#,##0.00\ ;_-[$$-409]* "-"??_ ;_-@_ </c:formatCode>
                      <c:ptCount val="4"/>
                      <c:pt idx="0">
                        <c:v>152.82400000000001</c:v>
                      </c:pt>
                      <c:pt idx="1">
                        <c:v>229.52</c:v>
                      </c:pt>
                      <c:pt idx="2">
                        <c:v>251.9</c:v>
                      </c:pt>
                      <c:pt idx="3">
                        <c:v>254.5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2F60-4782-A470-39C8690BC482}"/>
                  </c:ext>
                </c:extLst>
              </c15:ser>
            </c15:filteredBarSeries>
          </c:ext>
        </c:extLst>
      </c:barChart>
      <c:catAx>
        <c:axId val="1590776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590776991"/>
        <c:crosses val="autoZero"/>
        <c:auto val="1"/>
        <c:lblAlgn val="ctr"/>
        <c:lblOffset val="100"/>
        <c:noMultiLvlLbl val="0"/>
      </c:catAx>
      <c:valAx>
        <c:axId val="1590776991"/>
        <c:scaling>
          <c:orientation val="minMax"/>
        </c:scaling>
        <c:delete val="0"/>
        <c:axPos val="l"/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590776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income nargin by Q2 %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Analysis!$X$71</c:f>
              <c:strCache>
                <c:ptCount val="1"/>
                <c:pt idx="0">
                  <c:v>net margins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1E2F-44EF-9152-7AED3201DC7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Analysis!$S$72:$S$76</c:f>
              <c:strCache>
                <c:ptCount val="5"/>
                <c:pt idx="0">
                  <c:v>2020 Q2</c:v>
                </c:pt>
                <c:pt idx="1">
                  <c:v>2021 Q2</c:v>
                </c:pt>
                <c:pt idx="2">
                  <c:v>2022 Q2</c:v>
                </c:pt>
                <c:pt idx="3">
                  <c:v>2023 Q2</c:v>
                </c:pt>
                <c:pt idx="4">
                  <c:v>2024 Q2</c:v>
                </c:pt>
              </c:strCache>
            </c:strRef>
          </c:cat>
          <c:val>
            <c:numRef>
              <c:f>Analysis!$X$72:$X$76</c:f>
              <c:numCache>
                <c:formatCode>0.0%</c:formatCode>
                <c:ptCount val="5"/>
                <c:pt idx="1">
                  <c:v>-9.7254595767645342E-3</c:v>
                </c:pt>
                <c:pt idx="2">
                  <c:v>9.21909944532808E-2</c:v>
                </c:pt>
                <c:pt idx="3">
                  <c:v>0.13667958804335376</c:v>
                </c:pt>
                <c:pt idx="4">
                  <c:v>0.11111111111111112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84-4205-A090-C7A88878D0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4"/>
        <c:axId val="1590776511"/>
        <c:axId val="159077699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Analysis!$T$64:$T$65</c15:sqref>
                        </c15:formulaRef>
                      </c:ext>
                    </c:extLst>
                    <c:strCache>
                      <c:ptCount val="2"/>
                      <c:pt idx="0">
                        <c:v>revenue</c:v>
                      </c:pt>
                    </c:strCache>
                  </c:strRef>
                </c:tx>
                <c:spPr>
                  <a:solidFill>
                    <a:srgbClr val="00B050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50" b="1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he-IL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Analysis!$S$72:$S$76</c15:sqref>
                        </c15:formulaRef>
                      </c:ext>
                    </c:extLst>
                    <c:strCache>
                      <c:ptCount val="5"/>
                      <c:pt idx="0">
                        <c:v>2020 Q2</c:v>
                      </c:pt>
                      <c:pt idx="1">
                        <c:v>2021 Q2</c:v>
                      </c:pt>
                      <c:pt idx="2">
                        <c:v>2022 Q2</c:v>
                      </c:pt>
                      <c:pt idx="3">
                        <c:v>2023 Q2</c:v>
                      </c:pt>
                      <c:pt idx="4">
                        <c:v>2024 Q2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Analysis!$T$66:$T$69</c15:sqref>
                        </c15:formulaRef>
                      </c:ext>
                    </c:extLst>
                    <c:numCache>
                      <c:formatCode>_-[$$-409]* #,##0.00_ ;_-[$$-409]* \-#,##0.00\ ;_-[$$-409]* "-"??_ ;_-@_ </c:formatCode>
                      <c:ptCount val="4"/>
                      <c:pt idx="0">
                        <c:v>152.82400000000001</c:v>
                      </c:pt>
                      <c:pt idx="1">
                        <c:v>229.52</c:v>
                      </c:pt>
                      <c:pt idx="2">
                        <c:v>251.9</c:v>
                      </c:pt>
                      <c:pt idx="3">
                        <c:v>254.5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E084-4205-A090-C7A88878D0FF}"/>
                  </c:ext>
                </c:extLst>
              </c15:ser>
            </c15:filteredBarSeries>
          </c:ext>
        </c:extLst>
      </c:barChart>
      <c:catAx>
        <c:axId val="1590776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590776991"/>
        <c:crosses val="autoZero"/>
        <c:auto val="1"/>
        <c:lblAlgn val="ctr"/>
        <c:lblOffset val="100"/>
        <c:noMultiLvlLbl val="0"/>
      </c:catAx>
      <c:valAx>
        <c:axId val="1590776991"/>
        <c:scaling>
          <c:orientation val="minMax"/>
        </c:scaling>
        <c:delete val="0"/>
        <c:axPos val="l"/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590776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income nargin by Q1 %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Analysis!$X$64:$X$65</c:f>
              <c:strCache>
                <c:ptCount val="2"/>
                <c:pt idx="0">
                  <c:v>net margins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Analysis!$S$66:$S$69</c:f>
              <c:strCache>
                <c:ptCount val="4"/>
                <c:pt idx="0">
                  <c:v>2021 Q1</c:v>
                </c:pt>
                <c:pt idx="1">
                  <c:v>2022 Q1</c:v>
                </c:pt>
                <c:pt idx="2">
                  <c:v>2023 Q1</c:v>
                </c:pt>
                <c:pt idx="3">
                  <c:v>2024 Q1</c:v>
                </c:pt>
              </c:strCache>
              <c:extLst xmlns:c15="http://schemas.microsoft.com/office/drawing/2012/chart"/>
            </c:strRef>
          </c:cat>
          <c:val>
            <c:numRef>
              <c:f>Analysis!$X$66:$X$69</c:f>
              <c:numCache>
                <c:formatCode>0.0%</c:formatCode>
                <c:ptCount val="4"/>
                <c:pt idx="0">
                  <c:v>9.6313406271266278E-2</c:v>
                </c:pt>
                <c:pt idx="1">
                  <c:v>8.5848727779714182E-2</c:v>
                </c:pt>
                <c:pt idx="2">
                  <c:v>0.10321556173084558</c:v>
                </c:pt>
                <c:pt idx="3">
                  <c:v>0.1206286836935167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3F-4554-BCF3-0A3B962D7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4"/>
        <c:axId val="1590776511"/>
        <c:axId val="159077699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Analysis!$T$64:$T$65</c15:sqref>
                        </c15:formulaRef>
                      </c:ext>
                    </c:extLst>
                    <c:strCache>
                      <c:ptCount val="2"/>
                      <c:pt idx="0">
                        <c:v>revenue</c:v>
                      </c:pt>
                    </c:strCache>
                  </c:strRef>
                </c:tx>
                <c:spPr>
                  <a:solidFill>
                    <a:srgbClr val="00B050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50" b="1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he-IL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Analysis!$S$66:$S$69</c15:sqref>
                        </c15:formulaRef>
                      </c:ext>
                    </c:extLst>
                    <c:strCache>
                      <c:ptCount val="4"/>
                      <c:pt idx="0">
                        <c:v>2021 Q1</c:v>
                      </c:pt>
                      <c:pt idx="1">
                        <c:v>2022 Q1</c:v>
                      </c:pt>
                      <c:pt idx="2">
                        <c:v>2023 Q1</c:v>
                      </c:pt>
                      <c:pt idx="3">
                        <c:v>2024 Q1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Analysis!$T$66:$T$69</c15:sqref>
                        </c15:formulaRef>
                      </c:ext>
                    </c:extLst>
                    <c:numCache>
                      <c:formatCode>_-[$$-409]* #,##0.00_ ;_-[$$-409]* \-#,##0.00\ ;_-[$$-409]* "-"??_ ;_-@_ </c:formatCode>
                      <c:ptCount val="4"/>
                      <c:pt idx="0">
                        <c:v>152.82400000000001</c:v>
                      </c:pt>
                      <c:pt idx="1">
                        <c:v>229.52</c:v>
                      </c:pt>
                      <c:pt idx="2">
                        <c:v>251.9</c:v>
                      </c:pt>
                      <c:pt idx="3">
                        <c:v>254.5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843F-4554-BCF3-0A3B962D70DB}"/>
                  </c:ext>
                </c:extLst>
              </c15:ser>
            </c15:filteredBarSeries>
          </c:ext>
        </c:extLst>
      </c:barChart>
      <c:catAx>
        <c:axId val="1590776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590776991"/>
        <c:crosses val="autoZero"/>
        <c:auto val="1"/>
        <c:lblAlgn val="ctr"/>
        <c:lblOffset val="100"/>
        <c:noMultiLvlLbl val="0"/>
      </c:catAx>
      <c:valAx>
        <c:axId val="1590776991"/>
        <c:scaling>
          <c:orientation val="minMax"/>
        </c:scaling>
        <c:delete val="0"/>
        <c:axPos val="l"/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590776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Analysis!$X$39:$X$40</c:f>
              <c:strCache>
                <c:ptCount val="2"/>
                <c:pt idx="0">
                  <c:v>net margins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Pt>
            <c:idx val="16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C075-4887-8106-A0F769138B8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Analysis!$S$41:$S$57</c:f>
              <c:strCache>
                <c:ptCount val="17"/>
                <c:pt idx="0">
                  <c:v>2020 Q2</c:v>
                </c:pt>
                <c:pt idx="1">
                  <c:v>2020 Q3</c:v>
                </c:pt>
                <c:pt idx="2">
                  <c:v>2020 Q4</c:v>
                </c:pt>
                <c:pt idx="3">
                  <c:v>2021 Q1</c:v>
                </c:pt>
                <c:pt idx="4">
                  <c:v>2021 Q2</c:v>
                </c:pt>
                <c:pt idx="5">
                  <c:v>2021 Q3</c:v>
                </c:pt>
                <c:pt idx="6">
                  <c:v>2021 Q4</c:v>
                </c:pt>
                <c:pt idx="7">
                  <c:v>2022 Q1</c:v>
                </c:pt>
                <c:pt idx="8">
                  <c:v>2022 Q2</c:v>
                </c:pt>
                <c:pt idx="9">
                  <c:v>2022 Q3</c:v>
                </c:pt>
                <c:pt idx="10">
                  <c:v>2022 Q4</c:v>
                </c:pt>
                <c:pt idx="11">
                  <c:v>2023 Q1</c:v>
                </c:pt>
                <c:pt idx="12">
                  <c:v>2023 Q2</c:v>
                </c:pt>
                <c:pt idx="13">
                  <c:v>2023 Q3</c:v>
                </c:pt>
                <c:pt idx="14">
                  <c:v>2023 Q4</c:v>
                </c:pt>
                <c:pt idx="15">
                  <c:v>2024 Q1</c:v>
                </c:pt>
                <c:pt idx="16">
                  <c:v>2024 Q2</c:v>
                </c:pt>
              </c:strCache>
            </c:strRef>
          </c:cat>
          <c:val>
            <c:numRef>
              <c:f>Analysis!$X$41:$X$57</c:f>
              <c:numCache>
                <c:formatCode>0.0%</c:formatCode>
                <c:ptCount val="17"/>
                <c:pt idx="0">
                  <c:v>9.0141536447680609E-2</c:v>
                </c:pt>
                <c:pt idx="1">
                  <c:v>0.14802015120529574</c:v>
                </c:pt>
                <c:pt idx="2">
                  <c:v>5.8351140347201853E-2</c:v>
                </c:pt>
                <c:pt idx="3">
                  <c:v>9.6313406271266278E-2</c:v>
                </c:pt>
                <c:pt idx="4">
                  <c:v>-9.7254595767645342E-3</c:v>
                </c:pt>
                <c:pt idx="5">
                  <c:v>8.2762660418552639E-2</c:v>
                </c:pt>
                <c:pt idx="6">
                  <c:v>6.4737531023697004E-2</c:v>
                </c:pt>
                <c:pt idx="7">
                  <c:v>8.5848727779714182E-2</c:v>
                </c:pt>
                <c:pt idx="8">
                  <c:v>9.21909944532808E-2</c:v>
                </c:pt>
                <c:pt idx="9">
                  <c:v>0.12342857142857143</c:v>
                </c:pt>
                <c:pt idx="10">
                  <c:v>0.1171300300965807</c:v>
                </c:pt>
                <c:pt idx="11">
                  <c:v>0.10321556173084558</c:v>
                </c:pt>
                <c:pt idx="12">
                  <c:v>0.13667958804335376</c:v>
                </c:pt>
                <c:pt idx="13">
                  <c:v>0.13209568011424491</c:v>
                </c:pt>
                <c:pt idx="14">
                  <c:v>0.13538472036362398</c:v>
                </c:pt>
                <c:pt idx="15">
                  <c:v>0.1206286836935167</c:v>
                </c:pt>
                <c:pt idx="16">
                  <c:v>0.11111111111111112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4F-41A3-83CD-BE394A12C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2"/>
        <c:overlap val="-27"/>
        <c:axId val="1599695919"/>
        <c:axId val="1599696399"/>
      </c:barChart>
      <c:catAx>
        <c:axId val="1599695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599696399"/>
        <c:crosses val="autoZero"/>
        <c:auto val="1"/>
        <c:lblAlgn val="ctr"/>
        <c:lblOffset val="100"/>
        <c:noMultiLvlLbl val="0"/>
      </c:catAx>
      <c:valAx>
        <c:axId val="1599696399"/>
        <c:scaling>
          <c:orientation val="minMax"/>
        </c:scaling>
        <c:delete val="0"/>
        <c:axPos val="l"/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599695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estimations!$L$5:$L$6</c:f>
              <c:strCache>
                <c:ptCount val="2"/>
                <c:pt idx="0">
                  <c:v>% growth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estimations!$J$7:$J$22</c:f>
              <c:strCache>
                <c:ptCount val="16"/>
                <c:pt idx="0">
                  <c:v>2020 Q2</c:v>
                </c:pt>
                <c:pt idx="1">
                  <c:v>2020 Q3</c:v>
                </c:pt>
                <c:pt idx="2">
                  <c:v>2020 Q4</c:v>
                </c:pt>
                <c:pt idx="3">
                  <c:v>2021 Q1</c:v>
                </c:pt>
                <c:pt idx="4">
                  <c:v>2021 Q2</c:v>
                </c:pt>
                <c:pt idx="5">
                  <c:v>2021 Q3</c:v>
                </c:pt>
                <c:pt idx="6">
                  <c:v>2021 Q4</c:v>
                </c:pt>
                <c:pt idx="7">
                  <c:v>2022 Q1</c:v>
                </c:pt>
                <c:pt idx="8">
                  <c:v>2022 Q2</c:v>
                </c:pt>
                <c:pt idx="9">
                  <c:v>2022 Q3</c:v>
                </c:pt>
                <c:pt idx="10">
                  <c:v>2022 Q4</c:v>
                </c:pt>
                <c:pt idx="11">
                  <c:v>2023 Q1</c:v>
                </c:pt>
                <c:pt idx="12">
                  <c:v>2023 Q2</c:v>
                </c:pt>
                <c:pt idx="13">
                  <c:v>2023 Q3</c:v>
                </c:pt>
                <c:pt idx="14">
                  <c:v>2023 Q4</c:v>
                </c:pt>
                <c:pt idx="15">
                  <c:v>2024 Q1</c:v>
                </c:pt>
              </c:strCache>
            </c:strRef>
          </c:cat>
          <c:val>
            <c:numRef>
              <c:f>estimations!$L$7:$L$22</c:f>
              <c:numCache>
                <c:formatCode>0.0%</c:formatCode>
                <c:ptCount val="16"/>
                <c:pt idx="0">
                  <c:v>0</c:v>
                </c:pt>
                <c:pt idx="1">
                  <c:v>0.14815511740161985</c:v>
                </c:pt>
                <c:pt idx="2">
                  <c:v>1.040801202801787</c:v>
                </c:pt>
                <c:pt idx="3">
                  <c:v>-0.46640410050138958</c:v>
                </c:pt>
                <c:pt idx="4">
                  <c:v>0.1397555357797203</c:v>
                </c:pt>
                <c:pt idx="5">
                  <c:v>7.8125179410042392E-2</c:v>
                </c:pt>
                <c:pt idx="6">
                  <c:v>0.25301666755418295</c:v>
                </c:pt>
                <c:pt idx="7">
                  <c:v>-2.4580967599360792E-2</c:v>
                </c:pt>
                <c:pt idx="8">
                  <c:v>7.9269780411293081E-2</c:v>
                </c:pt>
                <c:pt idx="9">
                  <c:v>5.9689803563787273E-2</c:v>
                </c:pt>
                <c:pt idx="10">
                  <c:v>6.5775238095238164E-2</c:v>
                </c:pt>
                <c:pt idx="11">
                  <c:v>-9.9604669616751185E-2</c:v>
                </c:pt>
                <c:pt idx="12">
                  <c:v>7.4279475982532692E-2</c:v>
                </c:pt>
                <c:pt idx="13">
                  <c:v>3.506509343670447E-2</c:v>
                </c:pt>
                <c:pt idx="14">
                  <c:v>-5.823277400928252E-2</c:v>
                </c:pt>
                <c:pt idx="15">
                  <c:v>-3.5213750383829456E-2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0D-4534-84CA-704D7E4D8E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457056"/>
        <c:axId val="1684599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estimations!$K$5:$K$6</c15:sqref>
                        </c15:formulaRef>
                      </c:ext>
                    </c:extLst>
                    <c:strCache>
                      <c:ptCount val="2"/>
                      <c:pt idx="0">
                        <c:v>revenue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estimations!$J$7:$J$22</c15:sqref>
                        </c15:formulaRef>
                      </c:ext>
                    </c:extLst>
                    <c:strCache>
                      <c:ptCount val="16"/>
                      <c:pt idx="0">
                        <c:v>2020 Q2</c:v>
                      </c:pt>
                      <c:pt idx="1">
                        <c:v>2020 Q3</c:v>
                      </c:pt>
                      <c:pt idx="2">
                        <c:v>2020 Q4</c:v>
                      </c:pt>
                      <c:pt idx="3">
                        <c:v>2021 Q1</c:v>
                      </c:pt>
                      <c:pt idx="4">
                        <c:v>2021 Q2</c:v>
                      </c:pt>
                      <c:pt idx="5">
                        <c:v>2021 Q3</c:v>
                      </c:pt>
                      <c:pt idx="6">
                        <c:v>2021 Q4</c:v>
                      </c:pt>
                      <c:pt idx="7">
                        <c:v>2022 Q1</c:v>
                      </c:pt>
                      <c:pt idx="8">
                        <c:v>2022 Q2</c:v>
                      </c:pt>
                      <c:pt idx="9">
                        <c:v>2022 Q3</c:v>
                      </c:pt>
                      <c:pt idx="10">
                        <c:v>2022 Q4</c:v>
                      </c:pt>
                      <c:pt idx="11">
                        <c:v>2023 Q1</c:v>
                      </c:pt>
                      <c:pt idx="12">
                        <c:v>2023 Q2</c:v>
                      </c:pt>
                      <c:pt idx="13">
                        <c:v>2023 Q3</c:v>
                      </c:pt>
                      <c:pt idx="14">
                        <c:v>2023 Q4</c:v>
                      </c:pt>
                      <c:pt idx="15">
                        <c:v>2024 Q1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estimations!$K$7:$K$22</c15:sqref>
                        </c15:formulaRef>
                      </c:ext>
                    </c:extLst>
                    <c:numCache>
                      <c:formatCode>_-[$$-409]* #,##0.00_ ;_-[$$-409]* \-#,##0.00\ ;_-[$$-409]* "-"??_ ;_-@_ </c:formatCode>
                      <c:ptCount val="16"/>
                      <c:pt idx="0">
                        <c:v>122.23</c:v>
                      </c:pt>
                      <c:pt idx="1">
                        <c:v>140.339</c:v>
                      </c:pt>
                      <c:pt idx="2">
                        <c:v>286.404</c:v>
                      </c:pt>
                      <c:pt idx="3">
                        <c:v>152.82400000000001</c:v>
                      </c:pt>
                      <c:pt idx="4">
                        <c:v>174.18199999999999</c:v>
                      </c:pt>
                      <c:pt idx="5">
                        <c:v>187.79</c:v>
                      </c:pt>
                      <c:pt idx="6">
                        <c:v>235.304</c:v>
                      </c:pt>
                      <c:pt idx="7">
                        <c:v>229.52</c:v>
                      </c:pt>
                      <c:pt idx="8">
                        <c:v>247.714</c:v>
                      </c:pt>
                      <c:pt idx="9">
                        <c:v>262.5</c:v>
                      </c:pt>
                      <c:pt idx="10">
                        <c:v>279.76600000000002</c:v>
                      </c:pt>
                      <c:pt idx="11">
                        <c:v>251.9</c:v>
                      </c:pt>
                      <c:pt idx="12">
                        <c:v>270.61099999999999</c:v>
                      </c:pt>
                      <c:pt idx="13">
                        <c:v>280.10000000000002</c:v>
                      </c:pt>
                      <c:pt idx="14">
                        <c:v>263.78899999999999</c:v>
                      </c:pt>
                      <c:pt idx="15">
                        <c:v>254.5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A10D-4534-84CA-704D7E4D8E6A}"/>
                  </c:ext>
                </c:extLst>
              </c15:ser>
            </c15:filteredBarSeries>
          </c:ext>
        </c:extLst>
      </c:barChart>
      <c:catAx>
        <c:axId val="168457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68459936"/>
        <c:crosses val="autoZero"/>
        <c:auto val="1"/>
        <c:lblAlgn val="ctr"/>
        <c:lblOffset val="100"/>
        <c:noMultiLvlLbl val="0"/>
      </c:catAx>
      <c:valAx>
        <c:axId val="16845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68457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Analysis!$U$39</c:f>
              <c:strCache>
                <c:ptCount val="1"/>
                <c:pt idx="0">
                  <c:v>rev growth%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dLbl>
              <c:idx val="11"/>
              <c:layout>
                <c:manualLayout>
                  <c:x val="2.331002331002331E-3"/>
                  <c:y val="-0.10582010582010581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E92-4A7E-A2E9-55CA0E364CAC}"/>
                </c:ext>
              </c:extLst>
            </c:dLbl>
            <c:dLbl>
              <c:idx val="14"/>
              <c:layout>
                <c:manualLayout>
                  <c:x val="-6.993006993006993E-3"/>
                  <c:y val="-0.11428538099404241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E92-4A7E-A2E9-55CA0E364CAC}"/>
                </c:ext>
              </c:extLst>
            </c:dLbl>
            <c:dLbl>
              <c:idx val="15"/>
              <c:layout>
                <c:manualLayout>
                  <c:x val="4.662004662004662E-3"/>
                  <c:y val="-9.312135983002124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E92-4A7E-A2E9-55CA0E364CA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Analysis!$S$41:$S$57</c:f>
              <c:strCache>
                <c:ptCount val="17"/>
                <c:pt idx="0">
                  <c:v>2020 Q2</c:v>
                </c:pt>
                <c:pt idx="1">
                  <c:v>2020 Q3</c:v>
                </c:pt>
                <c:pt idx="2">
                  <c:v>2020 Q4</c:v>
                </c:pt>
                <c:pt idx="3">
                  <c:v>2021 Q1</c:v>
                </c:pt>
                <c:pt idx="4">
                  <c:v>2021 Q2</c:v>
                </c:pt>
                <c:pt idx="5">
                  <c:v>2021 Q3</c:v>
                </c:pt>
                <c:pt idx="6">
                  <c:v>2021 Q4</c:v>
                </c:pt>
                <c:pt idx="7">
                  <c:v>2022 Q1</c:v>
                </c:pt>
                <c:pt idx="8">
                  <c:v>2022 Q2</c:v>
                </c:pt>
                <c:pt idx="9">
                  <c:v>2022 Q3</c:v>
                </c:pt>
                <c:pt idx="10">
                  <c:v>2022 Q4</c:v>
                </c:pt>
                <c:pt idx="11">
                  <c:v>2023 Q1</c:v>
                </c:pt>
                <c:pt idx="12">
                  <c:v>2023 Q2</c:v>
                </c:pt>
                <c:pt idx="13">
                  <c:v>2023 Q3</c:v>
                </c:pt>
                <c:pt idx="14">
                  <c:v>2023 Q4</c:v>
                </c:pt>
                <c:pt idx="15">
                  <c:v>2024 Q1</c:v>
                </c:pt>
                <c:pt idx="16">
                  <c:v>2024 Q2</c:v>
                </c:pt>
              </c:strCache>
            </c:strRef>
          </c:cat>
          <c:val>
            <c:numRef>
              <c:f>Analysis!$U$41:$U$57</c:f>
              <c:numCache>
                <c:formatCode>0.0%</c:formatCode>
                <c:ptCount val="17"/>
                <c:pt idx="1">
                  <c:v>0.14815511740161985</c:v>
                </c:pt>
                <c:pt idx="2">
                  <c:v>1.040801202801787</c:v>
                </c:pt>
                <c:pt idx="3">
                  <c:v>-0.46640410050138958</c:v>
                </c:pt>
                <c:pt idx="4">
                  <c:v>0.1397555357797203</c:v>
                </c:pt>
                <c:pt idx="5">
                  <c:v>7.8125179410042392E-2</c:v>
                </c:pt>
                <c:pt idx="6">
                  <c:v>0.25301666755418295</c:v>
                </c:pt>
                <c:pt idx="7">
                  <c:v>-2.4580967599360792E-2</c:v>
                </c:pt>
                <c:pt idx="8">
                  <c:v>7.9269780411293081E-2</c:v>
                </c:pt>
                <c:pt idx="9">
                  <c:v>5.9689803563787273E-2</c:v>
                </c:pt>
                <c:pt idx="10">
                  <c:v>6.5775238095238164E-2</c:v>
                </c:pt>
                <c:pt idx="11">
                  <c:v>-9.9604669616751185E-2</c:v>
                </c:pt>
                <c:pt idx="12">
                  <c:v>7.4279475982532692E-2</c:v>
                </c:pt>
                <c:pt idx="13">
                  <c:v>3.506509343670447E-2</c:v>
                </c:pt>
                <c:pt idx="14">
                  <c:v>-5.823277400928252E-2</c:v>
                </c:pt>
                <c:pt idx="15">
                  <c:v>-3.5213750383829456E-2</c:v>
                </c:pt>
                <c:pt idx="16">
                  <c:v>-2.3968565815324142E-2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92-4A7E-A2E9-55CA0E364C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2"/>
        <c:overlap val="-27"/>
        <c:axId val="1599695919"/>
        <c:axId val="1599696399"/>
      </c:barChart>
      <c:catAx>
        <c:axId val="1599695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599696399"/>
        <c:crosses val="autoZero"/>
        <c:auto val="1"/>
        <c:lblAlgn val="ctr"/>
        <c:lblOffset val="100"/>
        <c:noMultiLvlLbl val="0"/>
      </c:catAx>
      <c:valAx>
        <c:axId val="15996963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599695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estimations!$D$5</c:f>
              <c:strCache>
                <c:ptCount val="1"/>
                <c:pt idx="0">
                  <c:v>% growth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estimations!$B$6:$B$9</c:f>
              <c:numCache>
                <c:formatCode>General</c:formatCode>
                <c:ptCount val="4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</c:numCache>
            </c:numRef>
          </c:cat>
          <c:val>
            <c:numRef>
              <c:f>estimations!$D$6:$D$9</c:f>
              <c:numCache>
                <c:formatCode>0.0%</c:formatCode>
                <c:ptCount val="4"/>
                <c:pt idx="1">
                  <c:v>0.36636956644498014</c:v>
                </c:pt>
                <c:pt idx="2">
                  <c:v>0.35915211305159306</c:v>
                </c:pt>
                <c:pt idx="3">
                  <c:v>4.6002942618930939E-2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AB-4E02-B71B-8FC1306151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5"/>
        <c:overlap val="-27"/>
        <c:axId val="174084416"/>
        <c:axId val="1740839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estimations!$C$5</c15:sqref>
                        </c15:formulaRef>
                      </c:ext>
                    </c:extLst>
                    <c:strCache>
                      <c:ptCount val="1"/>
                      <c:pt idx="0">
                        <c:v>revenue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estimations!$B$6:$B$9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2020</c:v>
                      </c:pt>
                      <c:pt idx="1">
                        <c:v>2021</c:v>
                      </c:pt>
                      <c:pt idx="2">
                        <c:v>2022</c:v>
                      </c:pt>
                      <c:pt idx="3">
                        <c:v>2023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estimations!$C$6:$C$9</c15:sqref>
                        </c15:formulaRef>
                      </c:ext>
                    </c:extLst>
                    <c:numCache>
                      <c:formatCode>_-[$$-409]* #,##0.00_ ;_-[$$-409]* \-#,##0.00\ ;_-[$$-409]* "-"??_ ;_-@_ </c:formatCode>
                      <c:ptCount val="4"/>
                      <c:pt idx="0">
                        <c:v>548.97299999999996</c:v>
                      </c:pt>
                      <c:pt idx="1">
                        <c:v>750.1</c:v>
                      </c:pt>
                      <c:pt idx="2">
                        <c:v>1019.5</c:v>
                      </c:pt>
                      <c:pt idx="3">
                        <c:v>1066.4000000000001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07AB-4E02-B71B-8FC130615179}"/>
                  </c:ext>
                </c:extLst>
              </c15:ser>
            </c15:filteredBarSeries>
          </c:ext>
        </c:extLst>
      </c:barChart>
      <c:catAx>
        <c:axId val="174084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74083936"/>
        <c:crosses val="autoZero"/>
        <c:auto val="1"/>
        <c:lblAlgn val="ctr"/>
        <c:lblOffset val="100"/>
        <c:noMultiLvlLbl val="0"/>
      </c:catAx>
      <c:valAx>
        <c:axId val="1740839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74084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estimations!$F$66</c:f>
              <c:strCache>
                <c:ptCount val="1"/>
                <c:pt idx="0">
                  <c:v>operating margins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estimations!$C$67:$C$70</c:f>
              <c:numCache>
                <c:formatCode>General</c:formatCode>
                <c:ptCount val="4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</c:numCache>
            </c:numRef>
          </c:cat>
          <c:val>
            <c:numRef>
              <c:f>estimations!$F$67:$F$70</c:f>
              <c:numCache>
                <c:formatCode>0.0%</c:formatCode>
                <c:ptCount val="4"/>
                <c:pt idx="0">
                  <c:v>0.17217786667103849</c:v>
                </c:pt>
                <c:pt idx="1">
                  <c:v>0.12318357552326357</c:v>
                </c:pt>
                <c:pt idx="2">
                  <c:v>0.18391368317802845</c:v>
                </c:pt>
                <c:pt idx="3">
                  <c:v>0.23040135033758435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77-4871-AB3D-B00821E0F26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7"/>
        <c:axId val="143320015"/>
        <c:axId val="143313775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estimations!$D$66</c15:sqref>
                        </c15:formulaRef>
                      </c:ext>
                    </c:extLst>
                    <c:strCache>
                      <c:ptCount val="1"/>
                      <c:pt idx="0">
                        <c:v>revenue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he-IL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estimations!$C$67:$C$70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2020</c:v>
                      </c:pt>
                      <c:pt idx="1">
                        <c:v>2021</c:v>
                      </c:pt>
                      <c:pt idx="2">
                        <c:v>2022</c:v>
                      </c:pt>
                      <c:pt idx="3">
                        <c:v>2023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estimations!$D$67:$D$70</c15:sqref>
                        </c15:formulaRef>
                      </c:ext>
                    </c:extLst>
                    <c:numCache>
                      <c:formatCode>_-[$$-409]* #,##0.00_ ;_-[$$-409]* \-#,##0.00\ ;_-[$$-409]* "-"??_ ;_-@_ </c:formatCode>
                      <c:ptCount val="4"/>
                      <c:pt idx="0">
                        <c:v>548.97299999999996</c:v>
                      </c:pt>
                      <c:pt idx="1">
                        <c:v>750.1</c:v>
                      </c:pt>
                      <c:pt idx="2">
                        <c:v>1019.5</c:v>
                      </c:pt>
                      <c:pt idx="3">
                        <c:v>1066.4000000000001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7B77-4871-AB3D-B00821E0F264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estimations!$E$66</c15:sqref>
                        </c15:formulaRef>
                      </c:ext>
                    </c:extLst>
                    <c:strCache>
                      <c:ptCount val="1"/>
                      <c:pt idx="0">
                        <c:v>operating income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he-IL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estimations!$C$67:$C$70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2020</c:v>
                      </c:pt>
                      <c:pt idx="1">
                        <c:v>2021</c:v>
                      </c:pt>
                      <c:pt idx="2">
                        <c:v>2022</c:v>
                      </c:pt>
                      <c:pt idx="3">
                        <c:v>2023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estimations!$E$67:$E$70</c15:sqref>
                        </c15:formulaRef>
                      </c:ext>
                    </c:extLst>
                    <c:numCache>
                      <c:formatCode>_-[$$-409]* #,##0.00_ ;_-[$$-409]* \-#,##0.00\ ;_-[$$-409]* "-"??_ ;_-@_ </c:formatCode>
                      <c:ptCount val="4"/>
                      <c:pt idx="0">
                        <c:v>94.521000000000001</c:v>
                      </c:pt>
                      <c:pt idx="1">
                        <c:v>92.4</c:v>
                      </c:pt>
                      <c:pt idx="2">
                        <c:v>187.5</c:v>
                      </c:pt>
                      <c:pt idx="3">
                        <c:v>245.7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7B77-4871-AB3D-B00821E0F264}"/>
                  </c:ext>
                </c:extLst>
              </c15:ser>
            </c15:filteredBarSeries>
          </c:ext>
        </c:extLst>
      </c:barChart>
      <c:catAx>
        <c:axId val="143320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43313775"/>
        <c:crosses val="autoZero"/>
        <c:auto val="1"/>
        <c:lblAlgn val="ctr"/>
        <c:lblOffset val="100"/>
        <c:noMultiLvlLbl val="0"/>
      </c:catAx>
      <c:valAx>
        <c:axId val="143313775"/>
        <c:scaling>
          <c:orientation val="minMax"/>
        </c:scaling>
        <c:delete val="0"/>
        <c:axPos val="l"/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43320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data!$D$27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Pt>
            <c:idx val="1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112-41CF-A5E1-B9B19F5ACCE4}"/>
              </c:ext>
            </c:extLst>
          </c:dPt>
          <c:dPt>
            <c:idx val="15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B112-41CF-A5E1-B9B19F5ACCE4}"/>
              </c:ext>
            </c:extLst>
          </c:dPt>
          <c:cat>
            <c:strRef>
              <c:f>data!$C$29:$C$44</c:f>
              <c:strCache>
                <c:ptCount val="16"/>
                <c:pt idx="0">
                  <c:v>2020 Q2</c:v>
                </c:pt>
                <c:pt idx="1">
                  <c:v>2020 Q3</c:v>
                </c:pt>
                <c:pt idx="2">
                  <c:v>2020 Q4</c:v>
                </c:pt>
                <c:pt idx="3">
                  <c:v>2021 Q1</c:v>
                </c:pt>
                <c:pt idx="4">
                  <c:v>2021 Q2</c:v>
                </c:pt>
                <c:pt idx="5">
                  <c:v>2021 Q3</c:v>
                </c:pt>
                <c:pt idx="6">
                  <c:v>2021 Q4</c:v>
                </c:pt>
                <c:pt idx="7">
                  <c:v>2022 Q1</c:v>
                </c:pt>
                <c:pt idx="8">
                  <c:v>2022 Q2</c:v>
                </c:pt>
                <c:pt idx="9">
                  <c:v>2022 Q3</c:v>
                </c:pt>
                <c:pt idx="10">
                  <c:v>2022 Q4</c:v>
                </c:pt>
                <c:pt idx="11">
                  <c:v>2023 Q1</c:v>
                </c:pt>
                <c:pt idx="12">
                  <c:v>2023 Q2</c:v>
                </c:pt>
                <c:pt idx="13">
                  <c:v>2023 Q3</c:v>
                </c:pt>
                <c:pt idx="14">
                  <c:v>2023 Q4</c:v>
                </c:pt>
                <c:pt idx="15">
                  <c:v>2024 Q1</c:v>
                </c:pt>
              </c:strCache>
            </c:strRef>
          </c:cat>
          <c:val>
            <c:numRef>
              <c:f>data!$D$29:$D$44</c:f>
              <c:numCache>
                <c:formatCode>_-[$$-409]* #,##0.00_ ;_-[$$-409]* \-#,##0.00\ ;_-[$$-409]* "-"??_ ;_-@_ </c:formatCode>
                <c:ptCount val="16"/>
                <c:pt idx="0">
                  <c:v>122.23</c:v>
                </c:pt>
                <c:pt idx="1">
                  <c:v>140.339</c:v>
                </c:pt>
                <c:pt idx="2">
                  <c:v>286.404</c:v>
                </c:pt>
                <c:pt idx="3">
                  <c:v>152.82400000000001</c:v>
                </c:pt>
                <c:pt idx="4">
                  <c:v>174.18199999999999</c:v>
                </c:pt>
                <c:pt idx="5">
                  <c:v>187.79</c:v>
                </c:pt>
                <c:pt idx="6">
                  <c:v>235.304</c:v>
                </c:pt>
                <c:pt idx="7">
                  <c:v>229.52</c:v>
                </c:pt>
                <c:pt idx="8">
                  <c:v>247.714</c:v>
                </c:pt>
                <c:pt idx="9">
                  <c:v>262.5</c:v>
                </c:pt>
                <c:pt idx="10">
                  <c:v>279.76600000000002</c:v>
                </c:pt>
                <c:pt idx="11">
                  <c:v>251.9</c:v>
                </c:pt>
                <c:pt idx="12">
                  <c:v>270.61099999999999</c:v>
                </c:pt>
                <c:pt idx="13">
                  <c:v>280.10000000000002</c:v>
                </c:pt>
                <c:pt idx="14">
                  <c:v>263.78899999999999</c:v>
                </c:pt>
                <c:pt idx="15">
                  <c:v>254.5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12-41CF-A5E1-B9B19F5ACC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30"/>
        <c:overlap val="-27"/>
        <c:axId val="132058751"/>
        <c:axId val="132053951"/>
      </c:barChart>
      <c:catAx>
        <c:axId val="132058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32053951"/>
        <c:crosses val="autoZero"/>
        <c:auto val="1"/>
        <c:lblAlgn val="ctr"/>
        <c:lblOffset val="100"/>
        <c:noMultiLvlLbl val="0"/>
      </c:catAx>
      <c:valAx>
        <c:axId val="132053951"/>
        <c:scaling>
          <c:orientation val="minMax"/>
        </c:scaling>
        <c:delete val="0"/>
        <c:axPos val="l"/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32058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revenue - Q1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data!$N$18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data!$M$19:$M$22</c:f>
              <c:strCache>
                <c:ptCount val="4"/>
                <c:pt idx="0">
                  <c:v>2021 Q1</c:v>
                </c:pt>
                <c:pt idx="1">
                  <c:v>2022 Q1</c:v>
                </c:pt>
                <c:pt idx="2">
                  <c:v>2023 Q1</c:v>
                </c:pt>
                <c:pt idx="3">
                  <c:v>2024 Q1</c:v>
                </c:pt>
              </c:strCache>
            </c:strRef>
          </c:cat>
          <c:val>
            <c:numRef>
              <c:f>data!$N$19:$N$22</c:f>
              <c:numCache>
                <c:formatCode>_-[$$-409]* #,##0.00_ ;_-[$$-409]* \-#,##0.00\ ;_-[$$-409]* "-"??_ ;_-@_ </c:formatCode>
                <c:ptCount val="4"/>
                <c:pt idx="0">
                  <c:v>152.82400000000001</c:v>
                </c:pt>
                <c:pt idx="1">
                  <c:v>229.52</c:v>
                </c:pt>
                <c:pt idx="2">
                  <c:v>251.9</c:v>
                </c:pt>
                <c:pt idx="3">
                  <c:v>254.5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20-4BD8-843A-1E6574B02E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9"/>
        <c:overlap val="-27"/>
        <c:axId val="160629919"/>
        <c:axId val="160621759"/>
      </c:barChart>
      <c:lineChart>
        <c:grouping val="standard"/>
        <c:varyColors val="0"/>
        <c:ser>
          <c:idx val="1"/>
          <c:order val="1"/>
          <c:tx>
            <c:strRef>
              <c:f>data!$O$18</c:f>
              <c:strCache>
                <c:ptCount val="1"/>
                <c:pt idx="0">
                  <c:v>%growth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5.2777777777777778E-2"/>
                  <c:y val="-5.092592592592594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220-4BD8-843A-1E6574B02EE0}"/>
                </c:ext>
              </c:extLst>
            </c:dLbl>
            <c:dLbl>
              <c:idx val="2"/>
              <c:layout>
                <c:manualLayout>
                  <c:x val="-0.05"/>
                  <c:y val="-0.486111111111111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220-4BD8-843A-1E6574B02EE0}"/>
                </c:ext>
              </c:extLst>
            </c:dLbl>
            <c:dLbl>
              <c:idx val="3"/>
              <c:layout>
                <c:manualLayout>
                  <c:x val="-3.8888888888888994E-2"/>
                  <c:y val="-0.5694444444444444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220-4BD8-843A-1E6574B02EE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data!$M$19:$M$22</c:f>
              <c:strCache>
                <c:ptCount val="4"/>
                <c:pt idx="0">
                  <c:v>2021 Q1</c:v>
                </c:pt>
                <c:pt idx="1">
                  <c:v>2022 Q1</c:v>
                </c:pt>
                <c:pt idx="2">
                  <c:v>2023 Q1</c:v>
                </c:pt>
                <c:pt idx="3">
                  <c:v>2024 Q1</c:v>
                </c:pt>
              </c:strCache>
            </c:strRef>
          </c:cat>
          <c:val>
            <c:numRef>
              <c:f>data!$O$19:$O$22</c:f>
              <c:numCache>
                <c:formatCode>0%</c:formatCode>
                <c:ptCount val="4"/>
                <c:pt idx="1">
                  <c:v>0.50185834685651465</c:v>
                </c:pt>
                <c:pt idx="2">
                  <c:v>9.7507842453816634E-2</c:v>
                </c:pt>
                <c:pt idx="3">
                  <c:v>1.0321556173084535E-2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20-4BD8-843A-1E6574B02E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626079"/>
        <c:axId val="160614559"/>
      </c:lineChart>
      <c:catAx>
        <c:axId val="160629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60621759"/>
        <c:crosses val="autoZero"/>
        <c:auto val="1"/>
        <c:lblAlgn val="ctr"/>
        <c:lblOffset val="100"/>
        <c:noMultiLvlLbl val="0"/>
      </c:catAx>
      <c:valAx>
        <c:axId val="160621759"/>
        <c:scaling>
          <c:orientation val="minMax"/>
        </c:scaling>
        <c:delete val="0"/>
        <c:axPos val="l"/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60629919"/>
        <c:crosses val="autoZero"/>
        <c:crossBetween val="between"/>
      </c:valAx>
      <c:valAx>
        <c:axId val="160614559"/>
        <c:scaling>
          <c:orientation val="minMax"/>
        </c:scaling>
        <c:delete val="0"/>
        <c:axPos val="r"/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60626079"/>
        <c:crosses val="max"/>
        <c:crossBetween val="between"/>
      </c:valAx>
      <c:catAx>
        <c:axId val="16062607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6061455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data!$E$27</c:f>
              <c:strCache>
                <c:ptCount val="1"/>
                <c:pt idx="0">
                  <c:v>net income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data!$C$29:$C$44</c:f>
              <c:strCache>
                <c:ptCount val="16"/>
                <c:pt idx="0">
                  <c:v>2020 Q2</c:v>
                </c:pt>
                <c:pt idx="1">
                  <c:v>2020 Q3</c:v>
                </c:pt>
                <c:pt idx="2">
                  <c:v>2020 Q4</c:v>
                </c:pt>
                <c:pt idx="3">
                  <c:v>2021 Q1</c:v>
                </c:pt>
                <c:pt idx="4">
                  <c:v>2021 Q2</c:v>
                </c:pt>
                <c:pt idx="5">
                  <c:v>2021 Q3</c:v>
                </c:pt>
                <c:pt idx="6">
                  <c:v>2021 Q4</c:v>
                </c:pt>
                <c:pt idx="7">
                  <c:v>2022 Q1</c:v>
                </c:pt>
                <c:pt idx="8">
                  <c:v>2022 Q2</c:v>
                </c:pt>
                <c:pt idx="9">
                  <c:v>2022 Q3</c:v>
                </c:pt>
                <c:pt idx="10">
                  <c:v>2022 Q4</c:v>
                </c:pt>
                <c:pt idx="11">
                  <c:v>2023 Q1</c:v>
                </c:pt>
                <c:pt idx="12">
                  <c:v>2023 Q2</c:v>
                </c:pt>
                <c:pt idx="13">
                  <c:v>2023 Q3</c:v>
                </c:pt>
                <c:pt idx="14">
                  <c:v>2023 Q4</c:v>
                </c:pt>
                <c:pt idx="15">
                  <c:v>2024 Q1</c:v>
                </c:pt>
              </c:strCache>
            </c:strRef>
          </c:cat>
          <c:val>
            <c:numRef>
              <c:f>data!$E$29:$E$44</c:f>
              <c:numCache>
                <c:formatCode>_-[$$-409]* #,##0.000_ ;_-[$$-409]* \-#,##0.000\ ;_-[$$-409]* "-"??_ ;_-@_ </c:formatCode>
                <c:ptCount val="16"/>
                <c:pt idx="0">
                  <c:v>11.018000000000001</c:v>
                </c:pt>
                <c:pt idx="1">
                  <c:v>20.773</c:v>
                </c:pt>
                <c:pt idx="2">
                  <c:v>16.712</c:v>
                </c:pt>
                <c:pt idx="3">
                  <c:v>14.718999999999999</c:v>
                </c:pt>
                <c:pt idx="4">
                  <c:v>-1.694</c:v>
                </c:pt>
                <c:pt idx="5">
                  <c:v>15.542</c:v>
                </c:pt>
                <c:pt idx="6">
                  <c:v>15.233000000000001</c:v>
                </c:pt>
                <c:pt idx="7">
                  <c:v>19.704000000000001</c:v>
                </c:pt>
                <c:pt idx="8">
                  <c:v>22.837</c:v>
                </c:pt>
                <c:pt idx="9">
                  <c:v>32.4</c:v>
                </c:pt>
                <c:pt idx="10">
                  <c:v>32.768999999999998</c:v>
                </c:pt>
                <c:pt idx="11">
                  <c:v>26</c:v>
                </c:pt>
                <c:pt idx="12">
                  <c:v>36.987000000000002</c:v>
                </c:pt>
                <c:pt idx="13">
                  <c:v>37</c:v>
                </c:pt>
                <c:pt idx="14">
                  <c:v>35.713000000000001</c:v>
                </c:pt>
                <c:pt idx="15">
                  <c:v>30.7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419-4EF4-AF1B-9F744CE7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30"/>
        <c:overlap val="-27"/>
        <c:axId val="132058751"/>
        <c:axId val="132053951"/>
      </c:barChart>
      <c:catAx>
        <c:axId val="132058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32053951"/>
        <c:crosses val="autoZero"/>
        <c:auto val="1"/>
        <c:lblAlgn val="ctr"/>
        <c:lblOffset val="100"/>
        <c:noMultiLvlLbl val="0"/>
      </c:catAx>
      <c:valAx>
        <c:axId val="132053951"/>
        <c:scaling>
          <c:orientation val="minMax"/>
        </c:scaling>
        <c:delete val="0"/>
        <c:axPos val="l"/>
        <c:numFmt formatCode="_-[$$-409]* #,##0.000_ ;_-[$$-409]* \-#,##0.0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32058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>
        <c:manualLayout>
          <c:layoutTarget val="inner"/>
          <c:xMode val="edge"/>
          <c:yMode val="edge"/>
          <c:x val="6.6580927384076991E-2"/>
          <c:y val="0.17171296296296298"/>
          <c:w val="0.84896303587051614"/>
          <c:h val="0.61498432487605714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data!$E$47</c:f>
              <c:strCache>
                <c:ptCount val="1"/>
                <c:pt idx="0">
                  <c:v>net income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data!$C$48:$C$52</c:f>
              <c:strCache>
                <c:ptCount val="5"/>
                <c:pt idx="0">
                  <c:v>2020 Q1</c:v>
                </c:pt>
                <c:pt idx="1">
                  <c:v>2021 Q1</c:v>
                </c:pt>
                <c:pt idx="2">
                  <c:v>2022 Q1</c:v>
                </c:pt>
                <c:pt idx="3">
                  <c:v>2023 Q1</c:v>
                </c:pt>
                <c:pt idx="4">
                  <c:v>2024 Q1</c:v>
                </c:pt>
              </c:strCache>
            </c:strRef>
          </c:cat>
          <c:val>
            <c:numRef>
              <c:f>data!$E$48:$E$52</c:f>
              <c:numCache>
                <c:formatCode>_-[$$-409]* #,##0.000_ ;_-[$$-409]* \-#,##0.000\ ;_-[$$-409]* "-"??_ ;_-@_ </c:formatCode>
                <c:ptCount val="5"/>
                <c:pt idx="0" formatCode="General">
                  <c:v>8.3350000000000009</c:v>
                </c:pt>
                <c:pt idx="1">
                  <c:v>14.718999999999999</c:v>
                </c:pt>
                <c:pt idx="2">
                  <c:v>19.704000000000001</c:v>
                </c:pt>
                <c:pt idx="3">
                  <c:v>26</c:v>
                </c:pt>
                <c:pt idx="4">
                  <c:v>30.7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7C-4C69-8953-9FADC602E4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846159"/>
        <c:axId val="73844719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data!$D$47</c15:sqref>
                        </c15:formulaRef>
                      </c:ext>
                    </c:extLst>
                    <c:strCache>
                      <c:ptCount val="1"/>
                      <c:pt idx="0">
                        <c:v>revenue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data!$C$48:$C$52</c15:sqref>
                        </c15:formulaRef>
                      </c:ext>
                    </c:extLst>
                    <c:strCache>
                      <c:ptCount val="5"/>
                      <c:pt idx="0">
                        <c:v>2020 Q1</c:v>
                      </c:pt>
                      <c:pt idx="1">
                        <c:v>2021 Q1</c:v>
                      </c:pt>
                      <c:pt idx="2">
                        <c:v>2022 Q1</c:v>
                      </c:pt>
                      <c:pt idx="3">
                        <c:v>2023 Q1</c:v>
                      </c:pt>
                      <c:pt idx="4">
                        <c:v>2024 Q1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data!$D$48:$D$52</c15:sqref>
                        </c15:formulaRef>
                      </c:ext>
                    </c:extLst>
                    <c:numCache>
                      <c:formatCode>_-[$$-409]* #,##0.00_ ;_-[$$-409]* \-#,##0.00\ ;_-[$$-409]* "-"??_ ;_-@_ </c:formatCode>
                      <c:ptCount val="5"/>
                      <c:pt idx="1">
                        <c:v>152.82400000000001</c:v>
                      </c:pt>
                      <c:pt idx="2">
                        <c:v>229.52</c:v>
                      </c:pt>
                      <c:pt idx="3">
                        <c:v>251.9</c:v>
                      </c:pt>
                      <c:pt idx="4">
                        <c:v>254.5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AF7C-4C69-8953-9FADC602E4CC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2"/>
          <c:order val="2"/>
          <c:tx>
            <c:strRef>
              <c:f>data!$F$47</c:f>
              <c:strCache>
                <c:ptCount val="1"/>
                <c:pt idx="0">
                  <c:v>%growth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5.0000000000000051E-2"/>
                  <c:y val="0.2175925925925925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F7C-4C69-8953-9FADC602E4CC}"/>
                </c:ext>
              </c:extLst>
            </c:dLbl>
            <c:dLbl>
              <c:idx val="2"/>
              <c:layout>
                <c:manualLayout>
                  <c:x val="-5.2777777777777778E-2"/>
                  <c:y val="-0.162037037037037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F7C-4C69-8953-9FADC602E4CC}"/>
                </c:ext>
              </c:extLst>
            </c:dLbl>
            <c:dLbl>
              <c:idx val="3"/>
              <c:layout>
                <c:manualLayout>
                  <c:x val="-5.00000000000001E-2"/>
                  <c:y val="-0.2777777777777777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F7C-4C69-8953-9FADC602E4CC}"/>
                </c:ext>
              </c:extLst>
            </c:dLbl>
            <c:dLbl>
              <c:idx val="4"/>
              <c:layout>
                <c:manualLayout>
                  <c:x val="-5.5555555555555552E-2"/>
                  <c:y val="-0.4722222222222223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F7C-4C69-8953-9FADC602E4C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data!$C$48:$C$52</c:f>
              <c:strCache>
                <c:ptCount val="5"/>
                <c:pt idx="0">
                  <c:v>2020 Q1</c:v>
                </c:pt>
                <c:pt idx="1">
                  <c:v>2021 Q1</c:v>
                </c:pt>
                <c:pt idx="2">
                  <c:v>2022 Q1</c:v>
                </c:pt>
                <c:pt idx="3">
                  <c:v>2023 Q1</c:v>
                </c:pt>
                <c:pt idx="4">
                  <c:v>2024 Q1</c:v>
                </c:pt>
              </c:strCache>
            </c:strRef>
          </c:cat>
          <c:val>
            <c:numRef>
              <c:f>data!$F$48:$F$52</c:f>
              <c:numCache>
                <c:formatCode>0%</c:formatCode>
                <c:ptCount val="5"/>
                <c:pt idx="1">
                  <c:v>0.76592681463707235</c:v>
                </c:pt>
                <c:pt idx="2">
                  <c:v>0.33867789931381215</c:v>
                </c:pt>
                <c:pt idx="3">
                  <c:v>0.31952902963865198</c:v>
                </c:pt>
                <c:pt idx="4">
                  <c:v>0.18076923076923074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7C-4C69-8953-9FADC602E4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846639"/>
        <c:axId val="73847599"/>
      </c:lineChart>
      <c:catAx>
        <c:axId val="73846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73844719"/>
        <c:crosses val="autoZero"/>
        <c:auto val="1"/>
        <c:lblAlgn val="ctr"/>
        <c:lblOffset val="100"/>
        <c:noMultiLvlLbl val="0"/>
      </c:catAx>
      <c:valAx>
        <c:axId val="738447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73846159"/>
        <c:crosses val="autoZero"/>
        <c:crossBetween val="between"/>
      </c:valAx>
      <c:valAx>
        <c:axId val="73847599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73846639"/>
        <c:crosses val="max"/>
        <c:crossBetween val="between"/>
      </c:valAx>
      <c:catAx>
        <c:axId val="7384663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384759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data!$F$27</c:f>
              <c:strCache>
                <c:ptCount val="1"/>
                <c:pt idx="0">
                  <c:v>net margins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dLbl>
              <c:idx val="10"/>
              <c:layout>
                <c:manualLayout>
                  <c:x val="-8.3333333333334356E-3"/>
                  <c:y val="9.2592592592592171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710-4E8D-ABF8-E855248708E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data!$C$28:$C$44</c:f>
              <c:strCache>
                <c:ptCount val="17"/>
                <c:pt idx="0">
                  <c:v>2020 Q1</c:v>
                </c:pt>
                <c:pt idx="1">
                  <c:v>2020 Q2</c:v>
                </c:pt>
                <c:pt idx="2">
                  <c:v>2020 Q3</c:v>
                </c:pt>
                <c:pt idx="3">
                  <c:v>2020 Q4</c:v>
                </c:pt>
                <c:pt idx="4">
                  <c:v>2021 Q1</c:v>
                </c:pt>
                <c:pt idx="5">
                  <c:v>2021 Q2</c:v>
                </c:pt>
                <c:pt idx="6">
                  <c:v>2021 Q3</c:v>
                </c:pt>
                <c:pt idx="7">
                  <c:v>2021 Q4</c:v>
                </c:pt>
                <c:pt idx="8">
                  <c:v>2022 Q1</c:v>
                </c:pt>
                <c:pt idx="9">
                  <c:v>2022 Q2</c:v>
                </c:pt>
                <c:pt idx="10">
                  <c:v>2022 Q3</c:v>
                </c:pt>
                <c:pt idx="11">
                  <c:v>2022 Q4</c:v>
                </c:pt>
                <c:pt idx="12">
                  <c:v>2023 Q1</c:v>
                </c:pt>
                <c:pt idx="13">
                  <c:v>2023 Q2</c:v>
                </c:pt>
                <c:pt idx="14">
                  <c:v>2023 Q3</c:v>
                </c:pt>
                <c:pt idx="15">
                  <c:v>2023 Q4</c:v>
                </c:pt>
                <c:pt idx="16">
                  <c:v>2024 Q1</c:v>
                </c:pt>
              </c:strCache>
            </c:strRef>
          </c:cat>
          <c:val>
            <c:numRef>
              <c:f>data!$F$28:$F$44</c:f>
              <c:numCache>
                <c:formatCode>0.0%</c:formatCode>
                <c:ptCount val="17"/>
                <c:pt idx="1">
                  <c:v>9.0141536447680609E-2</c:v>
                </c:pt>
                <c:pt idx="2">
                  <c:v>0.14802015120529574</c:v>
                </c:pt>
                <c:pt idx="3">
                  <c:v>5.8351140347201853E-2</c:v>
                </c:pt>
                <c:pt idx="4">
                  <c:v>9.6313406271266278E-2</c:v>
                </c:pt>
                <c:pt idx="5">
                  <c:v>-9.7254595767645342E-3</c:v>
                </c:pt>
                <c:pt idx="6">
                  <c:v>8.2762660418552639E-2</c:v>
                </c:pt>
                <c:pt idx="7">
                  <c:v>6.4737531023697004E-2</c:v>
                </c:pt>
                <c:pt idx="8">
                  <c:v>8.5848727779714182E-2</c:v>
                </c:pt>
                <c:pt idx="9">
                  <c:v>9.21909944532808E-2</c:v>
                </c:pt>
                <c:pt idx="10">
                  <c:v>0.12342857142857143</c:v>
                </c:pt>
                <c:pt idx="11">
                  <c:v>0.1171300300965807</c:v>
                </c:pt>
                <c:pt idx="12">
                  <c:v>0.10321556173084558</c:v>
                </c:pt>
                <c:pt idx="13">
                  <c:v>0.13667958804335376</c:v>
                </c:pt>
                <c:pt idx="14">
                  <c:v>0.13209568011424491</c:v>
                </c:pt>
                <c:pt idx="15">
                  <c:v>0.13538472036362398</c:v>
                </c:pt>
                <c:pt idx="16">
                  <c:v>0.1206286836935167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710-4E8D-ABF8-E855248708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1"/>
        <c:axId val="246459343"/>
        <c:axId val="246458383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data!$D$27</c15:sqref>
                        </c15:formulaRef>
                      </c:ext>
                    </c:extLst>
                    <c:strCache>
                      <c:ptCount val="1"/>
                      <c:pt idx="0">
                        <c:v>revenue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data!$C$28:$C$44</c15:sqref>
                        </c15:formulaRef>
                      </c:ext>
                    </c:extLst>
                    <c:strCache>
                      <c:ptCount val="17"/>
                      <c:pt idx="0">
                        <c:v>2020 Q1</c:v>
                      </c:pt>
                      <c:pt idx="1">
                        <c:v>2020 Q2</c:v>
                      </c:pt>
                      <c:pt idx="2">
                        <c:v>2020 Q3</c:v>
                      </c:pt>
                      <c:pt idx="3">
                        <c:v>2020 Q4</c:v>
                      </c:pt>
                      <c:pt idx="4">
                        <c:v>2021 Q1</c:v>
                      </c:pt>
                      <c:pt idx="5">
                        <c:v>2021 Q2</c:v>
                      </c:pt>
                      <c:pt idx="6">
                        <c:v>2021 Q3</c:v>
                      </c:pt>
                      <c:pt idx="7">
                        <c:v>2021 Q4</c:v>
                      </c:pt>
                      <c:pt idx="8">
                        <c:v>2022 Q1</c:v>
                      </c:pt>
                      <c:pt idx="9">
                        <c:v>2022 Q2</c:v>
                      </c:pt>
                      <c:pt idx="10">
                        <c:v>2022 Q3</c:v>
                      </c:pt>
                      <c:pt idx="11">
                        <c:v>2022 Q4</c:v>
                      </c:pt>
                      <c:pt idx="12">
                        <c:v>2023 Q1</c:v>
                      </c:pt>
                      <c:pt idx="13">
                        <c:v>2023 Q2</c:v>
                      </c:pt>
                      <c:pt idx="14">
                        <c:v>2023 Q3</c:v>
                      </c:pt>
                      <c:pt idx="15">
                        <c:v>2023 Q4</c:v>
                      </c:pt>
                      <c:pt idx="16">
                        <c:v>2024 Q1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data!$D$28:$D$44</c15:sqref>
                        </c15:formulaRef>
                      </c:ext>
                    </c:extLst>
                    <c:numCache>
                      <c:formatCode>_-[$$-409]* #,##0.00_ ;_-[$$-409]* \-#,##0.00\ ;_-[$$-409]* "-"??_ ;_-@_ </c:formatCode>
                      <c:ptCount val="17"/>
                      <c:pt idx="1">
                        <c:v>122.23</c:v>
                      </c:pt>
                      <c:pt idx="2">
                        <c:v>140.339</c:v>
                      </c:pt>
                      <c:pt idx="3">
                        <c:v>286.404</c:v>
                      </c:pt>
                      <c:pt idx="4">
                        <c:v>152.82400000000001</c:v>
                      </c:pt>
                      <c:pt idx="5">
                        <c:v>174.18199999999999</c:v>
                      </c:pt>
                      <c:pt idx="6">
                        <c:v>187.79</c:v>
                      </c:pt>
                      <c:pt idx="7">
                        <c:v>235.304</c:v>
                      </c:pt>
                      <c:pt idx="8">
                        <c:v>229.52</c:v>
                      </c:pt>
                      <c:pt idx="9">
                        <c:v>247.714</c:v>
                      </c:pt>
                      <c:pt idx="10">
                        <c:v>262.5</c:v>
                      </c:pt>
                      <c:pt idx="11">
                        <c:v>279.76600000000002</c:v>
                      </c:pt>
                      <c:pt idx="12">
                        <c:v>251.9</c:v>
                      </c:pt>
                      <c:pt idx="13">
                        <c:v>270.61099999999999</c:v>
                      </c:pt>
                      <c:pt idx="14">
                        <c:v>280.10000000000002</c:v>
                      </c:pt>
                      <c:pt idx="15">
                        <c:v>263.78899999999999</c:v>
                      </c:pt>
                      <c:pt idx="16">
                        <c:v>254.5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4710-4E8D-ABF8-E855248708ED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data!$E$27</c15:sqref>
                        </c15:formulaRef>
                      </c:ext>
                    </c:extLst>
                    <c:strCache>
                      <c:ptCount val="1"/>
                      <c:pt idx="0">
                        <c:v>net income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data!$C$28:$C$44</c15:sqref>
                        </c15:formulaRef>
                      </c:ext>
                    </c:extLst>
                    <c:strCache>
                      <c:ptCount val="17"/>
                      <c:pt idx="0">
                        <c:v>2020 Q1</c:v>
                      </c:pt>
                      <c:pt idx="1">
                        <c:v>2020 Q2</c:v>
                      </c:pt>
                      <c:pt idx="2">
                        <c:v>2020 Q3</c:v>
                      </c:pt>
                      <c:pt idx="3">
                        <c:v>2020 Q4</c:v>
                      </c:pt>
                      <c:pt idx="4">
                        <c:v>2021 Q1</c:v>
                      </c:pt>
                      <c:pt idx="5">
                        <c:v>2021 Q2</c:v>
                      </c:pt>
                      <c:pt idx="6">
                        <c:v>2021 Q3</c:v>
                      </c:pt>
                      <c:pt idx="7">
                        <c:v>2021 Q4</c:v>
                      </c:pt>
                      <c:pt idx="8">
                        <c:v>2022 Q1</c:v>
                      </c:pt>
                      <c:pt idx="9">
                        <c:v>2022 Q2</c:v>
                      </c:pt>
                      <c:pt idx="10">
                        <c:v>2022 Q3</c:v>
                      </c:pt>
                      <c:pt idx="11">
                        <c:v>2022 Q4</c:v>
                      </c:pt>
                      <c:pt idx="12">
                        <c:v>2023 Q1</c:v>
                      </c:pt>
                      <c:pt idx="13">
                        <c:v>2023 Q2</c:v>
                      </c:pt>
                      <c:pt idx="14">
                        <c:v>2023 Q3</c:v>
                      </c:pt>
                      <c:pt idx="15">
                        <c:v>2023 Q4</c:v>
                      </c:pt>
                      <c:pt idx="16">
                        <c:v>2024 Q1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data!$E$28:$E$44</c15:sqref>
                        </c15:formulaRef>
                      </c:ext>
                    </c:extLst>
                    <c:numCache>
                      <c:formatCode>_-[$$-409]* #,##0.000_ ;_-[$$-409]* \-#,##0.000\ ;_-[$$-409]* "-"??_ ;_-@_ </c:formatCode>
                      <c:ptCount val="17"/>
                      <c:pt idx="0" formatCode="General">
                        <c:v>8.3350000000000009</c:v>
                      </c:pt>
                      <c:pt idx="1">
                        <c:v>11.018000000000001</c:v>
                      </c:pt>
                      <c:pt idx="2">
                        <c:v>20.773</c:v>
                      </c:pt>
                      <c:pt idx="3">
                        <c:v>16.712</c:v>
                      </c:pt>
                      <c:pt idx="4">
                        <c:v>14.718999999999999</c:v>
                      </c:pt>
                      <c:pt idx="5">
                        <c:v>-1.694</c:v>
                      </c:pt>
                      <c:pt idx="6">
                        <c:v>15.542</c:v>
                      </c:pt>
                      <c:pt idx="7">
                        <c:v>15.233000000000001</c:v>
                      </c:pt>
                      <c:pt idx="8">
                        <c:v>19.704000000000001</c:v>
                      </c:pt>
                      <c:pt idx="9">
                        <c:v>22.837</c:v>
                      </c:pt>
                      <c:pt idx="10">
                        <c:v>32.4</c:v>
                      </c:pt>
                      <c:pt idx="11">
                        <c:v>32.768999999999998</c:v>
                      </c:pt>
                      <c:pt idx="12">
                        <c:v>26</c:v>
                      </c:pt>
                      <c:pt idx="13">
                        <c:v>36.987000000000002</c:v>
                      </c:pt>
                      <c:pt idx="14">
                        <c:v>37</c:v>
                      </c:pt>
                      <c:pt idx="15">
                        <c:v>35.713000000000001</c:v>
                      </c:pt>
                      <c:pt idx="16">
                        <c:v>30.7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4710-4E8D-ABF8-E855248708ED}"/>
                  </c:ext>
                </c:extLst>
              </c15:ser>
            </c15:filteredBarSeries>
          </c:ext>
        </c:extLst>
      </c:barChart>
      <c:catAx>
        <c:axId val="246459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46458383"/>
        <c:crosses val="autoZero"/>
        <c:auto val="1"/>
        <c:lblAlgn val="ctr"/>
        <c:lblOffset val="100"/>
        <c:noMultiLvlLbl val="0"/>
      </c:catAx>
      <c:valAx>
        <c:axId val="2464583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46459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 Q1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Analysis!$T$64:$T$65</c:f>
              <c:strCache>
                <c:ptCount val="2"/>
                <c:pt idx="0">
                  <c:v>revenue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Analysis!$S$66:$S$69</c:f>
              <c:strCache>
                <c:ptCount val="4"/>
                <c:pt idx="0">
                  <c:v>2021 Q1</c:v>
                </c:pt>
                <c:pt idx="1">
                  <c:v>2022 Q1</c:v>
                </c:pt>
                <c:pt idx="2">
                  <c:v>2023 Q1</c:v>
                </c:pt>
                <c:pt idx="3">
                  <c:v>2024 Q1</c:v>
                </c:pt>
              </c:strCache>
            </c:strRef>
          </c:cat>
          <c:val>
            <c:numRef>
              <c:f>Analysis!$T$66:$T$69</c:f>
              <c:numCache>
                <c:formatCode>_-[$$-409]* #,##0.00_ ;_-[$$-409]* \-#,##0.00\ ;_-[$$-409]* "-"??_ ;_-@_ </c:formatCode>
                <c:ptCount val="4"/>
                <c:pt idx="0">
                  <c:v>152.82400000000001</c:v>
                </c:pt>
                <c:pt idx="1">
                  <c:v>229.52</c:v>
                </c:pt>
                <c:pt idx="2">
                  <c:v>251.9</c:v>
                </c:pt>
                <c:pt idx="3">
                  <c:v>254.5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9E-429E-B7C8-38EFB99DFA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4"/>
        <c:overlap val="-27"/>
        <c:axId val="1590776511"/>
        <c:axId val="1590776991"/>
      </c:barChart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7987551"/>
        <c:axId val="1599694959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Analysis!$U$64:$U$65</c15:sqref>
                        </c15:formulaRef>
                      </c:ext>
                    </c:extLst>
                    <c:strCache>
                      <c:ptCount val="2"/>
                      <c:pt idx="0">
                        <c:v>rev growth%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Analysis!$S$66:$S$69</c15:sqref>
                        </c15:formulaRef>
                      </c:ext>
                    </c:extLst>
                    <c:strCache>
                      <c:ptCount val="4"/>
                      <c:pt idx="0">
                        <c:v>2021 Q1</c:v>
                      </c:pt>
                      <c:pt idx="1">
                        <c:v>2022 Q1</c:v>
                      </c:pt>
                      <c:pt idx="2">
                        <c:v>2023 Q1</c:v>
                      </c:pt>
                      <c:pt idx="3">
                        <c:v>2024 Q1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Analysis!$U$66:$U$69</c15:sqref>
                        </c15:formulaRef>
                      </c:ext>
                    </c:extLst>
                    <c:numCache>
                      <c:formatCode>0.0%</c:formatCode>
                      <c:ptCount val="4"/>
                      <c:pt idx="1">
                        <c:v>0.50185834685651465</c:v>
                      </c:pt>
                      <c:pt idx="2">
                        <c:v>9.7507842453816634E-2</c:v>
                      </c:pt>
                      <c:pt idx="3">
                        <c:v>1.0321556173084535E-2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AD9E-429E-B7C8-38EFB99DFA75}"/>
                  </c:ext>
                </c:extLst>
              </c15:ser>
            </c15:filteredLineSeries>
          </c:ext>
        </c:extLst>
      </c:lineChart>
      <c:catAx>
        <c:axId val="1590776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590776991"/>
        <c:crosses val="autoZero"/>
        <c:auto val="1"/>
        <c:lblAlgn val="ctr"/>
        <c:lblOffset val="100"/>
        <c:noMultiLvlLbl val="0"/>
      </c:catAx>
      <c:valAx>
        <c:axId val="1590776991"/>
        <c:scaling>
          <c:orientation val="minMax"/>
        </c:scaling>
        <c:delete val="0"/>
        <c:axPos val="l"/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590776511"/>
        <c:crosses val="autoZero"/>
        <c:crossBetween val="between"/>
      </c:valAx>
      <c:valAx>
        <c:axId val="1599694959"/>
        <c:scaling>
          <c:orientation val="minMax"/>
        </c:scaling>
        <c:delete val="0"/>
        <c:axPos val="r"/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657987551"/>
        <c:crosses val="max"/>
        <c:crossBetween val="between"/>
      </c:valAx>
      <c:catAx>
        <c:axId val="165798755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59969495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 growth by Q1 %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Analysis!$U$64:$U$65</c:f>
              <c:strCache>
                <c:ptCount val="2"/>
                <c:pt idx="0">
                  <c:v>rev growth%</c:v>
                </c:pt>
              </c:strCache>
              <c:extLst xmlns:c15="http://schemas.microsoft.com/office/drawing/2012/chart"/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Analysis!$S$66:$S$69</c:f>
              <c:strCache>
                <c:ptCount val="4"/>
                <c:pt idx="0">
                  <c:v>2021 Q1</c:v>
                </c:pt>
                <c:pt idx="1">
                  <c:v>2022 Q1</c:v>
                </c:pt>
                <c:pt idx="2">
                  <c:v>2023 Q1</c:v>
                </c:pt>
                <c:pt idx="3">
                  <c:v>2024 Q1</c:v>
                </c:pt>
              </c:strCache>
              <c:extLst xmlns:c15="http://schemas.microsoft.com/office/drawing/2012/chart"/>
            </c:strRef>
          </c:cat>
          <c:val>
            <c:numRef>
              <c:f>Analysis!$U$66:$U$69</c:f>
              <c:numCache>
                <c:formatCode>0.0%</c:formatCode>
                <c:ptCount val="4"/>
                <c:pt idx="1">
                  <c:v>0.50185834685651465</c:v>
                </c:pt>
                <c:pt idx="2">
                  <c:v>9.7507842453816634E-2</c:v>
                </c:pt>
                <c:pt idx="3">
                  <c:v>1.0321556173084535E-2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01-B97D-4DA5-89C1-562368F96D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4"/>
        <c:axId val="1590776511"/>
        <c:axId val="159077699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Analysis!$T$64:$T$65</c15:sqref>
                        </c15:formulaRef>
                      </c:ext>
                    </c:extLst>
                    <c:strCache>
                      <c:ptCount val="2"/>
                      <c:pt idx="0">
                        <c:v>revenue</c:v>
                      </c:pt>
                    </c:strCache>
                  </c:strRef>
                </c:tx>
                <c:spPr>
                  <a:solidFill>
                    <a:srgbClr val="00B050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50" b="1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he-IL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Analysis!$S$66:$S$69</c15:sqref>
                        </c15:formulaRef>
                      </c:ext>
                    </c:extLst>
                    <c:strCache>
                      <c:ptCount val="4"/>
                      <c:pt idx="0">
                        <c:v>2021 Q1</c:v>
                      </c:pt>
                      <c:pt idx="1">
                        <c:v>2022 Q1</c:v>
                      </c:pt>
                      <c:pt idx="2">
                        <c:v>2023 Q1</c:v>
                      </c:pt>
                      <c:pt idx="3">
                        <c:v>2024 Q1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Analysis!$T$66:$T$69</c15:sqref>
                        </c15:formulaRef>
                      </c:ext>
                    </c:extLst>
                    <c:numCache>
                      <c:formatCode>_-[$$-409]* #,##0.00_ ;_-[$$-409]* \-#,##0.00\ ;_-[$$-409]* "-"??_ ;_-@_ </c:formatCode>
                      <c:ptCount val="4"/>
                      <c:pt idx="0">
                        <c:v>152.82400000000001</c:v>
                      </c:pt>
                      <c:pt idx="1">
                        <c:v>229.52</c:v>
                      </c:pt>
                      <c:pt idx="2">
                        <c:v>251.9</c:v>
                      </c:pt>
                      <c:pt idx="3">
                        <c:v>254.5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B97D-4DA5-89C1-562368F96D84}"/>
                  </c:ext>
                </c:extLst>
              </c15:ser>
            </c15:filteredBarSeries>
          </c:ext>
        </c:extLst>
      </c:barChart>
      <c:catAx>
        <c:axId val="1590776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590776991"/>
        <c:crosses val="autoZero"/>
        <c:auto val="1"/>
        <c:lblAlgn val="ctr"/>
        <c:lblOffset val="100"/>
        <c:noMultiLvlLbl val="0"/>
      </c:catAx>
      <c:valAx>
        <c:axId val="1590776991"/>
        <c:scaling>
          <c:orientation val="minMax"/>
        </c:scaling>
        <c:delete val="0"/>
        <c:axPos val="l"/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590776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 Q2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Analysis!$T$64:$T$65</c:f>
              <c:strCache>
                <c:ptCount val="2"/>
                <c:pt idx="0">
                  <c:v>revenue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72D8-4239-8B4C-0A527A8C1E2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Analysis!$S$72:$S$76</c:f>
              <c:strCache>
                <c:ptCount val="5"/>
                <c:pt idx="0">
                  <c:v>2020 Q2</c:v>
                </c:pt>
                <c:pt idx="1">
                  <c:v>2021 Q2</c:v>
                </c:pt>
                <c:pt idx="2">
                  <c:v>2022 Q2</c:v>
                </c:pt>
                <c:pt idx="3">
                  <c:v>2023 Q2</c:v>
                </c:pt>
                <c:pt idx="4">
                  <c:v>2024 Q2</c:v>
                </c:pt>
              </c:strCache>
            </c:strRef>
          </c:cat>
          <c:val>
            <c:numRef>
              <c:f>Analysis!$T$72:$T$76</c:f>
              <c:numCache>
                <c:formatCode>_-[$$-409]* #,##0.00_ ;_-[$$-409]* \-#,##0.00\ ;_-[$$-409]* "-"??_ ;_-@_ </c:formatCode>
                <c:ptCount val="5"/>
                <c:pt idx="0">
                  <c:v>122.23</c:v>
                </c:pt>
                <c:pt idx="1">
                  <c:v>174.18199999999999</c:v>
                </c:pt>
                <c:pt idx="2">
                  <c:v>247.714</c:v>
                </c:pt>
                <c:pt idx="3">
                  <c:v>270.61099999999999</c:v>
                </c:pt>
                <c:pt idx="4" formatCode="General">
                  <c:v>248.4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7D-4AB4-86BD-9FAE9DC6FE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7"/>
        <c:overlap val="-27"/>
        <c:axId val="1590776511"/>
        <c:axId val="1590776991"/>
      </c:barChart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7987551"/>
        <c:axId val="1599694959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Analysis!$U$64:$U$65</c15:sqref>
                        </c15:formulaRef>
                      </c:ext>
                    </c:extLst>
                    <c:strCache>
                      <c:ptCount val="2"/>
                      <c:pt idx="0">
                        <c:v>rev growth%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Analysis!$S$72:$S$75</c15:sqref>
                        </c15:formulaRef>
                      </c:ext>
                    </c:extLst>
                    <c:strCache>
                      <c:ptCount val="4"/>
                      <c:pt idx="0">
                        <c:v>2020 Q2</c:v>
                      </c:pt>
                      <c:pt idx="1">
                        <c:v>2021 Q2</c:v>
                      </c:pt>
                      <c:pt idx="2">
                        <c:v>2022 Q2</c:v>
                      </c:pt>
                      <c:pt idx="3">
                        <c:v>2023 Q2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Analysis!$U$72:$U$75</c15:sqref>
                        </c15:formulaRef>
                      </c:ext>
                    </c:extLst>
                    <c:numCache>
                      <c:formatCode>0.0%</c:formatCode>
                      <c:ptCount val="4"/>
                      <c:pt idx="1">
                        <c:v>0.42503477051460348</c:v>
                      </c:pt>
                      <c:pt idx="2">
                        <c:v>0.42215613553639308</c:v>
                      </c:pt>
                      <c:pt idx="3">
                        <c:v>9.2433209265523911E-2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ED7D-4AB4-86BD-9FAE9DC6FE3E}"/>
                  </c:ext>
                </c:extLst>
              </c15:ser>
            </c15:filteredLineSeries>
          </c:ext>
        </c:extLst>
      </c:lineChart>
      <c:catAx>
        <c:axId val="1590776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590776991"/>
        <c:crosses val="autoZero"/>
        <c:auto val="1"/>
        <c:lblAlgn val="ctr"/>
        <c:lblOffset val="100"/>
        <c:noMultiLvlLbl val="0"/>
      </c:catAx>
      <c:valAx>
        <c:axId val="1590776991"/>
        <c:scaling>
          <c:orientation val="minMax"/>
        </c:scaling>
        <c:delete val="0"/>
        <c:axPos val="l"/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590776511"/>
        <c:crosses val="autoZero"/>
        <c:crossBetween val="between"/>
      </c:valAx>
      <c:valAx>
        <c:axId val="1599694959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657987551"/>
        <c:crosses val="max"/>
        <c:crossBetween val="between"/>
      </c:valAx>
      <c:catAx>
        <c:axId val="165798755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59969495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rev growth by Q2  </a:t>
            </a:r>
          </a:p>
        </c:rich>
      </c:tx>
      <c:layout>
        <c:manualLayout>
          <c:xMode val="edge"/>
          <c:yMode val="edge"/>
          <c:x val="0.35477947954398209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Analysis!$U$64:$U$65</c:f>
              <c:strCache>
                <c:ptCount val="2"/>
                <c:pt idx="0">
                  <c:v>rev growth%</c:v>
                </c:pt>
              </c:strCache>
              <c:extLst xmlns:c15="http://schemas.microsoft.com/office/drawing/2012/chart"/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F651-4FA6-9D11-E142145C011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Analysis!$S$72:$S$76</c:f>
              <c:strCache>
                <c:ptCount val="5"/>
                <c:pt idx="0">
                  <c:v>2020 Q2</c:v>
                </c:pt>
                <c:pt idx="1">
                  <c:v>2021 Q2</c:v>
                </c:pt>
                <c:pt idx="2">
                  <c:v>2022 Q2</c:v>
                </c:pt>
                <c:pt idx="3">
                  <c:v>2023 Q2</c:v>
                </c:pt>
                <c:pt idx="4">
                  <c:v>2024 Q2</c:v>
                </c:pt>
              </c:strCache>
            </c:strRef>
          </c:cat>
          <c:val>
            <c:numRef>
              <c:f>Analysis!$U$72:$U$76</c:f>
              <c:numCache>
                <c:formatCode>0.0%</c:formatCode>
                <c:ptCount val="5"/>
                <c:pt idx="1">
                  <c:v>0.42503477051460348</c:v>
                </c:pt>
                <c:pt idx="2">
                  <c:v>0.42215613553639308</c:v>
                </c:pt>
                <c:pt idx="3">
                  <c:v>9.2433209265523911E-2</c:v>
                </c:pt>
                <c:pt idx="4">
                  <c:v>-8.2077225242137189E-2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DD-42D2-8C8E-2B7A59B0927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7"/>
        <c:axId val="1590776511"/>
        <c:axId val="159077699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Analysis!$T$64:$T$65</c15:sqref>
                        </c15:formulaRef>
                      </c:ext>
                    </c:extLst>
                    <c:strCache>
                      <c:ptCount val="2"/>
                      <c:pt idx="0">
                        <c:v>revenue</c:v>
                      </c:pt>
                    </c:strCache>
                  </c:strRef>
                </c:tx>
                <c:spPr>
                  <a:solidFill>
                    <a:srgbClr val="00B050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100" b="1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he-IL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Analysis!$S$72:$S$76</c15:sqref>
                        </c15:formulaRef>
                      </c:ext>
                    </c:extLst>
                    <c:strCache>
                      <c:ptCount val="5"/>
                      <c:pt idx="0">
                        <c:v>2020 Q2</c:v>
                      </c:pt>
                      <c:pt idx="1">
                        <c:v>2021 Q2</c:v>
                      </c:pt>
                      <c:pt idx="2">
                        <c:v>2022 Q2</c:v>
                      </c:pt>
                      <c:pt idx="3">
                        <c:v>2023 Q2</c:v>
                      </c:pt>
                      <c:pt idx="4">
                        <c:v>2024 Q2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Analysis!$T$72:$T$75</c15:sqref>
                        </c15:formulaRef>
                      </c:ext>
                    </c:extLst>
                    <c:numCache>
                      <c:formatCode>_-[$$-409]* #,##0.00_ ;_-[$$-409]* \-#,##0.00\ ;_-[$$-409]* "-"??_ ;_-@_ </c:formatCode>
                      <c:ptCount val="4"/>
                      <c:pt idx="0">
                        <c:v>122.23</c:v>
                      </c:pt>
                      <c:pt idx="1">
                        <c:v>174.18199999999999</c:v>
                      </c:pt>
                      <c:pt idx="2">
                        <c:v>247.714</c:v>
                      </c:pt>
                      <c:pt idx="3">
                        <c:v>270.61099999999999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10DD-42D2-8C8E-2B7A59B0927E}"/>
                  </c:ext>
                </c:extLst>
              </c15:ser>
            </c15:filteredBarSeries>
          </c:ext>
        </c:extLst>
      </c:barChart>
      <c:catAx>
        <c:axId val="1590776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590776991"/>
        <c:crosses val="autoZero"/>
        <c:auto val="1"/>
        <c:lblAlgn val="ctr"/>
        <c:lblOffset val="100"/>
        <c:noMultiLvlLbl val="0"/>
      </c:catAx>
      <c:valAx>
        <c:axId val="15907769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590776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Analysis!$T$79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Analysis!$S$80:$S$83</c:f>
              <c:numCache>
                <c:formatCode>General</c:formatCode>
                <c:ptCount val="4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</c:numCache>
            </c:numRef>
          </c:cat>
          <c:val>
            <c:numRef>
              <c:f>Analysis!$T$80:$T$83</c:f>
              <c:numCache>
                <c:formatCode>_-[$$-409]* #,##0.00_ ;_-[$$-409]* \-#,##0.00\ ;_-[$$-409]* "-"??_ ;_-@_ </c:formatCode>
                <c:ptCount val="4"/>
                <c:pt idx="0">
                  <c:v>548.97299999999996</c:v>
                </c:pt>
                <c:pt idx="1">
                  <c:v>750.1</c:v>
                </c:pt>
                <c:pt idx="2">
                  <c:v>1019.5</c:v>
                </c:pt>
                <c:pt idx="3">
                  <c:v>1066.4000000000001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B1-4B20-9D5C-8567A5F1A8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1"/>
        <c:overlap val="-27"/>
        <c:axId val="1659168415"/>
        <c:axId val="1659167455"/>
      </c:barChart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0109359"/>
        <c:axId val="1600111279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Analysis!$U$79</c15:sqref>
                        </c15:formulaRef>
                      </c:ext>
                    </c:extLst>
                    <c:strCache>
                      <c:ptCount val="1"/>
                      <c:pt idx="0">
                        <c:v>% growth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Analysis!$S$80:$S$83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2020</c:v>
                      </c:pt>
                      <c:pt idx="1">
                        <c:v>2021</c:v>
                      </c:pt>
                      <c:pt idx="2">
                        <c:v>2022</c:v>
                      </c:pt>
                      <c:pt idx="3">
                        <c:v>2023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Analysis!$U$80:$U$83</c15:sqref>
                        </c15:formulaRef>
                      </c:ext>
                    </c:extLst>
                    <c:numCache>
                      <c:formatCode>0.0%</c:formatCode>
                      <c:ptCount val="4"/>
                      <c:pt idx="1">
                        <c:v>0.36636956644498014</c:v>
                      </c:pt>
                      <c:pt idx="2">
                        <c:v>0.35915211305159306</c:v>
                      </c:pt>
                      <c:pt idx="3">
                        <c:v>4.6002942618930939E-2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8EB1-4B20-9D5C-8567A5F1A803}"/>
                  </c:ext>
                </c:extLst>
              </c15:ser>
            </c15:filteredLineSeries>
          </c:ext>
        </c:extLst>
      </c:lineChart>
      <c:catAx>
        <c:axId val="1659168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659167455"/>
        <c:crosses val="autoZero"/>
        <c:auto val="1"/>
        <c:lblAlgn val="ctr"/>
        <c:lblOffset val="100"/>
        <c:noMultiLvlLbl val="0"/>
      </c:catAx>
      <c:valAx>
        <c:axId val="1659167455"/>
        <c:scaling>
          <c:orientation val="minMax"/>
        </c:scaling>
        <c:delete val="0"/>
        <c:axPos val="l"/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659168415"/>
        <c:crosses val="autoZero"/>
        <c:crossBetween val="between"/>
      </c:valAx>
      <c:valAx>
        <c:axId val="1600111279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600109359"/>
        <c:crosses val="max"/>
        <c:crossBetween val="between"/>
      </c:valAx>
      <c:catAx>
        <c:axId val="160010935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60011127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Analysis!$U$79</c:f>
              <c:strCache>
                <c:ptCount val="1"/>
                <c:pt idx="0">
                  <c:v>% growth</c:v>
                </c:pt>
              </c:strCache>
              <c:extLst xmlns:c15="http://schemas.microsoft.com/office/drawing/2012/chart"/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Analysis!$S$80:$S$83</c:f>
              <c:numCache>
                <c:formatCode>General</c:formatCode>
                <c:ptCount val="4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</c:numCache>
              <c:extLst xmlns:c15="http://schemas.microsoft.com/office/drawing/2012/chart"/>
            </c:numRef>
          </c:cat>
          <c:val>
            <c:numRef>
              <c:f>Analysis!$U$80:$U$83</c:f>
              <c:numCache>
                <c:formatCode>0.0%</c:formatCode>
                <c:ptCount val="4"/>
                <c:pt idx="1">
                  <c:v>0.36636956644498014</c:v>
                </c:pt>
                <c:pt idx="2">
                  <c:v>0.35915211305159306</c:v>
                </c:pt>
                <c:pt idx="3">
                  <c:v>4.6002942618930939E-2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01-A98B-413F-93EA-D42CBD611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1"/>
        <c:axId val="1659168415"/>
        <c:axId val="1659167455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Analysis!$T$79</c15:sqref>
                        </c15:formulaRef>
                      </c:ext>
                    </c:extLst>
                    <c:strCache>
                      <c:ptCount val="1"/>
                      <c:pt idx="0">
                        <c:v>revenue</c:v>
                      </c:pt>
                    </c:strCache>
                  </c:strRef>
                </c:tx>
                <c:spPr>
                  <a:solidFill>
                    <a:srgbClr val="00B050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100" b="1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he-IL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Analysis!$S$80:$S$83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2020</c:v>
                      </c:pt>
                      <c:pt idx="1">
                        <c:v>2021</c:v>
                      </c:pt>
                      <c:pt idx="2">
                        <c:v>2022</c:v>
                      </c:pt>
                      <c:pt idx="3">
                        <c:v>2023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Analysis!$T$80:$T$83</c15:sqref>
                        </c15:formulaRef>
                      </c:ext>
                    </c:extLst>
                    <c:numCache>
                      <c:formatCode>_-[$$-409]* #,##0.00_ ;_-[$$-409]* \-#,##0.00\ ;_-[$$-409]* "-"??_ ;_-@_ </c:formatCode>
                      <c:ptCount val="4"/>
                      <c:pt idx="0">
                        <c:v>548.97299999999996</c:v>
                      </c:pt>
                      <c:pt idx="1">
                        <c:v>750.1</c:v>
                      </c:pt>
                      <c:pt idx="2">
                        <c:v>1019.5</c:v>
                      </c:pt>
                      <c:pt idx="3">
                        <c:v>1066.4000000000001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A98B-413F-93EA-D42CBD611CB8}"/>
                  </c:ext>
                </c:extLst>
              </c15:ser>
            </c15:filteredBarSeries>
          </c:ext>
        </c:extLst>
      </c:barChart>
      <c:catAx>
        <c:axId val="1659168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659167455"/>
        <c:crosses val="autoZero"/>
        <c:auto val="1"/>
        <c:lblAlgn val="ctr"/>
        <c:lblOffset val="100"/>
        <c:noMultiLvlLbl val="0"/>
      </c:catAx>
      <c:valAx>
        <c:axId val="16591674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659168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Analysis!$V$39</c:f>
              <c:strCache>
                <c:ptCount val="1"/>
                <c:pt idx="0">
                  <c:v>net income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dPt>
            <c:idx val="17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972A-4DA0-868A-D3A009AC971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Analysis!$S$40:$S$57</c:f>
              <c:strCache>
                <c:ptCount val="18"/>
                <c:pt idx="0">
                  <c:v>2020 Q1</c:v>
                </c:pt>
                <c:pt idx="1">
                  <c:v>2020 Q2</c:v>
                </c:pt>
                <c:pt idx="2">
                  <c:v>2020 Q3</c:v>
                </c:pt>
                <c:pt idx="3">
                  <c:v>2020 Q4</c:v>
                </c:pt>
                <c:pt idx="4">
                  <c:v>2021 Q1</c:v>
                </c:pt>
                <c:pt idx="5">
                  <c:v>2021 Q2</c:v>
                </c:pt>
                <c:pt idx="6">
                  <c:v>2021 Q3</c:v>
                </c:pt>
                <c:pt idx="7">
                  <c:v>2021 Q4</c:v>
                </c:pt>
                <c:pt idx="8">
                  <c:v>2022 Q1</c:v>
                </c:pt>
                <c:pt idx="9">
                  <c:v>2022 Q2</c:v>
                </c:pt>
                <c:pt idx="10">
                  <c:v>2022 Q3</c:v>
                </c:pt>
                <c:pt idx="11">
                  <c:v>2022 Q4</c:v>
                </c:pt>
                <c:pt idx="12">
                  <c:v>2023 Q1</c:v>
                </c:pt>
                <c:pt idx="13">
                  <c:v>2023 Q2</c:v>
                </c:pt>
                <c:pt idx="14">
                  <c:v>2023 Q3</c:v>
                </c:pt>
                <c:pt idx="15">
                  <c:v>2023 Q4</c:v>
                </c:pt>
                <c:pt idx="16">
                  <c:v>2024 Q1</c:v>
                </c:pt>
                <c:pt idx="17">
                  <c:v>2024 Q2</c:v>
                </c:pt>
              </c:strCache>
            </c:strRef>
          </c:cat>
          <c:val>
            <c:numRef>
              <c:f>Analysis!$V$40:$V$57</c:f>
              <c:numCache>
                <c:formatCode>_-[$$-409]* #,##0.000_ ;_-[$$-409]* \-#,##0.000\ ;_-[$$-409]* "-"??_ ;_-@_ </c:formatCode>
                <c:ptCount val="18"/>
                <c:pt idx="0" formatCode="_-[$$-409]* #,##0.00_ ;_-[$$-409]* \-#,##0.00\ ;_-[$$-409]* &quot;-&quot;??_ ;_-@_ ">
                  <c:v>8.3350000000000009</c:v>
                </c:pt>
                <c:pt idx="1">
                  <c:v>11.018000000000001</c:v>
                </c:pt>
                <c:pt idx="2">
                  <c:v>20.773</c:v>
                </c:pt>
                <c:pt idx="3">
                  <c:v>16.712</c:v>
                </c:pt>
                <c:pt idx="4">
                  <c:v>14.718999999999999</c:v>
                </c:pt>
                <c:pt idx="5">
                  <c:v>-1.694</c:v>
                </c:pt>
                <c:pt idx="6">
                  <c:v>15.542</c:v>
                </c:pt>
                <c:pt idx="7">
                  <c:v>15.233000000000001</c:v>
                </c:pt>
                <c:pt idx="8">
                  <c:v>19.704000000000001</c:v>
                </c:pt>
                <c:pt idx="9">
                  <c:v>22.837</c:v>
                </c:pt>
                <c:pt idx="10">
                  <c:v>32.4</c:v>
                </c:pt>
                <c:pt idx="11">
                  <c:v>32.768999999999998</c:v>
                </c:pt>
                <c:pt idx="12">
                  <c:v>26</c:v>
                </c:pt>
                <c:pt idx="13">
                  <c:v>36.987000000000002</c:v>
                </c:pt>
                <c:pt idx="14">
                  <c:v>37</c:v>
                </c:pt>
                <c:pt idx="15">
                  <c:v>35.713000000000001</c:v>
                </c:pt>
                <c:pt idx="16">
                  <c:v>30.7</c:v>
                </c:pt>
                <c:pt idx="17" formatCode="_-[$$-409]* #,##0.00_ ;_-[$$-409]* \-#,##0.00\ ;_-[$$-409]* &quot;-&quot;??_ ;_-@_ ">
                  <c:v>27.6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14-4171-BF2F-8CFB08D22D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2"/>
        <c:overlap val="-27"/>
        <c:axId val="1599695919"/>
        <c:axId val="1599696399"/>
      </c:barChart>
      <c:catAx>
        <c:axId val="1599695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599696399"/>
        <c:crosses val="autoZero"/>
        <c:auto val="1"/>
        <c:lblAlgn val="ctr"/>
        <c:lblOffset val="100"/>
        <c:noMultiLvlLbl val="0"/>
      </c:catAx>
      <c:valAx>
        <c:axId val="1599696399"/>
        <c:scaling>
          <c:orientation val="minMax"/>
        </c:scaling>
        <c:delete val="0"/>
        <c:axPos val="l"/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599695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13" Type="http://schemas.openxmlformats.org/officeDocument/2006/relationships/chart" Target="../charts/chart12.xml"/><Relationship Id="rId18" Type="http://schemas.openxmlformats.org/officeDocument/2006/relationships/chart" Target="../charts/chart17.xml"/><Relationship Id="rId3" Type="http://schemas.openxmlformats.org/officeDocument/2006/relationships/chart" Target="../charts/chart2.xml"/><Relationship Id="rId7" Type="http://schemas.openxmlformats.org/officeDocument/2006/relationships/chart" Target="../charts/chart6.xml"/><Relationship Id="rId12" Type="http://schemas.openxmlformats.org/officeDocument/2006/relationships/chart" Target="../charts/chart11.xml"/><Relationship Id="rId17" Type="http://schemas.openxmlformats.org/officeDocument/2006/relationships/chart" Target="../charts/chart16.xml"/><Relationship Id="rId2" Type="http://schemas.openxmlformats.org/officeDocument/2006/relationships/chart" Target="../charts/chart1.xml"/><Relationship Id="rId16" Type="http://schemas.openxmlformats.org/officeDocument/2006/relationships/chart" Target="../charts/chart15.xml"/><Relationship Id="rId1" Type="http://schemas.openxmlformats.org/officeDocument/2006/relationships/image" Target="../media/image16.png"/><Relationship Id="rId6" Type="http://schemas.openxmlformats.org/officeDocument/2006/relationships/chart" Target="../charts/chart5.xml"/><Relationship Id="rId11" Type="http://schemas.openxmlformats.org/officeDocument/2006/relationships/chart" Target="../charts/chart10.xml"/><Relationship Id="rId5" Type="http://schemas.openxmlformats.org/officeDocument/2006/relationships/chart" Target="../charts/chart4.xml"/><Relationship Id="rId15" Type="http://schemas.openxmlformats.org/officeDocument/2006/relationships/chart" Target="../charts/chart14.xml"/><Relationship Id="rId10" Type="http://schemas.openxmlformats.org/officeDocument/2006/relationships/chart" Target="../charts/chart9.xml"/><Relationship Id="rId19" Type="http://schemas.openxmlformats.org/officeDocument/2006/relationships/chart" Target="../charts/chart18.xml"/><Relationship Id="rId4" Type="http://schemas.openxmlformats.org/officeDocument/2006/relationships/chart" Target="../charts/chart3.xml"/><Relationship Id="rId9" Type="http://schemas.openxmlformats.org/officeDocument/2006/relationships/chart" Target="../charts/chart8.xml"/><Relationship Id="rId14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7.png"/><Relationship Id="rId1" Type="http://schemas.openxmlformats.org/officeDocument/2006/relationships/image" Target="../media/image15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png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4" Type="http://schemas.openxmlformats.org/officeDocument/2006/relationships/chart" Target="../charts/chart21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5" Type="http://schemas.openxmlformats.org/officeDocument/2006/relationships/chart" Target="../charts/chart26.xml"/><Relationship Id="rId4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17</xdr:row>
      <xdr:rowOff>38100</xdr:rowOff>
    </xdr:from>
    <xdr:to>
      <xdr:col>17</xdr:col>
      <xdr:colOff>296709</xdr:colOff>
      <xdr:row>42</xdr:row>
      <xdr:rowOff>152400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0993B9E-943B-C304-3B60-0F2A04DB4B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276600"/>
          <a:ext cx="10659909" cy="48768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54</xdr:row>
      <xdr:rowOff>51954</xdr:rowOff>
    </xdr:from>
    <xdr:to>
      <xdr:col>13</xdr:col>
      <xdr:colOff>48502</xdr:colOff>
      <xdr:row>56</xdr:row>
      <xdr:rowOff>34636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F8AD681-136D-2742-0F55-A27AB57824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0529454"/>
          <a:ext cx="7928275" cy="36368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57</xdr:row>
      <xdr:rowOff>34636</xdr:rowOff>
    </xdr:from>
    <xdr:to>
      <xdr:col>14</xdr:col>
      <xdr:colOff>533139</xdr:colOff>
      <xdr:row>58</xdr:row>
      <xdr:rowOff>110803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1977E7D-5FEA-E4D5-8012-E52C711322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1083636"/>
          <a:ext cx="9019048" cy="26666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60</xdr:row>
      <xdr:rowOff>138546</xdr:rowOff>
    </xdr:from>
    <xdr:to>
      <xdr:col>23</xdr:col>
      <xdr:colOff>516007</xdr:colOff>
      <xdr:row>62</xdr:row>
      <xdr:rowOff>186117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58B6502-7827-0263-1886-FB3C0D45C9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1759046"/>
          <a:ext cx="14457143" cy="428571"/>
        </a:xfrm>
        <a:prstGeom prst="rect">
          <a:avLst/>
        </a:prstGeom>
      </xdr:spPr>
    </xdr:pic>
    <xdr:clientData/>
  </xdr:twoCellAnchor>
  <xdr:twoCellAnchor editAs="oneCell">
    <xdr:from>
      <xdr:col>24</xdr:col>
      <xdr:colOff>34636</xdr:colOff>
      <xdr:row>55</xdr:row>
      <xdr:rowOff>51954</xdr:rowOff>
    </xdr:from>
    <xdr:to>
      <xdr:col>41</xdr:col>
      <xdr:colOff>158889</xdr:colOff>
      <xdr:row>57</xdr:row>
      <xdr:rowOff>51906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9645FA0-CFAF-D19A-77D2-0E3CF0380E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4581909" y="10719954"/>
          <a:ext cx="10428571" cy="380952"/>
        </a:xfrm>
        <a:prstGeom prst="rect">
          <a:avLst/>
        </a:prstGeom>
      </xdr:spPr>
    </xdr:pic>
    <xdr:clientData/>
  </xdr:twoCellAnchor>
  <xdr:twoCellAnchor editAs="oneCell">
    <xdr:from>
      <xdr:col>24</xdr:col>
      <xdr:colOff>138544</xdr:colOff>
      <xdr:row>82</xdr:row>
      <xdr:rowOff>17319</xdr:rowOff>
    </xdr:from>
    <xdr:to>
      <xdr:col>28</xdr:col>
      <xdr:colOff>338569</xdr:colOff>
      <xdr:row>91</xdr:row>
      <xdr:rowOff>36369</xdr:rowOff>
    </xdr:to>
    <xdr:pic>
      <xdr:nvPicPr>
        <xdr:cNvPr id="8" name="Picture 7" descr="Insulated Roll Up Steel Doors | Rolling ...">
          <a:extLst>
            <a:ext uri="{FF2B5EF4-FFF2-40B4-BE49-F238E27FC236}">
              <a16:creationId xmlns:a16="http://schemas.microsoft.com/office/drawing/2014/main" id="{B8D4C5C4-2923-7394-32FF-A6C033BAFB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85817" y="15828819"/>
          <a:ext cx="2624570" cy="1733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173182</xdr:colOff>
      <xdr:row>64</xdr:row>
      <xdr:rowOff>121228</xdr:rowOff>
    </xdr:from>
    <xdr:to>
      <xdr:col>23</xdr:col>
      <xdr:colOff>546332</xdr:colOff>
      <xdr:row>73</xdr:row>
      <xdr:rowOff>73395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7418C7E5-CB0C-AD0F-57C7-62720BC3B3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73182" y="12503728"/>
          <a:ext cx="14314286" cy="166666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74</xdr:row>
      <xdr:rowOff>34637</xdr:rowOff>
    </xdr:from>
    <xdr:to>
      <xdr:col>24</xdr:col>
      <xdr:colOff>119394</xdr:colOff>
      <xdr:row>80</xdr:row>
      <xdr:rowOff>101161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3620BF0C-1641-9B32-C008-CE974BF92E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14322137"/>
          <a:ext cx="14666667" cy="1209524"/>
        </a:xfrm>
        <a:prstGeom prst="rect">
          <a:avLst/>
        </a:prstGeom>
      </xdr:spPr>
    </xdr:pic>
    <xdr:clientData/>
  </xdr:twoCellAnchor>
  <xdr:twoCellAnchor editAs="oneCell">
    <xdr:from>
      <xdr:col>0</xdr:col>
      <xdr:colOff>103908</xdr:colOff>
      <xdr:row>82</xdr:row>
      <xdr:rowOff>155863</xdr:rowOff>
    </xdr:from>
    <xdr:to>
      <xdr:col>24</xdr:col>
      <xdr:colOff>13778</xdr:colOff>
      <xdr:row>93</xdr:row>
      <xdr:rowOff>146077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3B4F876B-34F4-C51F-CB43-D21DF56F2A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03908" y="15967363"/>
          <a:ext cx="14457143" cy="2085714"/>
        </a:xfrm>
        <a:prstGeom prst="rect">
          <a:avLst/>
        </a:prstGeom>
      </xdr:spPr>
    </xdr:pic>
    <xdr:clientData/>
  </xdr:twoCellAnchor>
  <xdr:twoCellAnchor editAs="oneCell">
    <xdr:from>
      <xdr:col>0</xdr:col>
      <xdr:colOff>259773</xdr:colOff>
      <xdr:row>95</xdr:row>
      <xdr:rowOff>34636</xdr:rowOff>
    </xdr:from>
    <xdr:to>
      <xdr:col>24</xdr:col>
      <xdr:colOff>131547</xdr:colOff>
      <xdr:row>106</xdr:row>
      <xdr:rowOff>24850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2DBE0A7A-A43A-A8BA-62DC-AE1525232C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59773" y="18322636"/>
          <a:ext cx="14419047" cy="2085714"/>
        </a:xfrm>
        <a:prstGeom prst="rect">
          <a:avLst/>
        </a:prstGeom>
      </xdr:spPr>
    </xdr:pic>
    <xdr:clientData/>
  </xdr:twoCellAnchor>
  <xdr:twoCellAnchor editAs="oneCell">
    <xdr:from>
      <xdr:col>25</xdr:col>
      <xdr:colOff>138545</xdr:colOff>
      <xdr:row>114</xdr:row>
      <xdr:rowOff>69272</xdr:rowOff>
    </xdr:from>
    <xdr:to>
      <xdr:col>49</xdr:col>
      <xdr:colOff>57939</xdr:colOff>
      <xdr:row>119</xdr:row>
      <xdr:rowOff>145343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4C18E8DD-4B1B-0997-7084-625A4B8041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38545" y="22219227"/>
          <a:ext cx="14466667" cy="1028571"/>
        </a:xfrm>
        <a:prstGeom prst="rect">
          <a:avLst/>
        </a:prstGeom>
      </xdr:spPr>
    </xdr:pic>
    <xdr:clientData/>
  </xdr:twoCellAnchor>
  <xdr:twoCellAnchor editAs="oneCell">
    <xdr:from>
      <xdr:col>25</xdr:col>
      <xdr:colOff>329046</xdr:colOff>
      <xdr:row>120</xdr:row>
      <xdr:rowOff>173182</xdr:rowOff>
    </xdr:from>
    <xdr:to>
      <xdr:col>49</xdr:col>
      <xdr:colOff>372249</xdr:colOff>
      <xdr:row>134</xdr:row>
      <xdr:rowOff>163325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82EA4B5D-332C-400B-29BE-A80C8FC084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329046" y="23466137"/>
          <a:ext cx="14590476" cy="265714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106</xdr:row>
      <xdr:rowOff>51954</xdr:rowOff>
    </xdr:from>
    <xdr:to>
      <xdr:col>24</xdr:col>
      <xdr:colOff>243203</xdr:colOff>
      <xdr:row>113</xdr:row>
      <xdr:rowOff>28380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532445EF-CBE4-6ACB-71E4-4E534A63A2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0" y="20435454"/>
          <a:ext cx="14790476" cy="1552381"/>
        </a:xfrm>
        <a:prstGeom prst="rect">
          <a:avLst/>
        </a:prstGeom>
      </xdr:spPr>
    </xdr:pic>
    <xdr:clientData/>
  </xdr:twoCellAnchor>
  <xdr:twoCellAnchor editAs="oneCell">
    <xdr:from>
      <xdr:col>0</xdr:col>
      <xdr:colOff>138546</xdr:colOff>
      <xdr:row>115</xdr:row>
      <xdr:rowOff>155864</xdr:rowOff>
    </xdr:from>
    <xdr:to>
      <xdr:col>22</xdr:col>
      <xdr:colOff>489260</xdr:colOff>
      <xdr:row>119</xdr:row>
      <xdr:rowOff>3388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A937F1FA-882D-6FA1-F553-4402F62648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38546" y="22496319"/>
          <a:ext cx="13685714" cy="609524"/>
        </a:xfrm>
        <a:prstGeom prst="rect">
          <a:avLst/>
        </a:prstGeom>
      </xdr:spPr>
    </xdr:pic>
    <xdr:clientData/>
  </xdr:twoCellAnchor>
  <xdr:twoCellAnchor editAs="oneCell">
    <xdr:from>
      <xdr:col>1</xdr:col>
      <xdr:colOff>163287</xdr:colOff>
      <xdr:row>118</xdr:row>
      <xdr:rowOff>176893</xdr:rowOff>
    </xdr:from>
    <xdr:to>
      <xdr:col>22</xdr:col>
      <xdr:colOff>142632</xdr:colOff>
      <xdr:row>162</xdr:row>
      <xdr:rowOff>137750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EABBCE68-B73E-2E3F-7023-93795A40A2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775608" y="23091322"/>
          <a:ext cx="12838095" cy="834285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666749</xdr:colOff>
      <xdr:row>0</xdr:row>
      <xdr:rowOff>72950</xdr:rowOff>
    </xdr:from>
    <xdr:to>
      <xdr:col>18</xdr:col>
      <xdr:colOff>360608</xdr:colOff>
      <xdr:row>32</xdr:row>
      <xdr:rowOff>132363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CB31F34-DC57-8DD5-E112-759CC0A02E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67374" y="72950"/>
          <a:ext cx="8552109" cy="6288763"/>
        </a:xfrm>
        <a:prstGeom prst="rect">
          <a:avLst/>
        </a:prstGeom>
      </xdr:spPr>
    </xdr:pic>
    <xdr:clientData/>
  </xdr:twoCellAnchor>
  <xdr:twoCellAnchor>
    <xdr:from>
      <xdr:col>1</xdr:col>
      <xdr:colOff>576262</xdr:colOff>
      <xdr:row>38</xdr:row>
      <xdr:rowOff>114300</xdr:rowOff>
    </xdr:from>
    <xdr:to>
      <xdr:col>7</xdr:col>
      <xdr:colOff>466725</xdr:colOff>
      <xdr:row>53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8B0F34C-30AF-8470-6981-E2E9E4ECD5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122705</xdr:colOff>
      <xdr:row>37</xdr:row>
      <xdr:rowOff>209548</xdr:rowOff>
    </xdr:from>
    <xdr:to>
      <xdr:col>16</xdr:col>
      <xdr:colOff>1086970</xdr:colOff>
      <xdr:row>55</xdr:row>
      <xdr:rowOff>22412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D8B514F-C43D-49A5-A5F8-24BB56E43D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757237</xdr:colOff>
      <xdr:row>55</xdr:row>
      <xdr:rowOff>114300</xdr:rowOff>
    </xdr:from>
    <xdr:to>
      <xdr:col>7</xdr:col>
      <xdr:colOff>328612</xdr:colOff>
      <xdr:row>70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60B7D3E-B586-29D4-FA4D-6219B88D84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333375</xdr:colOff>
      <xdr:row>55</xdr:row>
      <xdr:rowOff>123825</xdr:rowOff>
    </xdr:from>
    <xdr:to>
      <xdr:col>15</xdr:col>
      <xdr:colOff>104775</xdr:colOff>
      <xdr:row>70</xdr:row>
      <xdr:rowOff>9525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97AADFA-5BD0-4DBC-BAC0-CCF4067DC3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695325</xdr:colOff>
      <xdr:row>71</xdr:row>
      <xdr:rowOff>28575</xdr:rowOff>
    </xdr:from>
    <xdr:to>
      <xdr:col>7</xdr:col>
      <xdr:colOff>266700</xdr:colOff>
      <xdr:row>85</xdr:row>
      <xdr:rowOff>104775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A487A1C-834C-44A7-BD8C-FF9345462F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295275</xdr:colOff>
      <xdr:row>71</xdr:row>
      <xdr:rowOff>57151</xdr:rowOff>
    </xdr:from>
    <xdr:to>
      <xdr:col>15</xdr:col>
      <xdr:colOff>66675</xdr:colOff>
      <xdr:row>85</xdr:row>
      <xdr:rowOff>114301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54E0CC2-5C43-42E9-AF45-1F0D075FEA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667029</xdr:colOff>
      <xdr:row>86</xdr:row>
      <xdr:rowOff>169769</xdr:rowOff>
    </xdr:from>
    <xdr:to>
      <xdr:col>7</xdr:col>
      <xdr:colOff>238404</xdr:colOff>
      <xdr:row>101</xdr:row>
      <xdr:rowOff>55469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419C0C1-5662-42E5-A2AC-110530E678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282949</xdr:colOff>
      <xdr:row>87</xdr:row>
      <xdr:rowOff>25213</xdr:rowOff>
    </xdr:from>
    <xdr:to>
      <xdr:col>15</xdr:col>
      <xdr:colOff>56590</xdr:colOff>
      <xdr:row>101</xdr:row>
      <xdr:rowOff>101413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6CF4E92-7803-415C-B28A-0757F188F0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437029</xdr:colOff>
      <xdr:row>104</xdr:row>
      <xdr:rowOff>33616</xdr:rowOff>
    </xdr:from>
    <xdr:to>
      <xdr:col>18</xdr:col>
      <xdr:colOff>235322</xdr:colOff>
      <xdr:row>124</xdr:row>
      <xdr:rowOff>145677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1A1F5A9-CC1B-482E-A238-9CD6B2D586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683555</xdr:colOff>
      <xdr:row>125</xdr:row>
      <xdr:rowOff>134471</xdr:rowOff>
    </xdr:from>
    <xdr:to>
      <xdr:col>17</xdr:col>
      <xdr:colOff>593910</xdr:colOff>
      <xdr:row>144</xdr:row>
      <xdr:rowOff>22412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B64F59C-4634-4620-A63D-DBB155C997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18</xdr:col>
      <xdr:colOff>557893</xdr:colOff>
      <xdr:row>106</xdr:row>
      <xdr:rowOff>67234</xdr:rowOff>
    </xdr:from>
    <xdr:to>
      <xdr:col>25</xdr:col>
      <xdr:colOff>149999</xdr:colOff>
      <xdr:row>120</xdr:row>
      <xdr:rowOff>143434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27C5BB6F-8B35-4D0C-AA9B-B5D3D090FD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18</xdr:col>
      <xdr:colOff>299356</xdr:colOff>
      <xdr:row>126</xdr:row>
      <xdr:rowOff>40820</xdr:rowOff>
    </xdr:from>
    <xdr:to>
      <xdr:col>25</xdr:col>
      <xdr:colOff>544286</xdr:colOff>
      <xdr:row>142</xdr:row>
      <xdr:rowOff>68035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B80B3699-11AA-452E-8725-22B49B0FDA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27</xdr:col>
      <xdr:colOff>0</xdr:colOff>
      <xdr:row>52</xdr:row>
      <xdr:rowOff>0</xdr:rowOff>
    </xdr:from>
    <xdr:to>
      <xdr:col>34</xdr:col>
      <xdr:colOff>108177</xdr:colOff>
      <xdr:row>66</xdr:row>
      <xdr:rowOff>76200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2172D81B-6A9C-4591-921D-20DC3B5EF9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27</xdr:col>
      <xdr:colOff>95250</xdr:colOff>
      <xdr:row>69</xdr:row>
      <xdr:rowOff>27214</xdr:rowOff>
    </xdr:from>
    <xdr:to>
      <xdr:col>33</xdr:col>
      <xdr:colOff>544606</xdr:colOff>
      <xdr:row>83</xdr:row>
      <xdr:rowOff>103414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B01BE71C-B01D-4100-A408-1C42F2DEB6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27</xdr:col>
      <xdr:colOff>326571</xdr:colOff>
      <xdr:row>85</xdr:row>
      <xdr:rowOff>0</xdr:rowOff>
    </xdr:from>
    <xdr:to>
      <xdr:col>34</xdr:col>
      <xdr:colOff>95570</xdr:colOff>
      <xdr:row>99</xdr:row>
      <xdr:rowOff>76200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860AD81C-BC98-4872-BDDC-399B545AA3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479052</xdr:colOff>
      <xdr:row>146</xdr:row>
      <xdr:rowOff>66395</xdr:rowOff>
    </xdr:from>
    <xdr:to>
      <xdr:col>7</xdr:col>
      <xdr:colOff>57551</xdr:colOff>
      <xdr:row>160</xdr:row>
      <xdr:rowOff>142595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D14EDE69-809F-460D-91E3-CC5C51001E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509026</xdr:colOff>
      <xdr:row>146</xdr:row>
      <xdr:rowOff>85445</xdr:rowOff>
    </xdr:from>
    <xdr:to>
      <xdr:col>14</xdr:col>
      <xdr:colOff>267820</xdr:colOff>
      <xdr:row>160</xdr:row>
      <xdr:rowOff>161645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7F710DF5-3B0D-42EA-BD8A-C6E7ADA605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3</xdr:col>
      <xdr:colOff>354666</xdr:colOff>
      <xdr:row>163</xdr:row>
      <xdr:rowOff>25213</xdr:rowOff>
    </xdr:from>
    <xdr:to>
      <xdr:col>20</xdr:col>
      <xdr:colOff>526677</xdr:colOff>
      <xdr:row>186</xdr:row>
      <xdr:rowOff>33618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F57BD9E2-C301-463E-96F8-E84D49719C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0.62025</cdr:x>
      <cdr:y>0.29861</cdr:y>
    </cdr:from>
    <cdr:to>
      <cdr:x>0.98637</cdr:x>
      <cdr:y>0.30208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77CFB1F9-3792-D773-94F8-58A0C03AC76C}"/>
            </a:ext>
          </a:extLst>
        </cdr:cNvPr>
        <cdr:cNvCxnSpPr/>
      </cdr:nvCxnSpPr>
      <cdr:spPr>
        <a:xfrm xmlns:a="http://schemas.openxmlformats.org/drawingml/2006/main" flipV="1">
          <a:off x="3033713" y="819150"/>
          <a:ext cx="1790700" cy="9525"/>
        </a:xfrm>
        <a:prstGeom xmlns:a="http://schemas.openxmlformats.org/drawingml/2006/main" prst="line">
          <a:avLst/>
        </a:prstGeom>
        <a:ln xmlns:a="http://schemas.openxmlformats.org/drawingml/2006/main" w="38100"/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0.63118</cdr:x>
      <cdr:y>0.18609</cdr:y>
    </cdr:from>
    <cdr:to>
      <cdr:x>0.99655</cdr:x>
      <cdr:y>0.19143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77CFB1F9-3792-D773-94F8-58A0C03AC76C}"/>
            </a:ext>
          </a:extLst>
        </cdr:cNvPr>
        <cdr:cNvCxnSpPr/>
      </cdr:nvCxnSpPr>
      <cdr:spPr>
        <a:xfrm xmlns:a="http://schemas.openxmlformats.org/drawingml/2006/main">
          <a:off x="8197471" y="729874"/>
          <a:ext cx="4745324" cy="20921"/>
        </a:xfrm>
        <a:prstGeom xmlns:a="http://schemas.openxmlformats.org/drawingml/2006/main" prst="line">
          <a:avLst/>
        </a:prstGeom>
        <a:ln xmlns:a="http://schemas.openxmlformats.org/drawingml/2006/main" w="38100"/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0.61466</cdr:x>
      <cdr:y>0.25397</cdr:y>
    </cdr:from>
    <cdr:to>
      <cdr:x>0.98078</cdr:x>
      <cdr:y>0.25744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77CFB1F9-3792-D773-94F8-58A0C03AC76C}"/>
            </a:ext>
          </a:extLst>
        </cdr:cNvPr>
        <cdr:cNvCxnSpPr/>
      </cdr:nvCxnSpPr>
      <cdr:spPr>
        <a:xfrm xmlns:a="http://schemas.openxmlformats.org/drawingml/2006/main" flipV="1">
          <a:off x="2993823" y="696683"/>
          <a:ext cx="1783253" cy="9519"/>
        </a:xfrm>
        <a:prstGeom xmlns:a="http://schemas.openxmlformats.org/drawingml/2006/main" prst="line">
          <a:avLst/>
        </a:prstGeom>
        <a:ln xmlns:a="http://schemas.openxmlformats.org/drawingml/2006/main" w="38100"/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123825</xdr:colOff>
      <xdr:row>9</xdr:row>
      <xdr:rowOff>28575</xdr:rowOff>
    </xdr:from>
    <xdr:to>
      <xdr:col>5</xdr:col>
      <xdr:colOff>28575</xdr:colOff>
      <xdr:row>10</xdr:row>
      <xdr:rowOff>0</xdr:rowOff>
    </xdr:to>
    <xdr:sp macro="" textlink="">
      <xdr:nvSpPr>
        <xdr:cNvPr id="2" name="Arrow: Right 1">
          <a:extLst>
            <a:ext uri="{FF2B5EF4-FFF2-40B4-BE49-F238E27FC236}">
              <a16:creationId xmlns:a16="http://schemas.microsoft.com/office/drawing/2014/main" id="{1518DF02-0DB7-4591-BD88-484191441D1E}"/>
            </a:ext>
          </a:extLst>
        </xdr:cNvPr>
        <xdr:cNvSpPr/>
      </xdr:nvSpPr>
      <xdr:spPr>
        <a:xfrm>
          <a:off x="2257425" y="1933575"/>
          <a:ext cx="3152775" cy="161925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9</xdr:col>
      <xdr:colOff>323850</xdr:colOff>
      <xdr:row>2</xdr:row>
      <xdr:rowOff>47625</xdr:rowOff>
    </xdr:from>
    <xdr:to>
      <xdr:col>26</xdr:col>
      <xdr:colOff>150795</xdr:colOff>
      <xdr:row>37</xdr:row>
      <xdr:rowOff>2207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1F93875-1E3C-40EF-A413-9F5B612B27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72275" y="428625"/>
          <a:ext cx="10190145" cy="6622082"/>
        </a:xfrm>
        <a:prstGeom prst="rect">
          <a:avLst/>
        </a:prstGeom>
      </xdr:spPr>
    </xdr:pic>
    <xdr:clientData/>
  </xdr:twoCellAnchor>
  <xdr:twoCellAnchor>
    <xdr:from>
      <xdr:col>2</xdr:col>
      <xdr:colOff>123825</xdr:colOff>
      <xdr:row>41</xdr:row>
      <xdr:rowOff>28575</xdr:rowOff>
    </xdr:from>
    <xdr:to>
      <xdr:col>5</xdr:col>
      <xdr:colOff>28575</xdr:colOff>
      <xdr:row>42</xdr:row>
      <xdr:rowOff>0</xdr:rowOff>
    </xdr:to>
    <xdr:sp macro="" textlink="">
      <xdr:nvSpPr>
        <xdr:cNvPr id="4" name="Arrow: Right 3">
          <a:extLst>
            <a:ext uri="{FF2B5EF4-FFF2-40B4-BE49-F238E27FC236}">
              <a16:creationId xmlns:a16="http://schemas.microsoft.com/office/drawing/2014/main" id="{1683C835-A4B1-479D-BA6E-ED1171A250E6}"/>
            </a:ext>
          </a:extLst>
        </xdr:cNvPr>
        <xdr:cNvSpPr/>
      </xdr:nvSpPr>
      <xdr:spPr>
        <a:xfrm>
          <a:off x="1343025" y="1743075"/>
          <a:ext cx="1838325" cy="161925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123825</xdr:colOff>
      <xdr:row>54</xdr:row>
      <xdr:rowOff>28575</xdr:rowOff>
    </xdr:from>
    <xdr:to>
      <xdr:col>5</xdr:col>
      <xdr:colOff>28575</xdr:colOff>
      <xdr:row>55</xdr:row>
      <xdr:rowOff>0</xdr:rowOff>
    </xdr:to>
    <xdr:sp macro="" textlink="">
      <xdr:nvSpPr>
        <xdr:cNvPr id="5" name="Arrow: Right 4">
          <a:extLst>
            <a:ext uri="{FF2B5EF4-FFF2-40B4-BE49-F238E27FC236}">
              <a16:creationId xmlns:a16="http://schemas.microsoft.com/office/drawing/2014/main" id="{33597BD9-920C-4E5C-81CF-1900188BC32B}"/>
            </a:ext>
          </a:extLst>
        </xdr:cNvPr>
        <xdr:cNvSpPr/>
      </xdr:nvSpPr>
      <xdr:spPr>
        <a:xfrm>
          <a:off x="1343025" y="7839075"/>
          <a:ext cx="1838325" cy="161925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123825</xdr:colOff>
      <xdr:row>67</xdr:row>
      <xdr:rowOff>28575</xdr:rowOff>
    </xdr:from>
    <xdr:to>
      <xdr:col>6</xdr:col>
      <xdr:colOff>676275</xdr:colOff>
      <xdr:row>68</xdr:row>
      <xdr:rowOff>47625</xdr:rowOff>
    </xdr:to>
    <xdr:sp macro="" textlink="">
      <xdr:nvSpPr>
        <xdr:cNvPr id="6" name="Arrow: Right 5">
          <a:extLst>
            <a:ext uri="{FF2B5EF4-FFF2-40B4-BE49-F238E27FC236}">
              <a16:creationId xmlns:a16="http://schemas.microsoft.com/office/drawing/2014/main" id="{4F34A4BE-CE15-498A-B65B-C93D8A0C9147}"/>
            </a:ext>
          </a:extLst>
        </xdr:cNvPr>
        <xdr:cNvSpPr/>
      </xdr:nvSpPr>
      <xdr:spPr>
        <a:xfrm>
          <a:off x="1952625" y="12792075"/>
          <a:ext cx="2571750" cy="209550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552450</xdr:colOff>
      <xdr:row>82</xdr:row>
      <xdr:rowOff>0</xdr:rowOff>
    </xdr:from>
    <xdr:to>
      <xdr:col>6</xdr:col>
      <xdr:colOff>1057275</xdr:colOff>
      <xdr:row>83</xdr:row>
      <xdr:rowOff>0</xdr:rowOff>
    </xdr:to>
    <xdr:sp macro="" textlink="">
      <xdr:nvSpPr>
        <xdr:cNvPr id="7" name="Arrow: Right 6">
          <a:extLst>
            <a:ext uri="{FF2B5EF4-FFF2-40B4-BE49-F238E27FC236}">
              <a16:creationId xmlns:a16="http://schemas.microsoft.com/office/drawing/2014/main" id="{D77B6D0E-F881-4668-A3FE-62CE74697313}"/>
            </a:ext>
          </a:extLst>
        </xdr:cNvPr>
        <xdr:cNvSpPr/>
      </xdr:nvSpPr>
      <xdr:spPr>
        <a:xfrm>
          <a:off x="2628900" y="15621000"/>
          <a:ext cx="2524125" cy="190500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209550</xdr:colOff>
      <xdr:row>85</xdr:row>
      <xdr:rowOff>9525</xdr:rowOff>
    </xdr:from>
    <xdr:to>
      <xdr:col>6</xdr:col>
      <xdr:colOff>1323975</xdr:colOff>
      <xdr:row>86</xdr:row>
      <xdr:rowOff>9525</xdr:rowOff>
    </xdr:to>
    <xdr:sp macro="" textlink="">
      <xdr:nvSpPr>
        <xdr:cNvPr id="8" name="Arrow: Right 7">
          <a:extLst>
            <a:ext uri="{FF2B5EF4-FFF2-40B4-BE49-F238E27FC236}">
              <a16:creationId xmlns:a16="http://schemas.microsoft.com/office/drawing/2014/main" id="{ACBFC4E2-3F93-4794-8330-695CAFB0C5D3}"/>
            </a:ext>
          </a:extLst>
        </xdr:cNvPr>
        <xdr:cNvSpPr/>
      </xdr:nvSpPr>
      <xdr:spPr>
        <a:xfrm>
          <a:off x="2895600" y="16202025"/>
          <a:ext cx="2524125" cy="190500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228600</xdr:colOff>
      <xdr:row>89</xdr:row>
      <xdr:rowOff>0</xdr:rowOff>
    </xdr:from>
    <xdr:to>
      <xdr:col>6</xdr:col>
      <xdr:colOff>1343025</xdr:colOff>
      <xdr:row>90</xdr:row>
      <xdr:rowOff>0</xdr:rowOff>
    </xdr:to>
    <xdr:sp macro="" textlink="">
      <xdr:nvSpPr>
        <xdr:cNvPr id="9" name="Arrow: Right 8">
          <a:extLst>
            <a:ext uri="{FF2B5EF4-FFF2-40B4-BE49-F238E27FC236}">
              <a16:creationId xmlns:a16="http://schemas.microsoft.com/office/drawing/2014/main" id="{B26B12F8-010D-4441-8DDB-0BCB9468C2C5}"/>
            </a:ext>
          </a:extLst>
        </xdr:cNvPr>
        <xdr:cNvSpPr/>
      </xdr:nvSpPr>
      <xdr:spPr>
        <a:xfrm>
          <a:off x="2914650" y="16954500"/>
          <a:ext cx="2524125" cy="190500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0</xdr:col>
      <xdr:colOff>323850</xdr:colOff>
      <xdr:row>90</xdr:row>
      <xdr:rowOff>161925</xdr:rowOff>
    </xdr:from>
    <xdr:to>
      <xdr:col>14</xdr:col>
      <xdr:colOff>312498</xdr:colOff>
      <xdr:row>99</xdr:row>
      <xdr:rowOff>9525</xdr:rowOff>
    </xdr:to>
    <xdr:pic>
      <xdr:nvPicPr>
        <xdr:cNvPr id="10" name="Picture 9" descr="A blue and white striped background&#10;&#10;Description automatically generated">
          <a:extLst>
            <a:ext uri="{FF2B5EF4-FFF2-40B4-BE49-F238E27FC236}">
              <a16:creationId xmlns:a16="http://schemas.microsoft.com/office/drawing/2014/main" id="{95B5C8F6-2F4D-9197-8258-1303D80F4A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0" y="17373600"/>
          <a:ext cx="11694873" cy="1562100"/>
        </a:xfrm>
        <a:prstGeom prst="rect">
          <a:avLst/>
        </a:prstGeom>
      </xdr:spPr>
    </xdr:pic>
    <xdr:clientData/>
  </xdr:twoCellAnchor>
  <xdr:twoCellAnchor>
    <xdr:from>
      <xdr:col>3</xdr:col>
      <xdr:colOff>228600</xdr:colOff>
      <xdr:row>139</xdr:row>
      <xdr:rowOff>0</xdr:rowOff>
    </xdr:from>
    <xdr:to>
      <xdr:col>5</xdr:col>
      <xdr:colOff>1343025</xdr:colOff>
      <xdr:row>140</xdr:row>
      <xdr:rowOff>0</xdr:rowOff>
    </xdr:to>
    <xdr:sp macro="" textlink="">
      <xdr:nvSpPr>
        <xdr:cNvPr id="11" name="Arrow: Right 10">
          <a:extLst>
            <a:ext uri="{FF2B5EF4-FFF2-40B4-BE49-F238E27FC236}">
              <a16:creationId xmlns:a16="http://schemas.microsoft.com/office/drawing/2014/main" id="{7D8BA342-91BF-466D-AEC2-F3D4BDE1712B}"/>
            </a:ext>
          </a:extLst>
        </xdr:cNvPr>
        <xdr:cNvSpPr/>
      </xdr:nvSpPr>
      <xdr:spPr>
        <a:xfrm>
          <a:off x="3286125" y="17021175"/>
          <a:ext cx="2524125" cy="190500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123826</xdr:colOff>
      <xdr:row>159</xdr:row>
      <xdr:rowOff>28576</xdr:rowOff>
    </xdr:from>
    <xdr:to>
      <xdr:col>4</xdr:col>
      <xdr:colOff>495301</xdr:colOff>
      <xdr:row>159</xdr:row>
      <xdr:rowOff>180976</xdr:rowOff>
    </xdr:to>
    <xdr:sp macro="" textlink="">
      <xdr:nvSpPr>
        <xdr:cNvPr id="12" name="Arrow: Right 11">
          <a:extLst>
            <a:ext uri="{FF2B5EF4-FFF2-40B4-BE49-F238E27FC236}">
              <a16:creationId xmlns:a16="http://schemas.microsoft.com/office/drawing/2014/main" id="{4D7119C7-F2E6-420D-B571-402D43ECCA18}"/>
            </a:ext>
          </a:extLst>
        </xdr:cNvPr>
        <xdr:cNvSpPr/>
      </xdr:nvSpPr>
      <xdr:spPr>
        <a:xfrm>
          <a:off x="2257426" y="46120051"/>
          <a:ext cx="3009900" cy="152400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438149</xdr:colOff>
      <xdr:row>2</xdr:row>
      <xdr:rowOff>152399</xdr:rowOff>
    </xdr:from>
    <xdr:to>
      <xdr:col>21</xdr:col>
      <xdr:colOff>371474</xdr:colOff>
      <xdr:row>22</xdr:row>
      <xdr:rowOff>104774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DBAD7E-BBA7-8118-A3C9-1BACCC1D1A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247650</xdr:colOff>
      <xdr:row>10</xdr:row>
      <xdr:rowOff>19050</xdr:rowOff>
    </xdr:from>
    <xdr:to>
      <xdr:col>6</xdr:col>
      <xdr:colOff>504825</xdr:colOff>
      <xdr:row>24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CA4BC7-1635-5F23-1A13-A135A41EEB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12</xdr:col>
      <xdr:colOff>560294</xdr:colOff>
      <xdr:row>23</xdr:row>
      <xdr:rowOff>181912</xdr:rowOff>
    </xdr:from>
    <xdr:to>
      <xdr:col>28</xdr:col>
      <xdr:colOff>545802</xdr:colOff>
      <xdr:row>57</xdr:row>
      <xdr:rowOff>32015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4B16935-71A7-4221-8D31-CF94DB0C4D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298206" y="4563412"/>
          <a:ext cx="9667390" cy="6327103"/>
        </a:xfrm>
        <a:prstGeom prst="rect">
          <a:avLst/>
        </a:prstGeom>
      </xdr:spPr>
    </xdr:pic>
    <xdr:clientData/>
  </xdr:twoCellAnchor>
  <xdr:twoCellAnchor>
    <xdr:from>
      <xdr:col>1</xdr:col>
      <xdr:colOff>1148601</xdr:colOff>
      <xdr:row>71</xdr:row>
      <xdr:rowOff>40340</xdr:rowOff>
    </xdr:from>
    <xdr:to>
      <xdr:col>6</xdr:col>
      <xdr:colOff>420219</xdr:colOff>
      <xdr:row>85</xdr:row>
      <xdr:rowOff>116540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EC8E59A-839E-3040-14AC-B85284E0C8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57150</xdr:colOff>
      <xdr:row>24</xdr:row>
      <xdr:rowOff>38100</xdr:rowOff>
    </xdr:from>
    <xdr:to>
      <xdr:col>24</xdr:col>
      <xdr:colOff>514350</xdr:colOff>
      <xdr:row>39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3638B4-A3E9-4F9D-5BB9-B606C72E3B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571500</xdr:colOff>
      <xdr:row>24</xdr:row>
      <xdr:rowOff>28575</xdr:rowOff>
    </xdr:from>
    <xdr:to>
      <xdr:col>16</xdr:col>
      <xdr:colOff>266700</xdr:colOff>
      <xdr:row>39</xdr:row>
      <xdr:rowOff>104775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2E8AB94-AB31-0017-4C17-F73F4CF1E5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142875</xdr:colOff>
      <xdr:row>40</xdr:row>
      <xdr:rowOff>66675</xdr:rowOff>
    </xdr:from>
    <xdr:to>
      <xdr:col>24</xdr:col>
      <xdr:colOff>600075</xdr:colOff>
      <xdr:row>54</xdr:row>
      <xdr:rowOff>142875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F0E6CAD-ED7C-4551-9DF0-18E3A6F5BB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581025</xdr:colOff>
      <xdr:row>40</xdr:row>
      <xdr:rowOff>95250</xdr:rowOff>
    </xdr:from>
    <xdr:to>
      <xdr:col>16</xdr:col>
      <xdr:colOff>276225</xdr:colOff>
      <xdr:row>54</xdr:row>
      <xdr:rowOff>171450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048B3EA-5A53-E13D-0B25-2F7CD23335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55</xdr:row>
      <xdr:rowOff>38100</xdr:rowOff>
    </xdr:from>
    <xdr:to>
      <xdr:col>16</xdr:col>
      <xdr:colOff>304800</xdr:colOff>
      <xdr:row>69</xdr:row>
      <xdr:rowOff>114300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9F75EAD-F6EB-BAA2-F543-F8F4715024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7:Z111"/>
  <sheetViews>
    <sheetView showGridLines="0" topLeftCell="A25" zoomScale="70" zoomScaleNormal="70" workbookViewId="0">
      <selection activeCell="X125" sqref="X125"/>
    </sheetView>
  </sheetViews>
  <sheetFormatPr defaultColWidth="9.125" defaultRowHeight="15" x14ac:dyDescent="0.25"/>
  <cols>
    <col min="1" max="16384" width="9.125" style="1"/>
  </cols>
  <sheetData>
    <row r="17" spans="1:1" x14ac:dyDescent="0.25">
      <c r="A17" s="2" t="s">
        <v>0</v>
      </c>
    </row>
    <row r="46" spans="1:1" x14ac:dyDescent="0.25">
      <c r="A46" s="3" t="s">
        <v>1</v>
      </c>
    </row>
    <row r="48" spans="1:1" x14ac:dyDescent="0.25">
      <c r="A48" s="1" t="s">
        <v>2</v>
      </c>
    </row>
    <row r="49" spans="1:25" x14ac:dyDescent="0.25">
      <c r="A49" s="1" t="s">
        <v>3</v>
      </c>
    </row>
    <row r="53" spans="1:25" ht="30" x14ac:dyDescent="0.4">
      <c r="A53" s="4" t="s">
        <v>4</v>
      </c>
      <c r="Y53" s="5" t="s">
        <v>5</v>
      </c>
    </row>
    <row r="83" spans="20:20" x14ac:dyDescent="0.25">
      <c r="T83"/>
    </row>
    <row r="111" spans="26:26" ht="34.5" x14ac:dyDescent="0.45">
      <c r="Z111" s="6" t="s">
        <v>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C97CD-0761-45AB-8767-4A0AB24EFBD5}">
  <dimension ref="A3:X103"/>
  <sheetViews>
    <sheetView showGridLines="0" tabSelected="1" topLeftCell="A45" zoomScale="85" zoomScaleNormal="85" workbookViewId="0">
      <selection activeCell="W93" sqref="W93"/>
    </sheetView>
  </sheetViews>
  <sheetFormatPr defaultRowHeight="15" x14ac:dyDescent="0.25"/>
  <cols>
    <col min="1" max="1" width="9" style="56"/>
    <col min="2" max="2" width="20.625" style="56" customWidth="1"/>
    <col min="3" max="16" width="9" style="56"/>
    <col min="17" max="17" width="17.25" style="56" customWidth="1"/>
    <col min="18" max="19" width="9" style="56"/>
    <col min="20" max="20" width="13.625" style="56" customWidth="1"/>
    <col min="21" max="21" width="17.75" style="56" customWidth="1"/>
    <col min="22" max="16384" width="9" style="56"/>
  </cols>
  <sheetData>
    <row r="3" spans="1:7" ht="25.5" x14ac:dyDescent="0.35">
      <c r="A3" s="146" t="s">
        <v>151</v>
      </c>
      <c r="D3" s="56" t="s">
        <v>153</v>
      </c>
    </row>
    <row r="4" spans="1:7" x14ac:dyDescent="0.25">
      <c r="A4" s="143"/>
    </row>
    <row r="5" spans="1:7" x14ac:dyDescent="0.25">
      <c r="B5" s="56" t="s">
        <v>152</v>
      </c>
      <c r="C5" s="148">
        <f>178.4</f>
        <v>178.4</v>
      </c>
      <c r="E5" s="56" t="s">
        <v>158</v>
      </c>
      <c r="G5" s="148">
        <f>DCF!N37</f>
        <v>145.97999999999999</v>
      </c>
    </row>
    <row r="6" spans="1:7" x14ac:dyDescent="0.25">
      <c r="B6" s="56" t="s">
        <v>154</v>
      </c>
      <c r="C6" s="148">
        <v>473.1</v>
      </c>
      <c r="E6" s="56" t="s">
        <v>159</v>
      </c>
      <c r="G6" s="148">
        <f>C7-C10</f>
        <v>535.4</v>
      </c>
    </row>
    <row r="7" spans="1:7" x14ac:dyDescent="0.25">
      <c r="B7" s="56" t="s">
        <v>155</v>
      </c>
      <c r="C7" s="148">
        <v>1350</v>
      </c>
      <c r="G7" s="147">
        <f>G6/G5</f>
        <v>3.6676257021509797</v>
      </c>
    </row>
    <row r="8" spans="1:7" x14ac:dyDescent="0.25">
      <c r="C8" s="148"/>
    </row>
    <row r="9" spans="1:7" x14ac:dyDescent="0.25">
      <c r="B9" s="56" t="s">
        <v>156</v>
      </c>
      <c r="C9" s="148">
        <v>160.19999999999999</v>
      </c>
    </row>
    <row r="10" spans="1:7" x14ac:dyDescent="0.25">
      <c r="B10" s="56" t="s">
        <v>157</v>
      </c>
      <c r="C10" s="148">
        <v>814.6</v>
      </c>
    </row>
    <row r="11" spans="1:7" x14ac:dyDescent="0.25">
      <c r="B11" s="56" t="s">
        <v>160</v>
      </c>
      <c r="C11" s="148">
        <f>606.4</f>
        <v>606.4</v>
      </c>
    </row>
    <row r="13" spans="1:7" x14ac:dyDescent="0.25">
      <c r="B13" s="56" t="s">
        <v>161</v>
      </c>
      <c r="C13" s="150">
        <f>C5/C9</f>
        <v>1.1136079900124844</v>
      </c>
    </row>
    <row r="14" spans="1:7" x14ac:dyDescent="0.25">
      <c r="B14" s="56" t="s">
        <v>162</v>
      </c>
      <c r="C14" s="151">
        <f>C5/C10</f>
        <v>0.21900319175055241</v>
      </c>
    </row>
    <row r="15" spans="1:7" x14ac:dyDescent="0.25">
      <c r="C15" s="144"/>
    </row>
    <row r="16" spans="1:7" x14ac:dyDescent="0.25">
      <c r="B16" s="56" t="s">
        <v>163</v>
      </c>
      <c r="C16" s="150">
        <f>C6/C9</f>
        <v>2.9531835205992514</v>
      </c>
    </row>
    <row r="17" spans="2:3" x14ac:dyDescent="0.25">
      <c r="B17" s="56" t="s">
        <v>164</v>
      </c>
      <c r="C17" s="151">
        <f>C6/C10</f>
        <v>0.58077584090351098</v>
      </c>
    </row>
    <row r="18" spans="2:3" x14ac:dyDescent="0.25">
      <c r="C18" s="144"/>
    </row>
    <row r="19" spans="2:3" x14ac:dyDescent="0.25">
      <c r="B19" s="56" t="s">
        <v>165</v>
      </c>
      <c r="C19" s="150">
        <f>C7/C10</f>
        <v>1.6572550945249203</v>
      </c>
    </row>
    <row r="21" spans="2:3" x14ac:dyDescent="0.25">
      <c r="B21" s="56" t="s">
        <v>166</v>
      </c>
      <c r="C21" s="156">
        <f>C11/C10</f>
        <v>0.74441443653326778</v>
      </c>
    </row>
    <row r="22" spans="2:3" x14ac:dyDescent="0.25">
      <c r="B22" s="56" t="s">
        <v>157</v>
      </c>
      <c r="C22" s="156"/>
    </row>
    <row r="35" spans="1:24" x14ac:dyDescent="0.25">
      <c r="B35" s="152"/>
      <c r="C35" s="152"/>
      <c r="D35" s="152"/>
      <c r="E35" s="152"/>
      <c r="F35" s="152"/>
      <c r="G35" s="152"/>
      <c r="H35" s="152"/>
      <c r="I35" s="152"/>
      <c r="J35" s="152"/>
      <c r="K35" s="152"/>
      <c r="L35" s="152"/>
      <c r="M35" s="152"/>
      <c r="N35" s="152"/>
      <c r="O35" s="152"/>
      <c r="P35" s="152"/>
      <c r="Q35" s="152"/>
      <c r="R35" s="152"/>
    </row>
    <row r="38" spans="1:24" ht="25.5" x14ac:dyDescent="0.35">
      <c r="A38" s="146" t="s">
        <v>167</v>
      </c>
      <c r="C38" s="145" t="s">
        <v>25</v>
      </c>
      <c r="D38" s="143"/>
    </row>
    <row r="39" spans="1:24" x14ac:dyDescent="0.25">
      <c r="S39" s="1" t="s">
        <v>7</v>
      </c>
      <c r="T39" s="1" t="s">
        <v>25</v>
      </c>
      <c r="U39" s="56" t="s">
        <v>168</v>
      </c>
      <c r="V39" s="1" t="s">
        <v>27</v>
      </c>
      <c r="W39" s="56" t="s">
        <v>100</v>
      </c>
      <c r="X39" s="1" t="s">
        <v>31</v>
      </c>
    </row>
    <row r="40" spans="1:24" x14ac:dyDescent="0.25">
      <c r="S40" s="1" t="s">
        <v>13</v>
      </c>
      <c r="T40" s="1"/>
      <c r="V40" s="7">
        <v>8.3350000000000009</v>
      </c>
      <c r="X40" s="1"/>
    </row>
    <row r="41" spans="1:24" x14ac:dyDescent="0.25">
      <c r="S41" s="1" t="s">
        <v>14</v>
      </c>
      <c r="T41" s="7">
        <v>122.23</v>
      </c>
      <c r="V41" s="8">
        <v>11.018000000000001</v>
      </c>
      <c r="W41" s="149">
        <f t="shared" ref="W41:W55" si="0">(V41-V40)/V40</f>
        <v>0.32189562087582479</v>
      </c>
      <c r="X41" s="10">
        <f t="shared" ref="X41:X57" si="1">V41/T41</f>
        <v>9.0141536447680609E-2</v>
      </c>
    </row>
    <row r="42" spans="1:24" x14ac:dyDescent="0.25">
      <c r="S42" s="1" t="s">
        <v>15</v>
      </c>
      <c r="T42" s="7">
        <v>140.339</v>
      </c>
      <c r="U42" s="149">
        <f>(T42-T41)/T41</f>
        <v>0.14815511740161985</v>
      </c>
      <c r="V42" s="8">
        <v>20.773</v>
      </c>
      <c r="W42" s="149">
        <f t="shared" si="0"/>
        <v>0.88536939553457961</v>
      </c>
      <c r="X42" s="10">
        <f t="shared" si="1"/>
        <v>0.14802015120529574</v>
      </c>
    </row>
    <row r="43" spans="1:24" x14ac:dyDescent="0.25">
      <c r="S43" s="1" t="s">
        <v>16</v>
      </c>
      <c r="T43" s="7">
        <v>286.404</v>
      </c>
      <c r="U43" s="149">
        <f t="shared" ref="U43:U55" si="2">(T43-T42)/T42</f>
        <v>1.040801202801787</v>
      </c>
      <c r="V43" s="8">
        <v>16.712</v>
      </c>
      <c r="W43" s="149">
        <f t="shared" si="0"/>
        <v>-0.19549415106147403</v>
      </c>
      <c r="X43" s="10">
        <f t="shared" si="1"/>
        <v>5.8351140347201853E-2</v>
      </c>
    </row>
    <row r="44" spans="1:24" x14ac:dyDescent="0.25">
      <c r="S44" s="1" t="s">
        <v>17</v>
      </c>
      <c r="T44" s="7">
        <v>152.82400000000001</v>
      </c>
      <c r="U44" s="149">
        <f t="shared" si="2"/>
        <v>-0.46640410050138958</v>
      </c>
      <c r="V44" s="8">
        <v>14.718999999999999</v>
      </c>
      <c r="W44" s="149">
        <f t="shared" si="0"/>
        <v>-0.11925562470081381</v>
      </c>
      <c r="X44" s="10">
        <f t="shared" si="1"/>
        <v>9.6313406271266278E-2</v>
      </c>
    </row>
    <row r="45" spans="1:24" x14ac:dyDescent="0.25">
      <c r="S45" s="1" t="s">
        <v>18</v>
      </c>
      <c r="T45" s="7">
        <v>174.18199999999999</v>
      </c>
      <c r="U45" s="149">
        <f t="shared" si="2"/>
        <v>0.1397555357797203</v>
      </c>
      <c r="V45" s="8">
        <v>-1.694</v>
      </c>
      <c r="W45" s="149">
        <f t="shared" si="0"/>
        <v>-1.115089340308445</v>
      </c>
      <c r="X45" s="10">
        <f t="shared" si="1"/>
        <v>-9.7254595767645342E-3</v>
      </c>
    </row>
    <row r="46" spans="1:24" x14ac:dyDescent="0.25">
      <c r="S46" s="1" t="s">
        <v>19</v>
      </c>
      <c r="T46" s="7">
        <v>187.79</v>
      </c>
      <c r="U46" s="149">
        <f t="shared" si="2"/>
        <v>7.8125179410042392E-2</v>
      </c>
      <c r="V46" s="8">
        <v>15.542</v>
      </c>
      <c r="W46" s="149"/>
      <c r="X46" s="10">
        <f t="shared" si="1"/>
        <v>8.2762660418552639E-2</v>
      </c>
    </row>
    <row r="47" spans="1:24" x14ac:dyDescent="0.25">
      <c r="S47" s="1" t="s">
        <v>20</v>
      </c>
      <c r="T47" s="7">
        <v>235.304</v>
      </c>
      <c r="U47" s="149">
        <f t="shared" si="2"/>
        <v>0.25301666755418295</v>
      </c>
      <c r="V47" s="8">
        <v>15.233000000000001</v>
      </c>
      <c r="W47" s="149">
        <f t="shared" si="0"/>
        <v>-1.9881611118260152E-2</v>
      </c>
      <c r="X47" s="10">
        <f t="shared" si="1"/>
        <v>6.4737531023697004E-2</v>
      </c>
    </row>
    <row r="48" spans="1:24" x14ac:dyDescent="0.25">
      <c r="S48" s="1" t="s">
        <v>21</v>
      </c>
      <c r="T48" s="7">
        <v>229.52</v>
      </c>
      <c r="U48" s="149">
        <f t="shared" si="2"/>
        <v>-2.4580967599360792E-2</v>
      </c>
      <c r="V48" s="8">
        <v>19.704000000000001</v>
      </c>
      <c r="W48" s="149">
        <f t="shared" si="0"/>
        <v>0.29350751657585505</v>
      </c>
      <c r="X48" s="10">
        <f t="shared" si="1"/>
        <v>8.5848727779714182E-2</v>
      </c>
    </row>
    <row r="49" spans="19:24" x14ac:dyDescent="0.25">
      <c r="S49" s="1" t="s">
        <v>22</v>
      </c>
      <c r="T49" s="7">
        <v>247.714</v>
      </c>
      <c r="U49" s="149">
        <f t="shared" si="2"/>
        <v>7.9269780411293081E-2</v>
      </c>
      <c r="V49" s="8">
        <v>22.837</v>
      </c>
      <c r="W49" s="149">
        <f t="shared" si="0"/>
        <v>0.15900324807145752</v>
      </c>
      <c r="X49" s="10">
        <f t="shared" si="1"/>
        <v>9.21909944532808E-2</v>
      </c>
    </row>
    <row r="50" spans="19:24" x14ac:dyDescent="0.25">
      <c r="S50" s="1" t="s">
        <v>23</v>
      </c>
      <c r="T50" s="7">
        <v>262.5</v>
      </c>
      <c r="U50" s="149">
        <f t="shared" si="2"/>
        <v>5.9689803563787273E-2</v>
      </c>
      <c r="V50" s="8">
        <v>32.4</v>
      </c>
      <c r="W50" s="149">
        <f t="shared" si="0"/>
        <v>0.41875027367867929</v>
      </c>
      <c r="X50" s="10">
        <f t="shared" si="1"/>
        <v>0.12342857142857143</v>
      </c>
    </row>
    <row r="51" spans="19:24" x14ac:dyDescent="0.25">
      <c r="S51" s="1" t="s">
        <v>24</v>
      </c>
      <c r="T51" s="7">
        <v>279.76600000000002</v>
      </c>
      <c r="U51" s="149">
        <f t="shared" si="2"/>
        <v>6.5775238095238164E-2</v>
      </c>
      <c r="V51" s="8">
        <v>32.768999999999998</v>
      </c>
      <c r="W51" s="149">
        <f t="shared" si="0"/>
        <v>1.1388888888888882E-2</v>
      </c>
      <c r="X51" s="10">
        <f t="shared" si="1"/>
        <v>0.1171300300965807</v>
      </c>
    </row>
    <row r="52" spans="19:24" x14ac:dyDescent="0.25">
      <c r="S52" s="1" t="s">
        <v>12</v>
      </c>
      <c r="T52" s="7">
        <v>251.9</v>
      </c>
      <c r="U52" s="149">
        <f t="shared" si="2"/>
        <v>-9.9604669616751185E-2</v>
      </c>
      <c r="V52" s="8">
        <v>26</v>
      </c>
      <c r="W52" s="149">
        <f t="shared" si="0"/>
        <v>-0.20656718239799807</v>
      </c>
      <c r="X52" s="10">
        <f t="shared" si="1"/>
        <v>0.10321556173084558</v>
      </c>
    </row>
    <row r="53" spans="19:24" x14ac:dyDescent="0.25">
      <c r="S53" s="1" t="s">
        <v>11</v>
      </c>
      <c r="T53" s="7">
        <v>270.61099999999999</v>
      </c>
      <c r="U53" s="149">
        <f t="shared" si="2"/>
        <v>7.4279475982532692E-2</v>
      </c>
      <c r="V53" s="8">
        <v>36.987000000000002</v>
      </c>
      <c r="W53" s="149">
        <f t="shared" si="0"/>
        <v>0.42257692307692313</v>
      </c>
      <c r="X53" s="10">
        <f t="shared" si="1"/>
        <v>0.13667958804335376</v>
      </c>
    </row>
    <row r="54" spans="19:24" x14ac:dyDescent="0.25">
      <c r="S54" s="1" t="s">
        <v>10</v>
      </c>
      <c r="T54" s="7">
        <v>280.10000000000002</v>
      </c>
      <c r="U54" s="149">
        <f t="shared" si="2"/>
        <v>3.506509343670447E-2</v>
      </c>
      <c r="V54" s="8">
        <v>37</v>
      </c>
      <c r="W54" s="149">
        <f t="shared" si="0"/>
        <v>3.5147484251218329E-4</v>
      </c>
      <c r="X54" s="10">
        <f t="shared" si="1"/>
        <v>0.13209568011424491</v>
      </c>
    </row>
    <row r="55" spans="19:24" x14ac:dyDescent="0.25">
      <c r="S55" s="1" t="s">
        <v>9</v>
      </c>
      <c r="T55" s="7">
        <v>263.78899999999999</v>
      </c>
      <c r="U55" s="149">
        <f t="shared" si="2"/>
        <v>-5.823277400928252E-2</v>
      </c>
      <c r="V55" s="8">
        <v>35.713000000000001</v>
      </c>
      <c r="W55" s="149">
        <f t="shared" si="0"/>
        <v>-3.4783783783783759E-2</v>
      </c>
      <c r="X55" s="10">
        <f t="shared" si="1"/>
        <v>0.13538472036362398</v>
      </c>
    </row>
    <row r="56" spans="19:24" x14ac:dyDescent="0.25">
      <c r="S56" s="1" t="s">
        <v>8</v>
      </c>
      <c r="T56" s="7">
        <v>254.5</v>
      </c>
      <c r="U56" s="149">
        <f>(T56-T55)/T55</f>
        <v>-3.5213750383829456E-2</v>
      </c>
      <c r="V56" s="8">
        <v>30.7</v>
      </c>
      <c r="W56" s="149">
        <f>(V56-V55)/V55</f>
        <v>-0.14036905328591834</v>
      </c>
      <c r="X56" s="10">
        <f t="shared" si="1"/>
        <v>0.1206286836935167</v>
      </c>
    </row>
    <row r="57" spans="19:24" x14ac:dyDescent="0.25">
      <c r="S57" s="153" t="s">
        <v>169</v>
      </c>
      <c r="T57" s="155">
        <v>248.4</v>
      </c>
      <c r="U57" s="154">
        <f>(T57-T56)/T56</f>
        <v>-2.3968565815324142E-2</v>
      </c>
      <c r="V57" s="155">
        <v>27.6</v>
      </c>
      <c r="W57" s="154">
        <f>(V57-V56)/V56</f>
        <v>-0.10097719869706834</v>
      </c>
      <c r="X57" s="154">
        <f t="shared" si="1"/>
        <v>0.11111111111111112</v>
      </c>
    </row>
    <row r="64" spans="19:24" x14ac:dyDescent="0.25">
      <c r="S64" s="1" t="s">
        <v>7</v>
      </c>
      <c r="T64" s="1" t="s">
        <v>25</v>
      </c>
      <c r="U64" s="56" t="s">
        <v>168</v>
      </c>
      <c r="V64" s="1" t="s">
        <v>27</v>
      </c>
      <c r="W64" s="56" t="s">
        <v>100</v>
      </c>
      <c r="X64" s="1" t="s">
        <v>31</v>
      </c>
    </row>
    <row r="65" spans="19:24" x14ac:dyDescent="0.25">
      <c r="S65" s="1" t="s">
        <v>13</v>
      </c>
      <c r="T65" s="1"/>
      <c r="V65" s="1">
        <v>8.3350000000000009</v>
      </c>
      <c r="X65" s="1"/>
    </row>
    <row r="66" spans="19:24" x14ac:dyDescent="0.25">
      <c r="S66" s="1" t="s">
        <v>17</v>
      </c>
      <c r="T66" s="7">
        <v>152.82400000000001</v>
      </c>
      <c r="U66" s="149"/>
      <c r="V66" s="8">
        <v>14.718999999999999</v>
      </c>
      <c r="W66" s="149">
        <f>(V66-V65)/V65</f>
        <v>0.76592681463707235</v>
      </c>
      <c r="X66" s="149">
        <f>V66/T66</f>
        <v>9.6313406271266278E-2</v>
      </c>
    </row>
    <row r="67" spans="19:24" x14ac:dyDescent="0.25">
      <c r="S67" s="1" t="s">
        <v>21</v>
      </c>
      <c r="T67" s="7">
        <v>229.52</v>
      </c>
      <c r="U67" s="149">
        <f>(T67-T66)/T66</f>
        <v>0.50185834685651465</v>
      </c>
      <c r="V67" s="8">
        <v>19.704000000000001</v>
      </c>
      <c r="W67" s="149">
        <f>(V67-V66)/V66</f>
        <v>0.33867789931381215</v>
      </c>
      <c r="X67" s="149">
        <f t="shared" ref="X67:X69" si="3">V67/T67</f>
        <v>8.5848727779714182E-2</v>
      </c>
    </row>
    <row r="68" spans="19:24" x14ac:dyDescent="0.25">
      <c r="S68" s="1" t="s">
        <v>12</v>
      </c>
      <c r="T68" s="7">
        <v>251.9</v>
      </c>
      <c r="U68" s="149">
        <f>(T68-T67)/T67</f>
        <v>9.7507842453816634E-2</v>
      </c>
      <c r="V68" s="8">
        <v>26</v>
      </c>
      <c r="W68" s="149">
        <f>(V68-V67)/V67</f>
        <v>0.31952902963865198</v>
      </c>
      <c r="X68" s="149">
        <f t="shared" si="3"/>
        <v>0.10321556173084558</v>
      </c>
    </row>
    <row r="69" spans="19:24" x14ac:dyDescent="0.25">
      <c r="S69" s="1" t="s">
        <v>8</v>
      </c>
      <c r="T69" s="7">
        <v>254.5</v>
      </c>
      <c r="U69" s="149">
        <f>(T69-T68)/T68</f>
        <v>1.0321556173084535E-2</v>
      </c>
      <c r="V69" s="8">
        <v>30.7</v>
      </c>
      <c r="W69" s="149">
        <f>(V69-V68)/V68</f>
        <v>0.18076923076923074</v>
      </c>
      <c r="X69" s="149">
        <f t="shared" si="3"/>
        <v>0.1206286836935167</v>
      </c>
    </row>
    <row r="70" spans="19:24" x14ac:dyDescent="0.25">
      <c r="S70" s="1"/>
      <c r="T70" s="7"/>
      <c r="U70" s="149"/>
      <c r="V70" s="8"/>
      <c r="W70" s="10"/>
    </row>
    <row r="71" spans="19:24" x14ac:dyDescent="0.25">
      <c r="S71" s="1" t="s">
        <v>7</v>
      </c>
      <c r="T71" s="1" t="s">
        <v>25</v>
      </c>
      <c r="U71" s="56" t="s">
        <v>168</v>
      </c>
      <c r="V71" s="1" t="s">
        <v>27</v>
      </c>
      <c r="W71" s="56" t="s">
        <v>100</v>
      </c>
      <c r="X71" s="1" t="s">
        <v>31</v>
      </c>
    </row>
    <row r="72" spans="19:24" x14ac:dyDescent="0.25">
      <c r="S72" s="1" t="s">
        <v>14</v>
      </c>
      <c r="T72" s="7">
        <v>122.23</v>
      </c>
      <c r="V72" s="8">
        <v>11.018000000000001</v>
      </c>
      <c r="X72" s="10"/>
    </row>
    <row r="73" spans="19:24" x14ac:dyDescent="0.25">
      <c r="S73" s="1" t="s">
        <v>18</v>
      </c>
      <c r="T73" s="7">
        <v>174.18199999999999</v>
      </c>
      <c r="U73" s="149">
        <f>(T73-T72)/T72</f>
        <v>0.42503477051460348</v>
      </c>
      <c r="V73" s="8">
        <v>-1.694</v>
      </c>
      <c r="W73" s="149">
        <f>(V73-V72)/V72</f>
        <v>-1.1537484116899619</v>
      </c>
      <c r="X73" s="149">
        <f>V73/T73</f>
        <v>-9.7254595767645342E-3</v>
      </c>
    </row>
    <row r="74" spans="19:24" x14ac:dyDescent="0.25">
      <c r="S74" s="1" t="s">
        <v>22</v>
      </c>
      <c r="T74" s="7">
        <v>247.714</v>
      </c>
      <c r="U74" s="149">
        <f t="shared" ref="U74" si="4">(T74-T73)/T73</f>
        <v>0.42215613553639308</v>
      </c>
      <c r="V74" s="8">
        <v>22.837</v>
      </c>
      <c r="W74" s="149">
        <f>(V74-V73)/V73</f>
        <v>-14.481109799291618</v>
      </c>
      <c r="X74" s="149">
        <f t="shared" ref="X74:X75" si="5">V74/T74</f>
        <v>9.21909944532808E-2</v>
      </c>
    </row>
    <row r="75" spans="19:24" x14ac:dyDescent="0.25">
      <c r="S75" s="1" t="s">
        <v>11</v>
      </c>
      <c r="T75" s="7">
        <v>270.61099999999999</v>
      </c>
      <c r="U75" s="149">
        <f>(T75-T74)/T74</f>
        <v>9.2433209265523911E-2</v>
      </c>
      <c r="V75" s="8">
        <v>36.987000000000002</v>
      </c>
      <c r="W75" s="149">
        <f>(V75-V74)/V74</f>
        <v>0.61960853001707761</v>
      </c>
      <c r="X75" s="149">
        <f t="shared" si="5"/>
        <v>0.13667958804335376</v>
      </c>
    </row>
    <row r="76" spans="19:24" x14ac:dyDescent="0.25">
      <c r="S76" s="153" t="s">
        <v>169</v>
      </c>
      <c r="T76" s="153">
        <v>248.4</v>
      </c>
      <c r="U76" s="154">
        <f>(T76-T75)/T75</f>
        <v>-8.2077225242137189E-2</v>
      </c>
      <c r="V76" s="153">
        <v>27.6</v>
      </c>
      <c r="W76" s="154">
        <f>(V76-V75)/V75</f>
        <v>-0.25379187282018006</v>
      </c>
      <c r="X76" s="154">
        <f>V76/T76</f>
        <v>0.11111111111111112</v>
      </c>
    </row>
    <row r="78" spans="19:24" x14ac:dyDescent="0.25">
      <c r="S78" s="1"/>
      <c r="T78" s="7"/>
      <c r="U78" s="149"/>
      <c r="V78" s="8"/>
      <c r="W78" s="10"/>
    </row>
    <row r="79" spans="19:24" x14ac:dyDescent="0.25">
      <c r="S79" s="131" t="s">
        <v>98</v>
      </c>
      <c r="T79" s="131" t="s">
        <v>25</v>
      </c>
      <c r="U79" s="131" t="s">
        <v>100</v>
      </c>
      <c r="V79" s="8"/>
      <c r="W79" s="10"/>
    </row>
    <row r="80" spans="19:24" x14ac:dyDescent="0.25">
      <c r="S80" s="21">
        <v>2020</v>
      </c>
      <c r="T80" s="25">
        <v>548.97299999999996</v>
      </c>
      <c r="U80" s="21"/>
      <c r="V80" s="8"/>
      <c r="W80" s="10"/>
    </row>
    <row r="81" spans="17:23" x14ac:dyDescent="0.25">
      <c r="S81" s="21">
        <v>2021</v>
      </c>
      <c r="T81" s="25">
        <v>750.1</v>
      </c>
      <c r="U81" s="24">
        <f>(T81-T80)/T80</f>
        <v>0.36636956644498014</v>
      </c>
    </row>
    <row r="82" spans="17:23" x14ac:dyDescent="0.25">
      <c r="S82" s="21">
        <v>2022</v>
      </c>
      <c r="T82" s="25">
        <v>1019.5</v>
      </c>
      <c r="U82" s="24">
        <f t="shared" ref="U82:U83" si="6">(T82-T81)/T81</f>
        <v>0.35915211305159306</v>
      </c>
      <c r="V82" s="8"/>
      <c r="W82" s="10"/>
    </row>
    <row r="83" spans="17:23" x14ac:dyDescent="0.25">
      <c r="S83" s="21">
        <v>2023</v>
      </c>
      <c r="T83" s="25">
        <v>1066.4000000000001</v>
      </c>
      <c r="U83" s="24">
        <f t="shared" si="6"/>
        <v>4.6002942618930939E-2</v>
      </c>
      <c r="V83" s="8"/>
      <c r="W83" s="10"/>
    </row>
    <row r="84" spans="17:23" x14ac:dyDescent="0.25">
      <c r="S84" s="1"/>
      <c r="T84" s="7"/>
      <c r="U84" s="149"/>
      <c r="V84" s="8"/>
      <c r="W84" s="10"/>
    </row>
    <row r="86" spans="17:23" x14ac:dyDescent="0.25">
      <c r="Q86" s="131" t="s">
        <v>140</v>
      </c>
      <c r="R86" s="137" t="s">
        <v>12</v>
      </c>
      <c r="S86" s="137" t="s">
        <v>8</v>
      </c>
      <c r="T86" s="131" t="s">
        <v>144</v>
      </c>
      <c r="U86" s="21" t="s">
        <v>146</v>
      </c>
    </row>
    <row r="87" spans="17:23" x14ac:dyDescent="0.25">
      <c r="Q87" s="131" t="s">
        <v>141</v>
      </c>
      <c r="R87" s="138">
        <f>64.6+18.6</f>
        <v>83.199999999999989</v>
      </c>
      <c r="S87" s="138">
        <f>104.2+12.4</f>
        <v>116.60000000000001</v>
      </c>
      <c r="T87" s="139">
        <f>(S87-R87)/R87</f>
        <v>0.40144230769230799</v>
      </c>
      <c r="U87" s="24">
        <f>S87/S91</f>
        <v>0.45815324165029475</v>
      </c>
    </row>
    <row r="88" spans="17:23" x14ac:dyDescent="0.25">
      <c r="Q88" s="131" t="s">
        <v>142</v>
      </c>
      <c r="R88" s="138">
        <f>82.4+3</f>
        <v>85.4</v>
      </c>
      <c r="S88" s="138">
        <f>68.3+2.3</f>
        <v>70.599999999999994</v>
      </c>
      <c r="T88" s="139">
        <f t="shared" ref="T88:T91" si="7">(S88-R88)/R88</f>
        <v>-0.17330210772833735</v>
      </c>
      <c r="U88" s="24">
        <f>S88/S91</f>
        <v>0.2774066797642436</v>
      </c>
    </row>
    <row r="89" spans="17:23" x14ac:dyDescent="0.25">
      <c r="Q89" s="131" t="s">
        <v>143</v>
      </c>
      <c r="R89" s="138">
        <f>83.5</f>
        <v>83.5</v>
      </c>
      <c r="S89" s="138">
        <v>68</v>
      </c>
      <c r="T89" s="139">
        <f t="shared" si="7"/>
        <v>-0.18562874251497005</v>
      </c>
      <c r="U89" s="24">
        <f>S89/S91</f>
        <v>0.26719056974459726</v>
      </c>
    </row>
    <row r="90" spans="17:23" x14ac:dyDescent="0.25">
      <c r="Q90" s="21" t="s">
        <v>145</v>
      </c>
      <c r="R90" s="25">
        <v>-0.2</v>
      </c>
      <c r="S90" s="25">
        <v>-0.7</v>
      </c>
      <c r="T90" s="139">
        <f t="shared" si="7"/>
        <v>2.4999999999999996</v>
      </c>
      <c r="U90" s="1"/>
    </row>
    <row r="91" spans="17:23" x14ac:dyDescent="0.25">
      <c r="Q91" s="21" t="s">
        <v>43</v>
      </c>
      <c r="R91" s="25">
        <f>SUM(R87:R90)</f>
        <v>251.9</v>
      </c>
      <c r="S91" s="25">
        <f>SUM(S87:S90)</f>
        <v>254.5</v>
      </c>
      <c r="T91" s="139">
        <f t="shared" si="7"/>
        <v>1.0321556173084535E-2</v>
      </c>
      <c r="U91" s="1"/>
    </row>
    <row r="92" spans="17:23" x14ac:dyDescent="0.25">
      <c r="Q92" s="1"/>
      <c r="R92" s="1"/>
      <c r="S92" s="1"/>
      <c r="T92" s="1"/>
      <c r="U92" s="1"/>
    </row>
    <row r="93" spans="17:23" x14ac:dyDescent="0.25">
      <c r="Q93" s="131" t="s">
        <v>140</v>
      </c>
      <c r="R93" s="137" t="s">
        <v>11</v>
      </c>
      <c r="S93" s="137" t="s">
        <v>169</v>
      </c>
      <c r="T93" s="131" t="s">
        <v>144</v>
      </c>
      <c r="U93" s="21" t="s">
        <v>146</v>
      </c>
    </row>
    <row r="94" spans="17:23" x14ac:dyDescent="0.25">
      <c r="Q94" s="131" t="s">
        <v>141</v>
      </c>
      <c r="R94" s="138">
        <v>103.2</v>
      </c>
      <c r="S94" s="138">
        <v>110.7</v>
      </c>
      <c r="T94" s="139">
        <f>(S94-R94)/R94</f>
        <v>7.2674418604651167E-2</v>
      </c>
      <c r="U94" s="24">
        <f>S94/S98</f>
        <v>0.44565217391304351</v>
      </c>
    </row>
    <row r="95" spans="17:23" x14ac:dyDescent="0.25">
      <c r="Q95" s="131" t="s">
        <v>142</v>
      </c>
      <c r="R95" s="138">
        <v>80.400000000000006</v>
      </c>
      <c r="S95" s="138">
        <v>61.5</v>
      </c>
      <c r="T95" s="139">
        <f t="shared" ref="T95:T98" si="8">(S95-R95)/R95</f>
        <v>-0.23507462686567171</v>
      </c>
      <c r="U95" s="24">
        <f>S95/S98</f>
        <v>0.24758454106280195</v>
      </c>
    </row>
    <row r="96" spans="17:23" x14ac:dyDescent="0.25">
      <c r="Q96" s="131" t="s">
        <v>143</v>
      </c>
      <c r="R96" s="138">
        <v>87</v>
      </c>
      <c r="S96" s="138">
        <v>76.2</v>
      </c>
      <c r="T96" s="139">
        <f t="shared" si="8"/>
        <v>-0.12413793103448273</v>
      </c>
      <c r="U96" s="24">
        <f>S96/S98</f>
        <v>0.30676328502415462</v>
      </c>
    </row>
    <row r="97" spans="3:21" x14ac:dyDescent="0.25">
      <c r="Q97" s="21" t="s">
        <v>145</v>
      </c>
      <c r="R97" s="25"/>
      <c r="S97" s="25"/>
      <c r="T97" s="139"/>
      <c r="U97" s="1"/>
    </row>
    <row r="98" spans="3:21" x14ac:dyDescent="0.25">
      <c r="Q98" s="21" t="s">
        <v>43</v>
      </c>
      <c r="R98" s="25">
        <f>SUM(R94:R97)</f>
        <v>270.60000000000002</v>
      </c>
      <c r="S98" s="25">
        <f>SUM(S94:S97)</f>
        <v>248.39999999999998</v>
      </c>
      <c r="T98" s="139">
        <f t="shared" si="8"/>
        <v>-8.203991130820415E-2</v>
      </c>
      <c r="U98" s="1"/>
    </row>
    <row r="103" spans="3:21" ht="22.5" x14ac:dyDescent="0.3">
      <c r="C103" s="145" t="s">
        <v>27</v>
      </c>
    </row>
  </sheetData>
  <mergeCells count="1">
    <mergeCell ref="C21:C22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5B2FA-4E8E-40BB-AB03-EBA448D398C8}">
  <dimension ref="A1:CN166"/>
  <sheetViews>
    <sheetView showGridLines="0" topLeftCell="A98" workbookViewId="0">
      <selection activeCell="E132" sqref="E132:E135"/>
    </sheetView>
  </sheetViews>
  <sheetFormatPr defaultColWidth="9.125" defaultRowHeight="15" x14ac:dyDescent="0.25"/>
  <cols>
    <col min="1" max="1" width="9.125" style="1"/>
    <col min="2" max="2" width="24" style="1" customWidth="1"/>
    <col min="3" max="3" width="13.25" style="1" customWidth="1"/>
    <col min="4" max="4" width="11.75" style="1" customWidth="1"/>
    <col min="5" max="5" width="10.75" style="1" customWidth="1"/>
    <col min="6" max="6" width="10.375" style="1" customWidth="1"/>
    <col min="7" max="8" width="20.75" style="1" bestFit="1" customWidth="1"/>
    <col min="9" max="16384" width="9.125" style="1"/>
  </cols>
  <sheetData>
    <row r="1" spans="1:7" x14ac:dyDescent="0.25">
      <c r="A1" s="11"/>
      <c r="B1" s="11"/>
      <c r="C1" s="11"/>
      <c r="D1" s="11"/>
      <c r="E1" s="11"/>
      <c r="F1" s="11"/>
      <c r="G1" s="11"/>
    </row>
    <row r="2" spans="1:7" x14ac:dyDescent="0.25">
      <c r="A2" s="2" t="s">
        <v>32</v>
      </c>
    </row>
    <row r="4" spans="1:7" x14ac:dyDescent="0.25">
      <c r="B4" s="12" t="s">
        <v>33</v>
      </c>
    </row>
    <row r="6" spans="1:7" x14ac:dyDescent="0.25">
      <c r="B6" s="1" t="s">
        <v>34</v>
      </c>
      <c r="D6" s="13">
        <v>4.3990000000000001E-2</v>
      </c>
    </row>
    <row r="7" spans="1:7" x14ac:dyDescent="0.25">
      <c r="B7" s="1" t="s">
        <v>35</v>
      </c>
      <c r="D7" s="14">
        <v>0.03</v>
      </c>
    </row>
    <row r="9" spans="1:7" x14ac:dyDescent="0.25">
      <c r="B9" s="1" t="s">
        <v>36</v>
      </c>
    </row>
    <row r="10" spans="1:7" x14ac:dyDescent="0.25">
      <c r="B10" s="13">
        <f>D6</f>
        <v>4.3990000000000001E-2</v>
      </c>
      <c r="F10" s="13">
        <f>D7</f>
        <v>0.03</v>
      </c>
    </row>
    <row r="13" spans="1:7" x14ac:dyDescent="0.25">
      <c r="B13" s="12"/>
    </row>
    <row r="15" spans="1:7" x14ac:dyDescent="0.25">
      <c r="B15" s="12" t="s">
        <v>37</v>
      </c>
    </row>
    <row r="20" spans="2:8" x14ac:dyDescent="0.25">
      <c r="B20" s="1" t="s">
        <v>38</v>
      </c>
      <c r="F20" s="13">
        <v>3.9699999999999999E-2</v>
      </c>
    </row>
    <row r="21" spans="2:8" x14ac:dyDescent="0.25">
      <c r="B21" s="1" t="s">
        <v>39</v>
      </c>
      <c r="F21" s="13">
        <v>4.1200000000000001E-2</v>
      </c>
    </row>
    <row r="23" spans="2:8" x14ac:dyDescent="0.25">
      <c r="B23" s="1" t="s">
        <v>45</v>
      </c>
      <c r="D23" s="1" t="s">
        <v>25</v>
      </c>
      <c r="E23" s="1" t="s">
        <v>42</v>
      </c>
    </row>
    <row r="24" spans="2:8" x14ac:dyDescent="0.25">
      <c r="B24" s="1" t="s">
        <v>41</v>
      </c>
      <c r="D24" s="1">
        <v>14.7</v>
      </c>
      <c r="E24" s="15">
        <f>D24/D26</f>
        <v>5.7601880877742949E-2</v>
      </c>
      <c r="G24" s="1" t="s">
        <v>44</v>
      </c>
    </row>
    <row r="25" spans="2:8" x14ac:dyDescent="0.25">
      <c r="B25" s="1" t="s">
        <v>40</v>
      </c>
      <c r="D25" s="1">
        <v>240.5</v>
      </c>
      <c r="E25" s="15">
        <f>D25/D26</f>
        <v>0.94239811912225713</v>
      </c>
    </row>
    <row r="26" spans="2:8" x14ac:dyDescent="0.25">
      <c r="C26" s="1" t="s">
        <v>43</v>
      </c>
      <c r="D26" s="1">
        <f>SUM(D24:D25)</f>
        <v>255.2</v>
      </c>
    </row>
    <row r="29" spans="2:8" x14ac:dyDescent="0.25">
      <c r="B29" s="12" t="s">
        <v>51</v>
      </c>
    </row>
    <row r="30" spans="2:8" x14ac:dyDescent="0.25">
      <c r="B30" s="1" t="s">
        <v>45</v>
      </c>
      <c r="D30" s="1" t="s">
        <v>53</v>
      </c>
      <c r="E30" s="1" t="s">
        <v>46</v>
      </c>
      <c r="F30" s="1" t="s">
        <v>49</v>
      </c>
      <c r="G30" s="1" t="s">
        <v>47</v>
      </c>
      <c r="H30" s="1" t="s">
        <v>48</v>
      </c>
    </row>
    <row r="31" spans="2:8" x14ac:dyDescent="0.25">
      <c r="B31" s="1" t="s">
        <v>41</v>
      </c>
      <c r="D31" s="13">
        <f>F20</f>
        <v>3.9699999999999999E-2</v>
      </c>
      <c r="E31" s="14">
        <v>0.02</v>
      </c>
      <c r="F31" s="13">
        <f>D31+E31</f>
        <v>5.9700000000000003E-2</v>
      </c>
      <c r="G31" s="15">
        <v>5.7601880877742949E-2</v>
      </c>
      <c r="H31" s="16">
        <f>F31*G31</f>
        <v>3.4388322884012544E-3</v>
      </c>
    </row>
    <row r="32" spans="2:8" x14ac:dyDescent="0.25">
      <c r="B32" s="1" t="s">
        <v>40</v>
      </c>
      <c r="D32" s="13">
        <f>F20</f>
        <v>3.9699999999999999E-2</v>
      </c>
      <c r="E32" s="14">
        <v>7.1999999999999998E-3</v>
      </c>
      <c r="F32" s="13">
        <f>D32+E32</f>
        <v>4.6899999999999997E-2</v>
      </c>
      <c r="G32" s="15">
        <v>0.94239811912225713</v>
      </c>
      <c r="H32" s="16">
        <f>F32*G32</f>
        <v>4.4198471786833858E-2</v>
      </c>
    </row>
    <row r="33" spans="2:8" x14ac:dyDescent="0.25">
      <c r="G33" s="1" t="s">
        <v>50</v>
      </c>
      <c r="H33" s="19">
        <f>SUM(H31:H32)</f>
        <v>4.7637304075235115E-2</v>
      </c>
    </row>
    <row r="35" spans="2:8" x14ac:dyDescent="0.25">
      <c r="B35" s="12" t="s">
        <v>54</v>
      </c>
    </row>
    <row r="36" spans="2:8" x14ac:dyDescent="0.25">
      <c r="B36" s="1" t="s">
        <v>45</v>
      </c>
      <c r="D36" s="1" t="s">
        <v>53</v>
      </c>
      <c r="E36" s="1" t="s">
        <v>46</v>
      </c>
      <c r="F36" s="1" t="s">
        <v>49</v>
      </c>
      <c r="G36" s="1" t="s">
        <v>47</v>
      </c>
      <c r="H36" s="1" t="s">
        <v>48</v>
      </c>
    </row>
    <row r="37" spans="2:8" x14ac:dyDescent="0.25">
      <c r="B37" s="1" t="s">
        <v>41</v>
      </c>
      <c r="D37" s="17">
        <f>4.12%</f>
        <v>4.1200000000000001E-2</v>
      </c>
      <c r="E37" s="14">
        <v>0.02</v>
      </c>
      <c r="F37" s="13">
        <f>D37+E37</f>
        <v>6.1200000000000004E-2</v>
      </c>
      <c r="G37" s="18">
        <v>0.1</v>
      </c>
      <c r="H37" s="16">
        <f>F37*G37</f>
        <v>6.1200000000000004E-3</v>
      </c>
    </row>
    <row r="38" spans="2:8" x14ac:dyDescent="0.25">
      <c r="B38" s="1" t="s">
        <v>40</v>
      </c>
      <c r="D38" s="17">
        <f>4.12%</f>
        <v>4.1200000000000001E-2</v>
      </c>
      <c r="E38" s="14">
        <v>7.1999999999999998E-3</v>
      </c>
      <c r="F38" s="13">
        <f>D38+E38</f>
        <v>4.8399999999999999E-2</v>
      </c>
      <c r="G38" s="18">
        <v>0.9</v>
      </c>
      <c r="H38" s="16">
        <f>F38*G38</f>
        <v>4.3560000000000001E-2</v>
      </c>
    </row>
    <row r="39" spans="2:8" x14ac:dyDescent="0.25">
      <c r="G39" s="1" t="s">
        <v>50</v>
      </c>
      <c r="H39" s="19">
        <f>SUM(H37:H38)</f>
        <v>4.9680000000000002E-2</v>
      </c>
    </row>
    <row r="41" spans="2:8" x14ac:dyDescent="0.25">
      <c r="B41" s="1" t="s">
        <v>55</v>
      </c>
    </row>
    <row r="42" spans="2:8" x14ac:dyDescent="0.25">
      <c r="B42" s="13">
        <f>H33</f>
        <v>4.7637304075235115E-2</v>
      </c>
      <c r="F42" s="13">
        <f>H39</f>
        <v>4.9680000000000002E-2</v>
      </c>
    </row>
    <row r="47" spans="2:8" x14ac:dyDescent="0.25">
      <c r="B47" s="12" t="s">
        <v>56</v>
      </c>
    </row>
    <row r="48" spans="2:8" x14ac:dyDescent="0.25">
      <c r="B48" s="27" t="s">
        <v>57</v>
      </c>
      <c r="C48" s="26"/>
      <c r="D48" s="21" t="s">
        <v>60</v>
      </c>
      <c r="E48" s="22" t="s">
        <v>42</v>
      </c>
    </row>
    <row r="49" spans="2:7" x14ac:dyDescent="0.25">
      <c r="B49" s="157" t="s">
        <v>58</v>
      </c>
      <c r="C49" s="158"/>
      <c r="D49" s="23">
        <f>104.2+68.3+12.4+2.3</f>
        <v>187.20000000000002</v>
      </c>
      <c r="E49" s="24">
        <f>D49/D51</f>
        <v>0.73354231974921635</v>
      </c>
    </row>
    <row r="50" spans="2:7" x14ac:dyDescent="0.25">
      <c r="B50" s="157" t="s">
        <v>59</v>
      </c>
      <c r="C50" s="158"/>
      <c r="D50" s="25">
        <v>68</v>
      </c>
      <c r="E50" s="24">
        <f>D50/D51</f>
        <v>0.2664576802507837</v>
      </c>
    </row>
    <row r="51" spans="2:7" x14ac:dyDescent="0.25">
      <c r="B51" s="157" t="s">
        <v>43</v>
      </c>
      <c r="C51" s="158"/>
      <c r="D51" s="23">
        <f>SUM(D49:D50)</f>
        <v>255.20000000000002</v>
      </c>
      <c r="E51" s="25"/>
    </row>
    <row r="54" spans="2:7" x14ac:dyDescent="0.25">
      <c r="B54" s="1" t="s">
        <v>61</v>
      </c>
    </row>
    <row r="55" spans="2:7" x14ac:dyDescent="0.25">
      <c r="B55" s="1">
        <f>0.91</f>
        <v>0.91</v>
      </c>
      <c r="F55" s="1">
        <v>1</v>
      </c>
    </row>
    <row r="59" spans="2:7" x14ac:dyDescent="0.25">
      <c r="B59" s="12" t="s">
        <v>62</v>
      </c>
    </row>
    <row r="61" spans="2:7" x14ac:dyDescent="0.25">
      <c r="D61" s="1" t="s">
        <v>63</v>
      </c>
      <c r="E61" s="1" t="s">
        <v>64</v>
      </c>
      <c r="F61" s="1" t="s">
        <v>56</v>
      </c>
      <c r="G61" s="20" t="s">
        <v>65</v>
      </c>
    </row>
    <row r="62" spans="2:7" x14ac:dyDescent="0.25">
      <c r="C62" s="21" t="s">
        <v>51</v>
      </c>
      <c r="D62" s="29">
        <f>D6</f>
        <v>4.3990000000000001E-2</v>
      </c>
      <c r="E62" s="29">
        <f>B42</f>
        <v>4.7637304075235115E-2</v>
      </c>
      <c r="F62" s="21">
        <f>B55</f>
        <v>0.91</v>
      </c>
      <c r="G62" s="32">
        <f>D62+(E62*F62)</f>
        <v>8.7339946708463956E-2</v>
      </c>
    </row>
    <row r="63" spans="2:7" x14ac:dyDescent="0.25">
      <c r="C63" s="21" t="s">
        <v>52</v>
      </c>
      <c r="D63" s="30">
        <f>D7</f>
        <v>0.03</v>
      </c>
      <c r="E63" s="31">
        <f>H39</f>
        <v>4.9680000000000002E-2</v>
      </c>
      <c r="F63" s="21">
        <f>F55</f>
        <v>1</v>
      </c>
      <c r="G63" s="32">
        <f>D63+(E63*F63)</f>
        <v>7.9680000000000001E-2</v>
      </c>
    </row>
    <row r="67" spans="1:7" x14ac:dyDescent="0.25">
      <c r="C67" s="1" t="s">
        <v>66</v>
      </c>
    </row>
    <row r="68" spans="1:7" x14ac:dyDescent="0.25">
      <c r="C68" s="28">
        <f>G62</f>
        <v>8.7339946708463956E-2</v>
      </c>
      <c r="G68" s="28">
        <f>G63</f>
        <v>7.9680000000000001E-2</v>
      </c>
    </row>
    <row r="72" spans="1:7" x14ac:dyDescent="0.25">
      <c r="B72" s="12" t="s">
        <v>67</v>
      </c>
    </row>
    <row r="74" spans="1:7" x14ac:dyDescent="0.25">
      <c r="B74" s="21" t="s">
        <v>68</v>
      </c>
      <c r="C74" s="21">
        <v>145.97999999999999</v>
      </c>
      <c r="D74" s="1" t="s">
        <v>69</v>
      </c>
    </row>
    <row r="75" spans="1:7" x14ac:dyDescent="0.25">
      <c r="B75" s="21" t="s">
        <v>70</v>
      </c>
      <c r="C75" s="25">
        <v>14.56</v>
      </c>
    </row>
    <row r="76" spans="1:7" x14ac:dyDescent="0.25">
      <c r="B76" s="21" t="s">
        <v>71</v>
      </c>
      <c r="C76" s="25">
        <f>C74*C75</f>
        <v>2125.4688000000001</v>
      </c>
      <c r="D76" s="1" t="s">
        <v>69</v>
      </c>
    </row>
    <row r="80" spans="1:7" ht="20.25" x14ac:dyDescent="0.3">
      <c r="A80" s="33" t="s">
        <v>76</v>
      </c>
    </row>
    <row r="82" spans="4:8" x14ac:dyDescent="0.25">
      <c r="D82" s="1" t="s">
        <v>72</v>
      </c>
    </row>
    <row r="83" spans="4:8" x14ac:dyDescent="0.25">
      <c r="D83" s="28" t="s">
        <v>73</v>
      </c>
      <c r="H83" s="28" t="s">
        <v>73</v>
      </c>
    </row>
    <row r="85" spans="4:8" x14ac:dyDescent="0.25">
      <c r="D85" s="1" t="s">
        <v>74</v>
      </c>
    </row>
    <row r="86" spans="4:8" x14ac:dyDescent="0.25">
      <c r="D86" s="28">
        <v>4.9000000000000002E-2</v>
      </c>
      <c r="H86" s="28">
        <v>4.9000000000000002E-2</v>
      </c>
    </row>
    <row r="88" spans="4:8" x14ac:dyDescent="0.25">
      <c r="D88" s="1" t="s">
        <v>75</v>
      </c>
    </row>
    <row r="90" spans="4:8" x14ac:dyDescent="0.25">
      <c r="D90" s="28">
        <f>D86+D62</f>
        <v>9.2990000000000003E-2</v>
      </c>
      <c r="H90" s="28">
        <f>H86+D63</f>
        <v>7.9000000000000001E-2</v>
      </c>
    </row>
    <row r="101" spans="2:17" x14ac:dyDescent="0.25">
      <c r="B101" s="1" t="s">
        <v>77</v>
      </c>
      <c r="C101" s="1" t="s">
        <v>83</v>
      </c>
      <c r="D101" s="1" t="s">
        <v>60</v>
      </c>
    </row>
    <row r="102" spans="2:17" x14ac:dyDescent="0.25">
      <c r="B102" s="21">
        <v>2024</v>
      </c>
      <c r="C102" s="21">
        <v>1</v>
      </c>
      <c r="D102" s="21">
        <v>7.3</v>
      </c>
    </row>
    <row r="103" spans="2:17" x14ac:dyDescent="0.25">
      <c r="B103" s="21">
        <v>2025</v>
      </c>
      <c r="C103" s="21">
        <v>2</v>
      </c>
      <c r="D103" s="21">
        <v>7.3</v>
      </c>
      <c r="G103" s="1" t="s">
        <v>51</v>
      </c>
      <c r="H103" s="1">
        <v>1</v>
      </c>
      <c r="I103" s="1">
        <v>2</v>
      </c>
      <c r="J103" s="1">
        <v>3</v>
      </c>
      <c r="K103" s="1">
        <v>4</v>
      </c>
      <c r="L103" s="1">
        <v>5</v>
      </c>
      <c r="M103" s="1">
        <v>6</v>
      </c>
      <c r="N103" s="1">
        <v>7</v>
      </c>
      <c r="O103" s="1">
        <v>8</v>
      </c>
      <c r="P103" s="1">
        <v>9</v>
      </c>
      <c r="Q103" s="1">
        <v>10</v>
      </c>
    </row>
    <row r="104" spans="2:17" x14ac:dyDescent="0.25">
      <c r="B104" s="21">
        <v>2026</v>
      </c>
      <c r="C104" s="21">
        <v>3</v>
      </c>
      <c r="D104" s="21">
        <v>6.9</v>
      </c>
      <c r="G104" s="28">
        <f>D90</f>
        <v>9.2990000000000003E-2</v>
      </c>
      <c r="H104" s="28">
        <f>G104-H105</f>
        <v>9.1591000000000006E-2</v>
      </c>
      <c r="I104" s="28">
        <f t="shared" ref="I104:P104" si="0">H104-I105</f>
        <v>9.0192000000000008E-2</v>
      </c>
      <c r="J104" s="28">
        <f t="shared" si="0"/>
        <v>8.8793000000000011E-2</v>
      </c>
      <c r="K104" s="28">
        <f t="shared" si="0"/>
        <v>8.7394000000000013E-2</v>
      </c>
      <c r="L104" s="28">
        <f t="shared" si="0"/>
        <v>8.5995000000000016E-2</v>
      </c>
      <c r="M104" s="28">
        <f t="shared" si="0"/>
        <v>8.4596000000000018E-2</v>
      </c>
      <c r="N104" s="28">
        <f t="shared" si="0"/>
        <v>8.3197000000000021E-2</v>
      </c>
      <c r="O104" s="28">
        <f t="shared" si="0"/>
        <v>8.1798000000000023E-2</v>
      </c>
      <c r="P104" s="28">
        <f t="shared" si="0"/>
        <v>8.0399000000000026E-2</v>
      </c>
      <c r="Q104" s="28">
        <f>H90</f>
        <v>7.9000000000000001E-2</v>
      </c>
    </row>
    <row r="105" spans="2:17" x14ac:dyDescent="0.25">
      <c r="B105" s="21">
        <v>2027</v>
      </c>
      <c r="C105" s="21">
        <v>4</v>
      </c>
      <c r="D105" s="21">
        <v>6.7</v>
      </c>
      <c r="H105" s="1">
        <f>(G104-Q104)/10</f>
        <v>1.3990000000000003E-3</v>
      </c>
      <c r="I105" s="1">
        <f>H105</f>
        <v>1.3990000000000003E-3</v>
      </c>
      <c r="J105" s="1">
        <f t="shared" ref="J105:P105" si="1">I105</f>
        <v>1.3990000000000003E-3</v>
      </c>
      <c r="K105" s="1">
        <f t="shared" si="1"/>
        <v>1.3990000000000003E-3</v>
      </c>
      <c r="L105" s="1">
        <f t="shared" si="1"/>
        <v>1.3990000000000003E-3</v>
      </c>
      <c r="M105" s="1">
        <f t="shared" si="1"/>
        <v>1.3990000000000003E-3</v>
      </c>
      <c r="N105" s="1">
        <f t="shared" si="1"/>
        <v>1.3990000000000003E-3</v>
      </c>
      <c r="O105" s="1">
        <f t="shared" si="1"/>
        <v>1.3990000000000003E-3</v>
      </c>
      <c r="P105" s="1">
        <f t="shared" si="1"/>
        <v>1.3990000000000003E-3</v>
      </c>
    </row>
    <row r="106" spans="2:17" x14ac:dyDescent="0.25">
      <c r="B106" s="21">
        <v>2028</v>
      </c>
      <c r="C106" s="21">
        <v>5</v>
      </c>
      <c r="D106" s="21">
        <v>6.4</v>
      </c>
    </row>
    <row r="107" spans="2:17" x14ac:dyDescent="0.25">
      <c r="B107" s="21"/>
      <c r="C107" s="21" t="s">
        <v>84</v>
      </c>
      <c r="D107" s="34">
        <f>AVERAGE(D102:D106)</f>
        <v>6.92</v>
      </c>
    </row>
    <row r="109" spans="2:17" x14ac:dyDescent="0.25">
      <c r="B109" s="1" t="s">
        <v>85</v>
      </c>
      <c r="D109" s="1">
        <f>628.8/D107</f>
        <v>90.867052023121389</v>
      </c>
    </row>
    <row r="117" spans="1:92" x14ac:dyDescent="0.25">
      <c r="B117" s="1" t="s">
        <v>77</v>
      </c>
      <c r="C117" s="1">
        <v>1</v>
      </c>
      <c r="D117" s="1">
        <v>2</v>
      </c>
      <c r="E117" s="1">
        <v>3</v>
      </c>
      <c r="F117" s="1">
        <v>4</v>
      </c>
      <c r="G117" s="1">
        <v>5</v>
      </c>
      <c r="H117" s="1">
        <v>6</v>
      </c>
      <c r="I117" s="1">
        <v>7</v>
      </c>
      <c r="J117" s="1">
        <v>8</v>
      </c>
      <c r="K117" s="1">
        <v>9</v>
      </c>
      <c r="L117" s="1">
        <v>10</v>
      </c>
      <c r="M117" s="1">
        <v>11</v>
      </c>
      <c r="N117" s="1">
        <v>12</v>
      </c>
      <c r="O117" s="1">
        <v>13</v>
      </c>
      <c r="P117" s="1">
        <v>14</v>
      </c>
      <c r="Q117" s="1">
        <v>15</v>
      </c>
      <c r="R117" s="1">
        <v>16</v>
      </c>
      <c r="S117" s="1">
        <v>17</v>
      </c>
      <c r="T117" s="1">
        <v>18</v>
      </c>
      <c r="U117" s="1">
        <v>19</v>
      </c>
      <c r="V117" s="1">
        <v>20</v>
      </c>
      <c r="W117" s="1">
        <v>21</v>
      </c>
      <c r="X117" s="1">
        <v>22</v>
      </c>
      <c r="Y117" s="1">
        <v>23</v>
      </c>
      <c r="Z117" s="1">
        <v>24</v>
      </c>
      <c r="AA117" s="1">
        <v>25</v>
      </c>
      <c r="AB117" s="1">
        <v>26</v>
      </c>
      <c r="AC117" s="1">
        <v>27</v>
      </c>
      <c r="AD117" s="1">
        <v>28</v>
      </c>
      <c r="AE117" s="1">
        <v>29</v>
      </c>
      <c r="AF117" s="1">
        <v>30</v>
      </c>
      <c r="AG117" s="1">
        <v>31</v>
      </c>
      <c r="AH117" s="1">
        <v>32</v>
      </c>
      <c r="AI117" s="1">
        <v>33</v>
      </c>
      <c r="AJ117" s="1">
        <v>34</v>
      </c>
      <c r="AK117" s="1">
        <v>35</v>
      </c>
      <c r="AL117" s="1">
        <v>36</v>
      </c>
      <c r="AM117" s="1">
        <v>37</v>
      </c>
      <c r="AN117" s="1">
        <v>38</v>
      </c>
      <c r="AO117" s="1">
        <v>39</v>
      </c>
      <c r="AP117" s="1">
        <v>40</v>
      </c>
      <c r="AQ117" s="1">
        <v>41</v>
      </c>
      <c r="AR117" s="1">
        <v>42</v>
      </c>
      <c r="AS117" s="1">
        <v>43</v>
      </c>
      <c r="AT117" s="1">
        <v>44</v>
      </c>
      <c r="AU117" s="1">
        <v>45</v>
      </c>
      <c r="AV117" s="1">
        <v>46</v>
      </c>
      <c r="AW117" s="1">
        <v>47</v>
      </c>
      <c r="AX117" s="1">
        <v>48</v>
      </c>
      <c r="AY117" s="1">
        <v>49</v>
      </c>
      <c r="AZ117" s="1">
        <v>50</v>
      </c>
      <c r="BA117" s="1">
        <v>51</v>
      </c>
      <c r="BB117" s="1">
        <v>52</v>
      </c>
      <c r="BC117" s="1">
        <v>53</v>
      </c>
      <c r="BD117" s="1">
        <v>54</v>
      </c>
      <c r="BE117" s="1">
        <v>55</v>
      </c>
      <c r="BF117" s="1">
        <v>56</v>
      </c>
      <c r="BG117" s="1">
        <v>57</v>
      </c>
      <c r="BH117" s="1">
        <v>58</v>
      </c>
      <c r="BI117" s="1">
        <v>59</v>
      </c>
      <c r="BJ117" s="1">
        <v>60</v>
      </c>
      <c r="BK117" s="1">
        <v>61</v>
      </c>
      <c r="BL117" s="1">
        <v>62</v>
      </c>
      <c r="BM117" s="1">
        <v>63</v>
      </c>
      <c r="BN117" s="1">
        <v>64</v>
      </c>
      <c r="BO117" s="1">
        <v>65</v>
      </c>
      <c r="BP117" s="1">
        <v>66</v>
      </c>
      <c r="BQ117" s="1">
        <v>67</v>
      </c>
      <c r="BR117" s="1">
        <v>68</v>
      </c>
      <c r="BS117" s="1">
        <v>69</v>
      </c>
      <c r="BT117" s="1">
        <v>70</v>
      </c>
      <c r="BU117" s="1">
        <v>71</v>
      </c>
      <c r="BV117" s="1">
        <v>72</v>
      </c>
      <c r="BW117" s="1">
        <v>73</v>
      </c>
      <c r="BX117" s="1">
        <v>74</v>
      </c>
      <c r="BY117" s="1">
        <v>75</v>
      </c>
      <c r="BZ117" s="1">
        <v>76</v>
      </c>
      <c r="CA117" s="1">
        <v>77</v>
      </c>
      <c r="CB117" s="1">
        <v>78</v>
      </c>
      <c r="CC117" s="1">
        <v>79</v>
      </c>
      <c r="CD117" s="1">
        <v>80</v>
      </c>
      <c r="CE117" s="1">
        <v>81</v>
      </c>
      <c r="CF117" s="1">
        <v>82</v>
      </c>
      <c r="CG117" s="1">
        <v>83</v>
      </c>
      <c r="CH117" s="1">
        <v>84</v>
      </c>
      <c r="CI117" s="1">
        <v>85</v>
      </c>
      <c r="CJ117" s="1">
        <v>86</v>
      </c>
      <c r="CK117" s="1">
        <v>87</v>
      </c>
      <c r="CL117" s="1">
        <v>88</v>
      </c>
      <c r="CM117" s="1">
        <v>89</v>
      </c>
      <c r="CN117" s="1">
        <v>90</v>
      </c>
    </row>
    <row r="118" spans="1:92" x14ac:dyDescent="0.25">
      <c r="B118" s="21" t="s">
        <v>78</v>
      </c>
      <c r="C118" s="21">
        <f>D107</f>
        <v>6.92</v>
      </c>
      <c r="D118" s="21">
        <f>C118</f>
        <v>6.92</v>
      </c>
      <c r="E118" s="21">
        <f t="shared" ref="E118:BP118" si="2">D118</f>
        <v>6.92</v>
      </c>
      <c r="F118" s="21">
        <f t="shared" si="2"/>
        <v>6.92</v>
      </c>
      <c r="G118" s="21">
        <f t="shared" si="2"/>
        <v>6.92</v>
      </c>
      <c r="H118" s="21">
        <f t="shared" si="2"/>
        <v>6.92</v>
      </c>
      <c r="I118" s="21">
        <f t="shared" si="2"/>
        <v>6.92</v>
      </c>
      <c r="J118" s="21">
        <f t="shared" si="2"/>
        <v>6.92</v>
      </c>
      <c r="K118" s="21">
        <f t="shared" si="2"/>
        <v>6.92</v>
      </c>
      <c r="L118" s="21">
        <f t="shared" si="2"/>
        <v>6.92</v>
      </c>
      <c r="M118" s="21">
        <f t="shared" si="2"/>
        <v>6.92</v>
      </c>
      <c r="N118" s="21">
        <f t="shared" si="2"/>
        <v>6.92</v>
      </c>
      <c r="O118" s="21">
        <f t="shared" si="2"/>
        <v>6.92</v>
      </c>
      <c r="P118" s="21">
        <f t="shared" si="2"/>
        <v>6.92</v>
      </c>
      <c r="Q118" s="21">
        <f t="shared" si="2"/>
        <v>6.92</v>
      </c>
      <c r="R118" s="21">
        <f t="shared" si="2"/>
        <v>6.92</v>
      </c>
      <c r="S118" s="21">
        <f t="shared" si="2"/>
        <v>6.92</v>
      </c>
      <c r="T118" s="21">
        <f t="shared" si="2"/>
        <v>6.92</v>
      </c>
      <c r="U118" s="21">
        <f t="shared" si="2"/>
        <v>6.92</v>
      </c>
      <c r="V118" s="21">
        <f t="shared" si="2"/>
        <v>6.92</v>
      </c>
      <c r="W118" s="21">
        <f t="shared" si="2"/>
        <v>6.92</v>
      </c>
      <c r="X118" s="21">
        <f t="shared" si="2"/>
        <v>6.92</v>
      </c>
      <c r="Y118" s="21">
        <f t="shared" si="2"/>
        <v>6.92</v>
      </c>
      <c r="Z118" s="21">
        <f t="shared" si="2"/>
        <v>6.92</v>
      </c>
      <c r="AA118" s="21">
        <f t="shared" si="2"/>
        <v>6.92</v>
      </c>
      <c r="AB118" s="21">
        <f t="shared" si="2"/>
        <v>6.92</v>
      </c>
      <c r="AC118" s="21">
        <f t="shared" si="2"/>
        <v>6.92</v>
      </c>
      <c r="AD118" s="21">
        <f t="shared" si="2"/>
        <v>6.92</v>
      </c>
      <c r="AE118" s="21">
        <f t="shared" si="2"/>
        <v>6.92</v>
      </c>
      <c r="AF118" s="21">
        <f t="shared" si="2"/>
        <v>6.92</v>
      </c>
      <c r="AG118" s="21">
        <f t="shared" si="2"/>
        <v>6.92</v>
      </c>
      <c r="AH118" s="21">
        <f t="shared" si="2"/>
        <v>6.92</v>
      </c>
      <c r="AI118" s="21">
        <f t="shared" si="2"/>
        <v>6.92</v>
      </c>
      <c r="AJ118" s="21">
        <f t="shared" si="2"/>
        <v>6.92</v>
      </c>
      <c r="AK118" s="21">
        <f t="shared" si="2"/>
        <v>6.92</v>
      </c>
      <c r="AL118" s="21">
        <f t="shared" si="2"/>
        <v>6.92</v>
      </c>
      <c r="AM118" s="21">
        <f t="shared" si="2"/>
        <v>6.92</v>
      </c>
      <c r="AN118" s="21">
        <f t="shared" si="2"/>
        <v>6.92</v>
      </c>
      <c r="AO118" s="21">
        <f t="shared" si="2"/>
        <v>6.92</v>
      </c>
      <c r="AP118" s="21">
        <f t="shared" si="2"/>
        <v>6.92</v>
      </c>
      <c r="AQ118" s="21">
        <f t="shared" si="2"/>
        <v>6.92</v>
      </c>
      <c r="AR118" s="21">
        <f t="shared" si="2"/>
        <v>6.92</v>
      </c>
      <c r="AS118" s="21">
        <f t="shared" si="2"/>
        <v>6.92</v>
      </c>
      <c r="AT118" s="21">
        <f t="shared" si="2"/>
        <v>6.92</v>
      </c>
      <c r="AU118" s="21">
        <f t="shared" si="2"/>
        <v>6.92</v>
      </c>
      <c r="AV118" s="21">
        <f t="shared" si="2"/>
        <v>6.92</v>
      </c>
      <c r="AW118" s="21">
        <f t="shared" si="2"/>
        <v>6.92</v>
      </c>
      <c r="AX118" s="21">
        <f t="shared" si="2"/>
        <v>6.92</v>
      </c>
      <c r="AY118" s="21">
        <f t="shared" si="2"/>
        <v>6.92</v>
      </c>
      <c r="AZ118" s="21">
        <f t="shared" si="2"/>
        <v>6.92</v>
      </c>
      <c r="BA118" s="21">
        <f t="shared" si="2"/>
        <v>6.92</v>
      </c>
      <c r="BB118" s="21">
        <f t="shared" si="2"/>
        <v>6.92</v>
      </c>
      <c r="BC118" s="21">
        <f t="shared" si="2"/>
        <v>6.92</v>
      </c>
      <c r="BD118" s="21">
        <f t="shared" si="2"/>
        <v>6.92</v>
      </c>
      <c r="BE118" s="21">
        <f t="shared" si="2"/>
        <v>6.92</v>
      </c>
      <c r="BF118" s="21">
        <f t="shared" si="2"/>
        <v>6.92</v>
      </c>
      <c r="BG118" s="21">
        <f t="shared" si="2"/>
        <v>6.92</v>
      </c>
      <c r="BH118" s="21">
        <f t="shared" si="2"/>
        <v>6.92</v>
      </c>
      <c r="BI118" s="21">
        <f t="shared" si="2"/>
        <v>6.92</v>
      </c>
      <c r="BJ118" s="21">
        <f t="shared" si="2"/>
        <v>6.92</v>
      </c>
      <c r="BK118" s="21">
        <f t="shared" si="2"/>
        <v>6.92</v>
      </c>
      <c r="BL118" s="21">
        <f t="shared" si="2"/>
        <v>6.92</v>
      </c>
      <c r="BM118" s="21">
        <f t="shared" si="2"/>
        <v>6.92</v>
      </c>
      <c r="BN118" s="21">
        <f t="shared" si="2"/>
        <v>6.92</v>
      </c>
      <c r="BO118" s="21">
        <f t="shared" si="2"/>
        <v>6.92</v>
      </c>
      <c r="BP118" s="21">
        <f t="shared" si="2"/>
        <v>6.92</v>
      </c>
      <c r="BQ118" s="21">
        <f t="shared" ref="BQ118:CN118" si="3">BP118</f>
        <v>6.92</v>
      </c>
      <c r="BR118" s="21">
        <f t="shared" si="3"/>
        <v>6.92</v>
      </c>
      <c r="BS118" s="21">
        <f t="shared" si="3"/>
        <v>6.92</v>
      </c>
      <c r="BT118" s="21">
        <f t="shared" si="3"/>
        <v>6.92</v>
      </c>
      <c r="BU118" s="21">
        <f t="shared" si="3"/>
        <v>6.92</v>
      </c>
      <c r="BV118" s="21">
        <f t="shared" si="3"/>
        <v>6.92</v>
      </c>
      <c r="BW118" s="21">
        <f t="shared" si="3"/>
        <v>6.92</v>
      </c>
      <c r="BX118" s="21">
        <f t="shared" si="3"/>
        <v>6.92</v>
      </c>
      <c r="BY118" s="21">
        <f t="shared" si="3"/>
        <v>6.92</v>
      </c>
      <c r="BZ118" s="21">
        <f t="shared" si="3"/>
        <v>6.92</v>
      </c>
      <c r="CA118" s="21">
        <f t="shared" si="3"/>
        <v>6.92</v>
      </c>
      <c r="CB118" s="21">
        <f t="shared" si="3"/>
        <v>6.92</v>
      </c>
      <c r="CC118" s="21">
        <f t="shared" si="3"/>
        <v>6.92</v>
      </c>
      <c r="CD118" s="21">
        <f t="shared" si="3"/>
        <v>6.92</v>
      </c>
      <c r="CE118" s="21">
        <f t="shared" si="3"/>
        <v>6.92</v>
      </c>
      <c r="CF118" s="21">
        <f t="shared" si="3"/>
        <v>6.92</v>
      </c>
      <c r="CG118" s="21">
        <f t="shared" si="3"/>
        <v>6.92</v>
      </c>
      <c r="CH118" s="21">
        <f t="shared" si="3"/>
        <v>6.92</v>
      </c>
      <c r="CI118" s="21">
        <f t="shared" si="3"/>
        <v>6.92</v>
      </c>
      <c r="CJ118" s="21">
        <f t="shared" si="3"/>
        <v>6.92</v>
      </c>
      <c r="CK118" s="21">
        <f t="shared" si="3"/>
        <v>6.92</v>
      </c>
      <c r="CL118" s="21">
        <f t="shared" si="3"/>
        <v>6.92</v>
      </c>
      <c r="CM118" s="21">
        <f t="shared" si="3"/>
        <v>6.92</v>
      </c>
      <c r="CN118" s="21">
        <f t="shared" si="3"/>
        <v>6.92</v>
      </c>
    </row>
    <row r="119" spans="1:92" x14ac:dyDescent="0.25">
      <c r="B119" s="21" t="s">
        <v>79</v>
      </c>
      <c r="C119" s="29">
        <f>H104</f>
        <v>9.1591000000000006E-2</v>
      </c>
      <c r="D119" s="29">
        <f t="shared" ref="D119:L119" si="4">I104</f>
        <v>9.0192000000000008E-2</v>
      </c>
      <c r="E119" s="29">
        <f t="shared" si="4"/>
        <v>8.8793000000000011E-2</v>
      </c>
      <c r="F119" s="29">
        <f t="shared" si="4"/>
        <v>8.7394000000000013E-2</v>
      </c>
      <c r="G119" s="29">
        <f t="shared" si="4"/>
        <v>8.5995000000000016E-2</v>
      </c>
      <c r="H119" s="29">
        <f t="shared" si="4"/>
        <v>8.4596000000000018E-2</v>
      </c>
      <c r="I119" s="29">
        <f t="shared" si="4"/>
        <v>8.3197000000000021E-2</v>
      </c>
      <c r="J119" s="29">
        <f t="shared" si="4"/>
        <v>8.1798000000000023E-2</v>
      </c>
      <c r="K119" s="29">
        <f t="shared" si="4"/>
        <v>8.0399000000000026E-2</v>
      </c>
      <c r="L119" s="29">
        <f t="shared" si="4"/>
        <v>7.9000000000000001E-2</v>
      </c>
      <c r="M119" s="29">
        <f>L119</f>
        <v>7.9000000000000001E-2</v>
      </c>
      <c r="N119" s="29">
        <f t="shared" ref="N119:BY119" si="5">M119</f>
        <v>7.9000000000000001E-2</v>
      </c>
      <c r="O119" s="29">
        <f t="shared" si="5"/>
        <v>7.9000000000000001E-2</v>
      </c>
      <c r="P119" s="29">
        <f t="shared" si="5"/>
        <v>7.9000000000000001E-2</v>
      </c>
      <c r="Q119" s="29">
        <f t="shared" si="5"/>
        <v>7.9000000000000001E-2</v>
      </c>
      <c r="R119" s="29">
        <f t="shared" si="5"/>
        <v>7.9000000000000001E-2</v>
      </c>
      <c r="S119" s="29">
        <f t="shared" si="5"/>
        <v>7.9000000000000001E-2</v>
      </c>
      <c r="T119" s="29">
        <f t="shared" si="5"/>
        <v>7.9000000000000001E-2</v>
      </c>
      <c r="U119" s="29">
        <f t="shared" si="5"/>
        <v>7.9000000000000001E-2</v>
      </c>
      <c r="V119" s="29">
        <f t="shared" si="5"/>
        <v>7.9000000000000001E-2</v>
      </c>
      <c r="W119" s="29">
        <f t="shared" si="5"/>
        <v>7.9000000000000001E-2</v>
      </c>
      <c r="X119" s="29">
        <f t="shared" si="5"/>
        <v>7.9000000000000001E-2</v>
      </c>
      <c r="Y119" s="29">
        <f t="shared" si="5"/>
        <v>7.9000000000000001E-2</v>
      </c>
      <c r="Z119" s="29">
        <f t="shared" si="5"/>
        <v>7.9000000000000001E-2</v>
      </c>
      <c r="AA119" s="29">
        <f t="shared" si="5"/>
        <v>7.9000000000000001E-2</v>
      </c>
      <c r="AB119" s="29">
        <f t="shared" si="5"/>
        <v>7.9000000000000001E-2</v>
      </c>
      <c r="AC119" s="29">
        <f t="shared" si="5"/>
        <v>7.9000000000000001E-2</v>
      </c>
      <c r="AD119" s="29">
        <f t="shared" si="5"/>
        <v>7.9000000000000001E-2</v>
      </c>
      <c r="AE119" s="29">
        <f t="shared" si="5"/>
        <v>7.9000000000000001E-2</v>
      </c>
      <c r="AF119" s="29">
        <f t="shared" si="5"/>
        <v>7.9000000000000001E-2</v>
      </c>
      <c r="AG119" s="29">
        <f t="shared" si="5"/>
        <v>7.9000000000000001E-2</v>
      </c>
      <c r="AH119" s="29">
        <f t="shared" si="5"/>
        <v>7.9000000000000001E-2</v>
      </c>
      <c r="AI119" s="29">
        <f t="shared" si="5"/>
        <v>7.9000000000000001E-2</v>
      </c>
      <c r="AJ119" s="29">
        <f t="shared" si="5"/>
        <v>7.9000000000000001E-2</v>
      </c>
      <c r="AK119" s="29">
        <f t="shared" si="5"/>
        <v>7.9000000000000001E-2</v>
      </c>
      <c r="AL119" s="29">
        <f t="shared" si="5"/>
        <v>7.9000000000000001E-2</v>
      </c>
      <c r="AM119" s="29">
        <f t="shared" si="5"/>
        <v>7.9000000000000001E-2</v>
      </c>
      <c r="AN119" s="29">
        <f t="shared" si="5"/>
        <v>7.9000000000000001E-2</v>
      </c>
      <c r="AO119" s="29">
        <f t="shared" si="5"/>
        <v>7.9000000000000001E-2</v>
      </c>
      <c r="AP119" s="29">
        <f t="shared" si="5"/>
        <v>7.9000000000000001E-2</v>
      </c>
      <c r="AQ119" s="29">
        <f t="shared" si="5"/>
        <v>7.9000000000000001E-2</v>
      </c>
      <c r="AR119" s="29">
        <f t="shared" si="5"/>
        <v>7.9000000000000001E-2</v>
      </c>
      <c r="AS119" s="29">
        <f t="shared" si="5"/>
        <v>7.9000000000000001E-2</v>
      </c>
      <c r="AT119" s="29">
        <f t="shared" si="5"/>
        <v>7.9000000000000001E-2</v>
      </c>
      <c r="AU119" s="29">
        <f t="shared" si="5"/>
        <v>7.9000000000000001E-2</v>
      </c>
      <c r="AV119" s="29">
        <f t="shared" si="5"/>
        <v>7.9000000000000001E-2</v>
      </c>
      <c r="AW119" s="29">
        <f t="shared" si="5"/>
        <v>7.9000000000000001E-2</v>
      </c>
      <c r="AX119" s="29">
        <f t="shared" si="5"/>
        <v>7.9000000000000001E-2</v>
      </c>
      <c r="AY119" s="29">
        <f t="shared" si="5"/>
        <v>7.9000000000000001E-2</v>
      </c>
      <c r="AZ119" s="29">
        <f t="shared" si="5"/>
        <v>7.9000000000000001E-2</v>
      </c>
      <c r="BA119" s="29">
        <f t="shared" si="5"/>
        <v>7.9000000000000001E-2</v>
      </c>
      <c r="BB119" s="29">
        <f t="shared" si="5"/>
        <v>7.9000000000000001E-2</v>
      </c>
      <c r="BC119" s="29">
        <f t="shared" si="5"/>
        <v>7.9000000000000001E-2</v>
      </c>
      <c r="BD119" s="29">
        <f t="shared" si="5"/>
        <v>7.9000000000000001E-2</v>
      </c>
      <c r="BE119" s="29">
        <f t="shared" si="5"/>
        <v>7.9000000000000001E-2</v>
      </c>
      <c r="BF119" s="29">
        <f t="shared" si="5"/>
        <v>7.9000000000000001E-2</v>
      </c>
      <c r="BG119" s="29">
        <f t="shared" si="5"/>
        <v>7.9000000000000001E-2</v>
      </c>
      <c r="BH119" s="29">
        <f t="shared" si="5"/>
        <v>7.9000000000000001E-2</v>
      </c>
      <c r="BI119" s="29">
        <f t="shared" si="5"/>
        <v>7.9000000000000001E-2</v>
      </c>
      <c r="BJ119" s="29">
        <f t="shared" si="5"/>
        <v>7.9000000000000001E-2</v>
      </c>
      <c r="BK119" s="29">
        <f t="shared" si="5"/>
        <v>7.9000000000000001E-2</v>
      </c>
      <c r="BL119" s="29">
        <f t="shared" si="5"/>
        <v>7.9000000000000001E-2</v>
      </c>
      <c r="BM119" s="29">
        <f t="shared" si="5"/>
        <v>7.9000000000000001E-2</v>
      </c>
      <c r="BN119" s="29">
        <f t="shared" si="5"/>
        <v>7.9000000000000001E-2</v>
      </c>
      <c r="BO119" s="29">
        <f t="shared" si="5"/>
        <v>7.9000000000000001E-2</v>
      </c>
      <c r="BP119" s="29">
        <f t="shared" si="5"/>
        <v>7.9000000000000001E-2</v>
      </c>
      <c r="BQ119" s="29">
        <f t="shared" si="5"/>
        <v>7.9000000000000001E-2</v>
      </c>
      <c r="BR119" s="29">
        <f t="shared" si="5"/>
        <v>7.9000000000000001E-2</v>
      </c>
      <c r="BS119" s="29">
        <f t="shared" si="5"/>
        <v>7.9000000000000001E-2</v>
      </c>
      <c r="BT119" s="29">
        <f t="shared" si="5"/>
        <v>7.9000000000000001E-2</v>
      </c>
      <c r="BU119" s="29">
        <f t="shared" si="5"/>
        <v>7.9000000000000001E-2</v>
      </c>
      <c r="BV119" s="29">
        <f t="shared" si="5"/>
        <v>7.9000000000000001E-2</v>
      </c>
      <c r="BW119" s="29">
        <f t="shared" si="5"/>
        <v>7.9000000000000001E-2</v>
      </c>
      <c r="BX119" s="29">
        <f t="shared" si="5"/>
        <v>7.9000000000000001E-2</v>
      </c>
      <c r="BY119" s="29">
        <f t="shared" si="5"/>
        <v>7.9000000000000001E-2</v>
      </c>
      <c r="BZ119" s="29">
        <f t="shared" ref="BZ119:CN119" si="6">BY119</f>
        <v>7.9000000000000001E-2</v>
      </c>
      <c r="CA119" s="29">
        <f t="shared" si="6"/>
        <v>7.9000000000000001E-2</v>
      </c>
      <c r="CB119" s="29">
        <f t="shared" si="6"/>
        <v>7.9000000000000001E-2</v>
      </c>
      <c r="CC119" s="29">
        <f t="shared" si="6"/>
        <v>7.9000000000000001E-2</v>
      </c>
      <c r="CD119" s="29">
        <f t="shared" si="6"/>
        <v>7.9000000000000001E-2</v>
      </c>
      <c r="CE119" s="29">
        <f t="shared" si="6"/>
        <v>7.9000000000000001E-2</v>
      </c>
      <c r="CF119" s="29">
        <f t="shared" si="6"/>
        <v>7.9000000000000001E-2</v>
      </c>
      <c r="CG119" s="29">
        <f t="shared" si="6"/>
        <v>7.9000000000000001E-2</v>
      </c>
      <c r="CH119" s="29">
        <f t="shared" si="6"/>
        <v>7.9000000000000001E-2</v>
      </c>
      <c r="CI119" s="29">
        <f t="shared" si="6"/>
        <v>7.9000000000000001E-2</v>
      </c>
      <c r="CJ119" s="29">
        <f t="shared" si="6"/>
        <v>7.9000000000000001E-2</v>
      </c>
      <c r="CK119" s="29">
        <f t="shared" si="6"/>
        <v>7.9000000000000001E-2</v>
      </c>
      <c r="CL119" s="29">
        <f t="shared" si="6"/>
        <v>7.9000000000000001E-2</v>
      </c>
      <c r="CM119" s="29">
        <f t="shared" si="6"/>
        <v>7.9000000000000001E-2</v>
      </c>
      <c r="CN119" s="29">
        <f t="shared" si="6"/>
        <v>7.9000000000000001E-2</v>
      </c>
    </row>
    <row r="120" spans="1:92" x14ac:dyDescent="0.25">
      <c r="B120" s="21" t="s">
        <v>80</v>
      </c>
      <c r="C120" s="21">
        <f>C118/((1+C119)^C117)</f>
        <v>6.339370698365963</v>
      </c>
      <c r="D120" s="21">
        <f t="shared" ref="D120:K120" si="7">D118/((1+D119)^D117)</f>
        <v>5.8223741877148276</v>
      </c>
      <c r="E120" s="21">
        <f t="shared" si="7"/>
        <v>5.36130030519874</v>
      </c>
      <c r="F120" s="21">
        <f t="shared" si="7"/>
        <v>4.9494662266528104</v>
      </c>
      <c r="G120" s="21">
        <f>G118/((1+G119)^G117)</f>
        <v>4.5810703989534041</v>
      </c>
      <c r="H120" s="21">
        <f t="shared" si="7"/>
        <v>4.25106850847025</v>
      </c>
      <c r="I120" s="21">
        <f t="shared" si="7"/>
        <v>3.9550679997189242</v>
      </c>
      <c r="J120" s="21">
        <f t="shared" si="7"/>
        <v>3.6892382342805625</v>
      </c>
      <c r="K120" s="21">
        <f t="shared" si="7"/>
        <v>3.4502338572446307</v>
      </c>
      <c r="L120" s="21">
        <f>L118/((1+L119)^L117)</f>
        <v>3.2351293343809568</v>
      </c>
      <c r="M120" s="21">
        <f t="shared" ref="M120:BX120" si="8">M118/((1+M119)^M117)</f>
        <v>2.9982662969239642</v>
      </c>
      <c r="N120" s="21">
        <f t="shared" si="8"/>
        <v>2.7787454095680855</v>
      </c>
      <c r="O120" s="21">
        <f t="shared" si="8"/>
        <v>2.5752969504801535</v>
      </c>
      <c r="P120" s="21">
        <f t="shared" si="8"/>
        <v>2.3867441617054252</v>
      </c>
      <c r="Q120" s="21">
        <f t="shared" si="8"/>
        <v>2.2119964427297729</v>
      </c>
      <c r="R120" s="21">
        <f t="shared" si="8"/>
        <v>2.0500430423816249</v>
      </c>
      <c r="S120" s="21">
        <f t="shared" si="8"/>
        <v>1.8999472125872336</v>
      </c>
      <c r="T120" s="21">
        <f t="shared" si="8"/>
        <v>1.7608407901642575</v>
      </c>
      <c r="U120" s="21">
        <f t="shared" si="8"/>
        <v>1.6319191753144184</v>
      </c>
      <c r="V120" s="21">
        <f t="shared" si="8"/>
        <v>1.5124366777705456</v>
      </c>
      <c r="W120" s="21">
        <f t="shared" si="8"/>
        <v>1.4017022036798383</v>
      </c>
      <c r="X120" s="21">
        <f t="shared" si="8"/>
        <v>1.2990752582760321</v>
      </c>
      <c r="Y120" s="21">
        <f t="shared" si="8"/>
        <v>1.2039622412196773</v>
      </c>
      <c r="Z120" s="21">
        <f t="shared" si="8"/>
        <v>1.1158130131785706</v>
      </c>
      <c r="AA120" s="21">
        <f t="shared" si="8"/>
        <v>1.0341177137892219</v>
      </c>
      <c r="AB120" s="21">
        <f t="shared" si="8"/>
        <v>0.95840381259427443</v>
      </c>
      <c r="AC120" s="21">
        <f t="shared" si="8"/>
        <v>0.88823337589830809</v>
      </c>
      <c r="AD120" s="21">
        <f t="shared" si="8"/>
        <v>0.82320053373337176</v>
      </c>
      <c r="AE120" s="21">
        <f t="shared" si="8"/>
        <v>0.76292913228301384</v>
      </c>
      <c r="AF120" s="21">
        <f t="shared" si="8"/>
        <v>0.7070705581862966</v>
      </c>
      <c r="AG120" s="21">
        <f t="shared" si="8"/>
        <v>0.65530172213743865</v>
      </c>
      <c r="AH120" s="21">
        <f t="shared" si="8"/>
        <v>0.60732319011810831</v>
      </c>
      <c r="AI120" s="21">
        <f t="shared" si="8"/>
        <v>0.5628574514532978</v>
      </c>
      <c r="AJ120" s="21">
        <f t="shared" si="8"/>
        <v>0.52164731367312123</v>
      </c>
      <c r="AK120" s="21">
        <f t="shared" si="8"/>
        <v>0.48345441489631252</v>
      </c>
      <c r="AL120" s="21">
        <f t="shared" si="8"/>
        <v>0.44805784513096625</v>
      </c>
      <c r="AM120" s="21">
        <f t="shared" si="8"/>
        <v>0.41525286851804105</v>
      </c>
      <c r="AN120" s="21">
        <f t="shared" si="8"/>
        <v>0.38484973912700754</v>
      </c>
      <c r="AO120" s="21">
        <f t="shared" si="8"/>
        <v>0.3566726034541311</v>
      </c>
      <c r="AP120" s="21">
        <f t="shared" si="8"/>
        <v>0.3305584832753764</v>
      </c>
      <c r="AQ120" s="21">
        <f t="shared" si="8"/>
        <v>0.30635633297069176</v>
      </c>
      <c r="AR120" s="21">
        <f t="shared" si="8"/>
        <v>0.28392616586718428</v>
      </c>
      <c r="AS120" s="21">
        <f t="shared" si="8"/>
        <v>0.26313824454790014</v>
      </c>
      <c r="AT120" s="21">
        <f t="shared" si="8"/>
        <v>0.24387233044291026</v>
      </c>
      <c r="AU120" s="21">
        <f t="shared" si="8"/>
        <v>0.22601698836228942</v>
      </c>
      <c r="AV120" s="21">
        <f t="shared" si="8"/>
        <v>0.20946894194836838</v>
      </c>
      <c r="AW120" s="21">
        <f t="shared" si="8"/>
        <v>0.19413247631915506</v>
      </c>
      <c r="AX120" s="21">
        <f t="shared" si="8"/>
        <v>0.17991888444778045</v>
      </c>
      <c r="AY120" s="21">
        <f t="shared" si="8"/>
        <v>0.16674595407579285</v>
      </c>
      <c r="AZ120" s="21">
        <f t="shared" si="8"/>
        <v>0.15453749219257909</v>
      </c>
      <c r="BA120" s="21">
        <f t="shared" si="8"/>
        <v>0.14322288433047184</v>
      </c>
      <c r="BB120" s="21">
        <f t="shared" si="8"/>
        <v>0.13273668612647993</v>
      </c>
      <c r="BC120" s="21">
        <f t="shared" si="8"/>
        <v>0.12301824478821125</v>
      </c>
      <c r="BD120" s="21">
        <f t="shared" si="8"/>
        <v>0.11401134827452389</v>
      </c>
      <c r="BE120" s="21">
        <f t="shared" si="8"/>
        <v>0.10566390016174594</v>
      </c>
      <c r="BF120" s="21">
        <f t="shared" si="8"/>
        <v>9.7927618314871137E-2</v>
      </c>
      <c r="BG120" s="21">
        <f t="shared" si="8"/>
        <v>9.0757755620825886E-2</v>
      </c>
      <c r="BH120" s="21">
        <f t="shared" si="8"/>
        <v>8.411284116851335E-2</v>
      </c>
      <c r="BI120" s="21">
        <f t="shared" si="8"/>
        <v>7.7954440378603648E-2</v>
      </c>
      <c r="BJ120" s="21">
        <f t="shared" si="8"/>
        <v>7.2246932695647512E-2</v>
      </c>
      <c r="BK120" s="21">
        <f t="shared" si="8"/>
        <v>6.6957305556670538E-2</v>
      </c>
      <c r="BL120" s="21">
        <f t="shared" si="8"/>
        <v>6.2054963444551026E-2</v>
      </c>
      <c r="BM120" s="21">
        <f t="shared" si="8"/>
        <v>5.7511550921734017E-2</v>
      </c>
      <c r="BN120" s="21">
        <f t="shared" si="8"/>
        <v>5.3300788620698834E-2</v>
      </c>
      <c r="BO120" s="21">
        <f t="shared" si="8"/>
        <v>4.9398321242538304E-2</v>
      </c>
      <c r="BP120" s="21">
        <f t="shared" si="8"/>
        <v>4.5781576684465537E-2</v>
      </c>
      <c r="BQ120" s="21">
        <f t="shared" si="8"/>
        <v>4.242963548143238E-2</v>
      </c>
      <c r="BR120" s="21">
        <f t="shared" si="8"/>
        <v>3.9323109806702859E-2</v>
      </c>
      <c r="BS120" s="21">
        <f t="shared" si="8"/>
        <v>3.6444031331513312E-2</v>
      </c>
      <c r="BT120" s="21">
        <f t="shared" si="8"/>
        <v>3.3775747295193059E-2</v>
      </c>
      <c r="BU120" s="21">
        <f t="shared" si="8"/>
        <v>3.1302824184608953E-2</v>
      </c>
      <c r="BV120" s="21">
        <f t="shared" si="8"/>
        <v>2.9010958465809967E-2</v>
      </c>
      <c r="BW120" s="21">
        <f t="shared" si="8"/>
        <v>2.6886893851538432E-2</v>
      </c>
      <c r="BX120" s="21">
        <f t="shared" si="8"/>
        <v>2.4918344626078254E-2</v>
      </c>
      <c r="BY120" s="21">
        <f t="shared" ref="BY120:CN120" si="9">BY118/((1+BY119)^BY117)</f>
        <v>2.3093924583946483E-2</v>
      </c>
      <c r="BZ120" s="21">
        <f t="shared" si="9"/>
        <v>2.1403081171405453E-2</v>
      </c>
      <c r="CA120" s="21">
        <f t="shared" si="9"/>
        <v>1.9836034449866036E-2</v>
      </c>
      <c r="CB120" s="21">
        <f t="shared" si="9"/>
        <v>1.8383720528142761E-2</v>
      </c>
      <c r="CC120" s="21">
        <f t="shared" si="9"/>
        <v>1.7037739136369565E-2</v>
      </c>
      <c r="CD120" s="21">
        <f>CD118/((1+CD119)^CD117)</f>
        <v>1.5790305038340655E-2</v>
      </c>
      <c r="CE120" s="21">
        <f t="shared" si="9"/>
        <v>1.4634203001242499E-2</v>
      </c>
      <c r="CF120" s="21">
        <f t="shared" si="9"/>
        <v>1.3562746062319277E-2</v>
      </c>
      <c r="CG120" s="21">
        <f t="shared" si="9"/>
        <v>1.2569736851083667E-2</v>
      </c>
      <c r="CH120" s="21">
        <f t="shared" si="9"/>
        <v>1.1649431743358359E-2</v>
      </c>
      <c r="CI120" s="21">
        <f t="shared" si="9"/>
        <v>1.0796507639813123E-2</v>
      </c>
      <c r="CJ120" s="21">
        <f t="shared" si="9"/>
        <v>1.0006031176842563E-2</v>
      </c>
      <c r="CK120" s="21">
        <f t="shared" si="9"/>
        <v>9.273430191698389E-3</v>
      </c>
      <c r="CL120" s="21">
        <f t="shared" si="9"/>
        <v>8.5944672768289068E-3</v>
      </c>
      <c r="CM120" s="21">
        <f t="shared" si="9"/>
        <v>7.9652152704623776E-3</v>
      </c>
      <c r="CN120" s="21">
        <f t="shared" si="9"/>
        <v>7.382034541670416E-3</v>
      </c>
    </row>
    <row r="122" spans="1:92" x14ac:dyDescent="0.25">
      <c r="B122" s="1" t="s">
        <v>50</v>
      </c>
      <c r="C122" s="7">
        <f>SUM(C120:CN120)</f>
        <v>86.491880508440417</v>
      </c>
    </row>
    <row r="123" spans="1:92" x14ac:dyDescent="0.25">
      <c r="B123" s="1" t="s">
        <v>81</v>
      </c>
      <c r="C123" s="7">
        <v>606.4</v>
      </c>
    </row>
    <row r="124" spans="1:92" x14ac:dyDescent="0.25">
      <c r="B124" s="1" t="s">
        <v>82</v>
      </c>
      <c r="C124" s="7">
        <f>SUM(C122:C123)</f>
        <v>692.89188050844041</v>
      </c>
      <c r="D124" s="1" t="s">
        <v>69</v>
      </c>
      <c r="E124" s="7"/>
    </row>
    <row r="128" spans="1:92" ht="20.25" x14ac:dyDescent="0.3">
      <c r="A128" s="33" t="s">
        <v>86</v>
      </c>
    </row>
    <row r="130" spans="2:7" x14ac:dyDescent="0.25">
      <c r="B130" s="1" t="s">
        <v>77</v>
      </c>
      <c r="C130" s="1" t="s">
        <v>87</v>
      </c>
      <c r="D130" s="1" t="s">
        <v>88</v>
      </c>
      <c r="E130" s="1" t="s">
        <v>86</v>
      </c>
    </row>
    <row r="131" spans="2:7" x14ac:dyDescent="0.25">
      <c r="B131" s="20">
        <v>2019</v>
      </c>
      <c r="C131" s="7">
        <v>5.28</v>
      </c>
      <c r="D131" s="7">
        <v>0.129</v>
      </c>
      <c r="E131" s="10">
        <f>D131/C131</f>
        <v>2.4431818181818183E-2</v>
      </c>
    </row>
    <row r="132" spans="2:7" x14ac:dyDescent="0.25">
      <c r="B132" s="20">
        <v>2020</v>
      </c>
      <c r="C132" s="7">
        <v>58.951000000000001</v>
      </c>
      <c r="D132" s="7">
        <v>2.1139999999999999</v>
      </c>
      <c r="E132" s="10">
        <f t="shared" ref="E132:E135" si="10">D132/C132</f>
        <v>3.5860290749944866E-2</v>
      </c>
    </row>
    <row r="133" spans="2:7" x14ac:dyDescent="0.25">
      <c r="B133" s="20">
        <v>2021</v>
      </c>
      <c r="C133" s="7">
        <v>50.3</v>
      </c>
      <c r="D133" s="7">
        <v>6.5</v>
      </c>
      <c r="E133" s="10">
        <f t="shared" si="10"/>
        <v>0.12922465208747516</v>
      </c>
    </row>
    <row r="134" spans="2:7" x14ac:dyDescent="0.25">
      <c r="B134" s="20">
        <v>2022</v>
      </c>
      <c r="C134" s="7">
        <v>145.30000000000001</v>
      </c>
      <c r="D134" s="7">
        <v>37.6</v>
      </c>
      <c r="E134" s="10">
        <f t="shared" si="10"/>
        <v>0.25877494838265658</v>
      </c>
    </row>
    <row r="135" spans="2:7" x14ac:dyDescent="0.25">
      <c r="B135" s="20">
        <v>2023</v>
      </c>
      <c r="C135" s="7">
        <v>182.8</v>
      </c>
      <c r="D135" s="7">
        <v>47.1</v>
      </c>
      <c r="E135" s="10">
        <f t="shared" si="10"/>
        <v>0.25765864332603938</v>
      </c>
    </row>
    <row r="136" spans="2:7" x14ac:dyDescent="0.25">
      <c r="B136" s="20" t="s">
        <v>51</v>
      </c>
      <c r="C136" s="7">
        <v>41.2</v>
      </c>
      <c r="D136" s="7">
        <v>10.5</v>
      </c>
      <c r="E136" s="10">
        <f>D136/C136</f>
        <v>0.25485436893203883</v>
      </c>
    </row>
    <row r="138" spans="2:7" x14ac:dyDescent="0.25">
      <c r="C138" s="1" t="s">
        <v>89</v>
      </c>
    </row>
    <row r="140" spans="2:7" x14ac:dyDescent="0.25">
      <c r="C140" s="35">
        <v>0.25</v>
      </c>
      <c r="D140" s="35"/>
      <c r="E140" s="35"/>
      <c r="F140" s="35"/>
      <c r="G140" s="35">
        <v>0.25</v>
      </c>
    </row>
    <row r="145" spans="1:7" x14ac:dyDescent="0.25">
      <c r="A145" s="2" t="s">
        <v>6</v>
      </c>
    </row>
    <row r="148" spans="1:7" x14ac:dyDescent="0.25">
      <c r="B148" s="1" t="s">
        <v>90</v>
      </c>
      <c r="C148" s="36" t="s">
        <v>51</v>
      </c>
      <c r="D148" s="36" t="s">
        <v>52</v>
      </c>
      <c r="E148" s="36"/>
      <c r="F148" s="36"/>
      <c r="G148" s="36"/>
    </row>
    <row r="149" spans="1:7" x14ac:dyDescent="0.25">
      <c r="B149" s="21" t="s">
        <v>62</v>
      </c>
      <c r="C149" s="37">
        <f>C68</f>
        <v>8.7339946708463956E-2</v>
      </c>
      <c r="D149" s="37">
        <f>G68</f>
        <v>7.9680000000000001E-2</v>
      </c>
      <c r="E149" s="13"/>
      <c r="F149" s="13"/>
      <c r="G149" s="13"/>
    </row>
    <row r="150" spans="1:7" x14ac:dyDescent="0.25">
      <c r="B150" s="21" t="s">
        <v>67</v>
      </c>
      <c r="C150" s="38">
        <f>C76</f>
        <v>2125.4688000000001</v>
      </c>
      <c r="D150" s="25">
        <f>C150</f>
        <v>2125.4688000000001</v>
      </c>
      <c r="E150" s="7"/>
      <c r="F150" s="7"/>
      <c r="G150" s="7"/>
    </row>
    <row r="151" spans="1:7" x14ac:dyDescent="0.25">
      <c r="B151" s="21" t="s">
        <v>79</v>
      </c>
      <c r="C151" s="37">
        <f>D90</f>
        <v>9.2990000000000003E-2</v>
      </c>
      <c r="D151" s="37">
        <f>H90</f>
        <v>7.9000000000000001E-2</v>
      </c>
      <c r="E151" s="13"/>
      <c r="F151" s="13"/>
      <c r="G151" s="13"/>
    </row>
    <row r="152" spans="1:7" x14ac:dyDescent="0.25">
      <c r="B152" s="21" t="s">
        <v>86</v>
      </c>
      <c r="C152" s="39">
        <f>C140</f>
        <v>0.25</v>
      </c>
      <c r="D152" s="39">
        <f>G140</f>
        <v>0.25</v>
      </c>
      <c r="E152" s="40"/>
      <c r="F152" s="40"/>
      <c r="G152" s="40"/>
    </row>
    <row r="153" spans="1:7" x14ac:dyDescent="0.25">
      <c r="B153" s="21" t="s">
        <v>91</v>
      </c>
      <c r="C153" s="41">
        <f>C151*(1-C152)</f>
        <v>6.9742499999999999E-2</v>
      </c>
      <c r="D153" s="41">
        <f>D151*(1-D152)</f>
        <v>5.9249999999999997E-2</v>
      </c>
      <c r="E153" s="42"/>
      <c r="F153" s="42"/>
      <c r="G153" s="42"/>
    </row>
    <row r="154" spans="1:7" x14ac:dyDescent="0.25">
      <c r="B154" s="21" t="s">
        <v>92</v>
      </c>
      <c r="C154" s="38">
        <f>C124</f>
        <v>692.89188050844041</v>
      </c>
      <c r="D154" s="43">
        <f>C154</f>
        <v>692.89188050844041</v>
      </c>
      <c r="E154" s="44"/>
      <c r="F154" s="44"/>
      <c r="G154" s="44"/>
    </row>
    <row r="155" spans="1:7" x14ac:dyDescent="0.25">
      <c r="B155" s="21" t="s">
        <v>93</v>
      </c>
      <c r="C155" s="45">
        <f>C154/(C154+C150)</f>
        <v>0.24584925744260691</v>
      </c>
      <c r="D155" s="45">
        <f>D154/(D154+D150)</f>
        <v>0.24584925744260691</v>
      </c>
      <c r="E155" s="46"/>
      <c r="F155" s="46"/>
      <c r="G155" s="46"/>
    </row>
    <row r="156" spans="1:7" ht="15.75" thickBot="1" x14ac:dyDescent="0.3">
      <c r="B156" s="47" t="s">
        <v>94</v>
      </c>
      <c r="C156" s="45">
        <f>C150/(C150+C154)</f>
        <v>0.75415074255739312</v>
      </c>
      <c r="D156" s="45">
        <f>D150/(D150+D154)</f>
        <v>0.75415074255739312</v>
      </c>
      <c r="E156" s="48"/>
      <c r="F156" s="48"/>
      <c r="G156" s="48"/>
    </row>
    <row r="157" spans="1:7" ht="15.75" thickBot="1" x14ac:dyDescent="0.3">
      <c r="B157" s="49" t="s">
        <v>95</v>
      </c>
      <c r="C157" s="50">
        <f>(C149*C156)+(C153*C155)</f>
        <v>8.3013627502302248E-2</v>
      </c>
      <c r="D157" s="50">
        <f>(D149*D156)+(D153*D155)</f>
        <v>7.4657299670447541E-2</v>
      </c>
      <c r="E157" s="51"/>
      <c r="F157" s="51"/>
      <c r="G157" s="51"/>
    </row>
    <row r="158" spans="1:7" x14ac:dyDescent="0.25">
      <c r="D158" s="52"/>
      <c r="E158" s="52"/>
      <c r="F158" s="52"/>
      <c r="G158" s="52"/>
    </row>
    <row r="159" spans="1:7" x14ac:dyDescent="0.25">
      <c r="B159" s="1" t="s">
        <v>96</v>
      </c>
    </row>
    <row r="160" spans="1:7" x14ac:dyDescent="0.25">
      <c r="B160" s="13">
        <f>C157</f>
        <v>8.3013627502302248E-2</v>
      </c>
      <c r="F160" s="13">
        <f>D157</f>
        <v>7.4657299670447541E-2</v>
      </c>
    </row>
    <row r="163" spans="2:13" x14ac:dyDescent="0.25">
      <c r="B163" s="1" t="s">
        <v>77</v>
      </c>
      <c r="C163" s="1" t="s">
        <v>51</v>
      </c>
      <c r="D163" s="1">
        <v>1</v>
      </c>
      <c r="E163" s="1">
        <v>2</v>
      </c>
      <c r="F163" s="1">
        <v>3</v>
      </c>
      <c r="G163" s="1">
        <v>4</v>
      </c>
      <c r="H163" s="1">
        <v>5</v>
      </c>
      <c r="I163" s="1">
        <v>6</v>
      </c>
      <c r="J163" s="1">
        <v>7</v>
      </c>
      <c r="K163" s="1">
        <v>8</v>
      </c>
      <c r="L163" s="1">
        <v>9</v>
      </c>
      <c r="M163" s="1" t="s">
        <v>52</v>
      </c>
    </row>
    <row r="164" spans="2:13" x14ac:dyDescent="0.25">
      <c r="C164" s="13">
        <f>C157</f>
        <v>8.3013627502302248E-2</v>
      </c>
      <c r="D164" s="13">
        <f>C164+D165</f>
        <v>8.217799471911677E-2</v>
      </c>
      <c r="E164" s="13">
        <f t="shared" ref="E164:G164" si="11">D164+E165</f>
        <v>8.1342361935931307E-2</v>
      </c>
      <c r="F164" s="13">
        <f t="shared" si="11"/>
        <v>8.0506729152745843E-2</v>
      </c>
      <c r="G164" s="13">
        <f t="shared" si="11"/>
        <v>7.9671096369560379E-2</v>
      </c>
      <c r="H164" s="13">
        <f>G164+H165</f>
        <v>7.8835463586374915E-2</v>
      </c>
      <c r="I164" s="13">
        <f t="shared" ref="I164" si="12">H164+I165</f>
        <v>7.7999830803189452E-2</v>
      </c>
      <c r="J164" s="13">
        <f>I164+J165</f>
        <v>7.7164198020003988E-2</v>
      </c>
      <c r="K164" s="13">
        <f>J164+K165</f>
        <v>7.6328565236818524E-2</v>
      </c>
      <c r="L164" s="13">
        <f>K164+L165</f>
        <v>7.549293245363306E-2</v>
      </c>
      <c r="M164" s="13">
        <f>D157</f>
        <v>7.4657299670447541E-2</v>
      </c>
    </row>
    <row r="165" spans="2:13" s="53" customFormat="1" x14ac:dyDescent="0.25">
      <c r="D165" s="53">
        <f>(M164-C164)/10</f>
        <v>-8.3563278318547068E-4</v>
      </c>
      <c r="E165" s="53">
        <f>D165</f>
        <v>-8.3563278318547068E-4</v>
      </c>
      <c r="F165" s="53">
        <f>E165</f>
        <v>-8.3563278318547068E-4</v>
      </c>
      <c r="G165" s="53">
        <f>F165</f>
        <v>-8.3563278318547068E-4</v>
      </c>
      <c r="H165" s="53">
        <f t="shared" ref="H165:J165" si="13">G165</f>
        <v>-8.3563278318547068E-4</v>
      </c>
      <c r="I165" s="53">
        <f t="shared" si="13"/>
        <v>-8.3563278318547068E-4</v>
      </c>
      <c r="J165" s="53">
        <f t="shared" si="13"/>
        <v>-8.3563278318547068E-4</v>
      </c>
      <c r="K165" s="53">
        <f>J165</f>
        <v>-8.3563278318547068E-4</v>
      </c>
      <c r="L165" s="53">
        <f>K165</f>
        <v>-8.3563278318547068E-4</v>
      </c>
    </row>
    <row r="166" spans="2:13" x14ac:dyDescent="0.25">
      <c r="M166" s="13"/>
    </row>
  </sheetData>
  <mergeCells count="3">
    <mergeCell ref="B49:C49"/>
    <mergeCell ref="B50:C50"/>
    <mergeCell ref="B51:C5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64B72D-1B14-4B56-9A59-10F18F24601F}">
  <dimension ref="A2:L90"/>
  <sheetViews>
    <sheetView showGridLines="0" topLeftCell="A22" zoomScale="85" zoomScaleNormal="85" workbookViewId="0">
      <selection activeCell="C58" sqref="C58"/>
    </sheetView>
  </sheetViews>
  <sheetFormatPr defaultColWidth="9.125" defaultRowHeight="15" x14ac:dyDescent="0.25"/>
  <cols>
    <col min="1" max="1" width="9.125" style="1"/>
    <col min="2" max="2" width="19.75" style="1" customWidth="1"/>
    <col min="3" max="3" width="10.25" style="1" bestFit="1" customWidth="1"/>
    <col min="4" max="4" width="13.375" style="1" customWidth="1"/>
    <col min="5" max="5" width="17" style="1" customWidth="1"/>
    <col min="6" max="6" width="19.125" style="1" customWidth="1"/>
    <col min="7" max="7" width="12.125" style="1" customWidth="1"/>
    <col min="8" max="16384" width="9.125" style="1"/>
  </cols>
  <sheetData>
    <row r="2" spans="1:12" x14ac:dyDescent="0.25">
      <c r="C2" s="1" t="s">
        <v>99</v>
      </c>
    </row>
    <row r="3" spans="1:12" x14ac:dyDescent="0.25">
      <c r="A3" s="2" t="s">
        <v>97</v>
      </c>
    </row>
    <row r="5" spans="1:12" x14ac:dyDescent="0.25">
      <c r="B5" s="131" t="s">
        <v>98</v>
      </c>
      <c r="C5" s="131" t="s">
        <v>25</v>
      </c>
      <c r="D5" s="131" t="s">
        <v>100</v>
      </c>
      <c r="E5" s="131" t="s">
        <v>26</v>
      </c>
      <c r="F5" s="131" t="s">
        <v>101</v>
      </c>
      <c r="G5" s="131" t="s">
        <v>27</v>
      </c>
      <c r="H5" s="131" t="s">
        <v>100</v>
      </c>
      <c r="J5" s="1" t="s">
        <v>7</v>
      </c>
      <c r="K5" s="1" t="s">
        <v>25</v>
      </c>
      <c r="L5" s="1" t="s">
        <v>100</v>
      </c>
    </row>
    <row r="6" spans="1:12" x14ac:dyDescent="0.25">
      <c r="B6" s="21">
        <v>2020</v>
      </c>
      <c r="C6" s="25">
        <v>548.97299999999996</v>
      </c>
      <c r="D6" s="21"/>
      <c r="E6" s="25">
        <v>94.521000000000001</v>
      </c>
      <c r="F6" s="24">
        <f>E6/C6</f>
        <v>0.17217786667103849</v>
      </c>
      <c r="G6" s="25">
        <v>56.837000000000003</v>
      </c>
      <c r="H6" s="21"/>
      <c r="J6" s="1" t="s">
        <v>13</v>
      </c>
    </row>
    <row r="7" spans="1:12" x14ac:dyDescent="0.25">
      <c r="B7" s="21">
        <v>2021</v>
      </c>
      <c r="C7" s="25">
        <v>750.1</v>
      </c>
      <c r="D7" s="24">
        <f>(C7-C6)/C6</f>
        <v>0.36636956644498014</v>
      </c>
      <c r="E7" s="25">
        <v>92.4</v>
      </c>
      <c r="F7" s="24">
        <f t="shared" ref="F7:F9" si="0">E7/C7</f>
        <v>0.12318357552326357</v>
      </c>
      <c r="G7" s="25">
        <v>43.801000000000002</v>
      </c>
      <c r="H7" s="24">
        <f>(G7-G6)/G6</f>
        <v>-0.22935763675070817</v>
      </c>
      <c r="J7" s="1" t="s">
        <v>14</v>
      </c>
      <c r="K7" s="7">
        <v>122.23</v>
      </c>
      <c r="L7" s="10" t="e">
        <f t="shared" ref="L7:L21" si="1">(K7-K6)/K6</f>
        <v>#DIV/0!</v>
      </c>
    </row>
    <row r="8" spans="1:12" x14ac:dyDescent="0.25">
      <c r="B8" s="21">
        <v>2022</v>
      </c>
      <c r="C8" s="25">
        <v>1019.5</v>
      </c>
      <c r="D8" s="24">
        <f t="shared" ref="D8:D9" si="2">(C8-C7)/C7</f>
        <v>0.35915211305159306</v>
      </c>
      <c r="E8" s="25">
        <v>187.5</v>
      </c>
      <c r="F8" s="24">
        <f t="shared" si="0"/>
        <v>0.18391368317802845</v>
      </c>
      <c r="G8" s="25">
        <v>107.7</v>
      </c>
      <c r="H8" s="24">
        <f t="shared" ref="H8:H9" si="3">(G8-G7)/G7</f>
        <v>1.4588479715074998</v>
      </c>
      <c r="J8" s="1" t="s">
        <v>15</v>
      </c>
      <c r="K8" s="7">
        <v>140.339</v>
      </c>
      <c r="L8" s="10">
        <f t="shared" si="1"/>
        <v>0.14815511740161985</v>
      </c>
    </row>
    <row r="9" spans="1:12" x14ac:dyDescent="0.25">
      <c r="B9" s="21">
        <v>2023</v>
      </c>
      <c r="C9" s="25">
        <v>1066.4000000000001</v>
      </c>
      <c r="D9" s="24">
        <f t="shared" si="2"/>
        <v>4.6002942618930939E-2</v>
      </c>
      <c r="E9" s="25">
        <v>245.7</v>
      </c>
      <c r="F9" s="24">
        <f t="shared" si="0"/>
        <v>0.23040135033758435</v>
      </c>
      <c r="G9" s="25">
        <v>135.69999999999999</v>
      </c>
      <c r="H9" s="24">
        <f t="shared" si="3"/>
        <v>0.25998142989786432</v>
      </c>
      <c r="J9" s="1" t="s">
        <v>16</v>
      </c>
      <c r="K9" s="7">
        <v>286.404</v>
      </c>
      <c r="L9" s="10">
        <f t="shared" si="1"/>
        <v>1.040801202801787</v>
      </c>
    </row>
    <row r="10" spans="1:12" x14ac:dyDescent="0.25">
      <c r="J10" s="1" t="s">
        <v>17</v>
      </c>
      <c r="K10" s="7">
        <v>152.82400000000001</v>
      </c>
      <c r="L10" s="10">
        <f t="shared" si="1"/>
        <v>-0.46640410050138958</v>
      </c>
    </row>
    <row r="11" spans="1:12" x14ac:dyDescent="0.25">
      <c r="J11" s="1" t="s">
        <v>18</v>
      </c>
      <c r="K11" s="7">
        <v>174.18199999999999</v>
      </c>
      <c r="L11" s="10">
        <f t="shared" si="1"/>
        <v>0.1397555357797203</v>
      </c>
    </row>
    <row r="12" spans="1:12" x14ac:dyDescent="0.25">
      <c r="J12" s="1" t="s">
        <v>19</v>
      </c>
      <c r="K12" s="7">
        <v>187.79</v>
      </c>
      <c r="L12" s="10">
        <f t="shared" si="1"/>
        <v>7.8125179410042392E-2</v>
      </c>
    </row>
    <row r="13" spans="1:12" x14ac:dyDescent="0.25">
      <c r="J13" s="1" t="s">
        <v>20</v>
      </c>
      <c r="K13" s="7">
        <v>235.304</v>
      </c>
      <c r="L13" s="10">
        <f t="shared" si="1"/>
        <v>0.25301666755418295</v>
      </c>
    </row>
    <row r="14" spans="1:12" x14ac:dyDescent="0.25">
      <c r="J14" s="1" t="s">
        <v>21</v>
      </c>
      <c r="K14" s="7">
        <v>229.52</v>
      </c>
      <c r="L14" s="10">
        <f t="shared" si="1"/>
        <v>-2.4580967599360792E-2</v>
      </c>
    </row>
    <row r="15" spans="1:12" x14ac:dyDescent="0.25">
      <c r="J15" s="1" t="s">
        <v>22</v>
      </c>
      <c r="K15" s="7">
        <v>247.714</v>
      </c>
      <c r="L15" s="10">
        <f t="shared" si="1"/>
        <v>7.9269780411293081E-2</v>
      </c>
    </row>
    <row r="16" spans="1:12" x14ac:dyDescent="0.25">
      <c r="J16" s="1" t="s">
        <v>23</v>
      </c>
      <c r="K16" s="7">
        <v>262.5</v>
      </c>
      <c r="L16" s="10">
        <f t="shared" si="1"/>
        <v>5.9689803563787273E-2</v>
      </c>
    </row>
    <row r="17" spans="2:12" x14ac:dyDescent="0.25">
      <c r="J17" s="1" t="s">
        <v>24</v>
      </c>
      <c r="K17" s="7">
        <v>279.76600000000002</v>
      </c>
      <c r="L17" s="10">
        <f t="shared" si="1"/>
        <v>6.5775238095238164E-2</v>
      </c>
    </row>
    <row r="18" spans="2:12" x14ac:dyDescent="0.25">
      <c r="J18" s="1" t="s">
        <v>12</v>
      </c>
      <c r="K18" s="7">
        <v>251.9</v>
      </c>
      <c r="L18" s="10">
        <f t="shared" si="1"/>
        <v>-9.9604669616751185E-2</v>
      </c>
    </row>
    <row r="19" spans="2:12" x14ac:dyDescent="0.25">
      <c r="J19" s="1" t="s">
        <v>11</v>
      </c>
      <c r="K19" s="7">
        <v>270.61099999999999</v>
      </c>
      <c r="L19" s="10">
        <f t="shared" si="1"/>
        <v>7.4279475982532692E-2</v>
      </c>
    </row>
    <row r="20" spans="2:12" x14ac:dyDescent="0.25">
      <c r="J20" s="1" t="s">
        <v>10</v>
      </c>
      <c r="K20" s="7">
        <v>280.10000000000002</v>
      </c>
      <c r="L20" s="10">
        <f t="shared" si="1"/>
        <v>3.506509343670447E-2</v>
      </c>
    </row>
    <row r="21" spans="2:12" x14ac:dyDescent="0.25">
      <c r="J21" s="1" t="s">
        <v>9</v>
      </c>
      <c r="K21" s="7">
        <v>263.78899999999999</v>
      </c>
      <c r="L21" s="10">
        <f t="shared" si="1"/>
        <v>-5.823277400928252E-2</v>
      </c>
    </row>
    <row r="22" spans="2:12" x14ac:dyDescent="0.25">
      <c r="J22" s="1" t="s">
        <v>8</v>
      </c>
      <c r="K22" s="7">
        <v>254.5</v>
      </c>
      <c r="L22" s="10">
        <f>(K22-K21)/K21</f>
        <v>-3.5213750383829456E-2</v>
      </c>
    </row>
    <row r="28" spans="2:12" x14ac:dyDescent="0.25">
      <c r="B28" s="1" t="s">
        <v>90</v>
      </c>
      <c r="C28" s="160">
        <v>43891</v>
      </c>
      <c r="D28" s="160"/>
      <c r="E28" s="160">
        <v>44197</v>
      </c>
      <c r="F28" s="160"/>
      <c r="G28" s="135">
        <v>44409</v>
      </c>
      <c r="H28" s="160">
        <v>44440</v>
      </c>
      <c r="I28" s="160"/>
      <c r="J28" s="160"/>
      <c r="K28" s="160"/>
    </row>
    <row r="29" spans="2:12" x14ac:dyDescent="0.25">
      <c r="B29" s="135" t="s">
        <v>136</v>
      </c>
      <c r="C29" s="159" t="s">
        <v>135</v>
      </c>
      <c r="D29" s="159"/>
      <c r="E29" s="159" t="s">
        <v>137</v>
      </c>
      <c r="F29" s="159"/>
      <c r="G29" s="136" t="s">
        <v>138</v>
      </c>
      <c r="H29" s="159" t="s">
        <v>139</v>
      </c>
      <c r="I29" s="159"/>
      <c r="J29" s="159"/>
      <c r="K29" s="159"/>
    </row>
    <row r="35" spans="2:6" x14ac:dyDescent="0.25">
      <c r="B35" s="131" t="s">
        <v>140</v>
      </c>
      <c r="C35" s="137" t="s">
        <v>12</v>
      </c>
      <c r="D35" s="137" t="s">
        <v>8</v>
      </c>
      <c r="E35" s="131" t="s">
        <v>144</v>
      </c>
      <c r="F35" s="21" t="s">
        <v>146</v>
      </c>
    </row>
    <row r="36" spans="2:6" x14ac:dyDescent="0.25">
      <c r="B36" s="131" t="s">
        <v>141</v>
      </c>
      <c r="C36" s="138">
        <f>64.6+18.6</f>
        <v>83.199999999999989</v>
      </c>
      <c r="D36" s="138">
        <f>104.2+12.4</f>
        <v>116.60000000000001</v>
      </c>
      <c r="E36" s="139">
        <f>(D36-C36)/C36</f>
        <v>0.40144230769230799</v>
      </c>
      <c r="F36" s="24">
        <f>D36/D40</f>
        <v>0.45815324165029475</v>
      </c>
    </row>
    <row r="37" spans="2:6" x14ac:dyDescent="0.25">
      <c r="B37" s="131" t="s">
        <v>142</v>
      </c>
      <c r="C37" s="138">
        <f>82.4+3</f>
        <v>85.4</v>
      </c>
      <c r="D37" s="138">
        <f>68.3+2.3</f>
        <v>70.599999999999994</v>
      </c>
      <c r="E37" s="139">
        <f t="shared" ref="E37:E40" si="4">(D37-C37)/C37</f>
        <v>-0.17330210772833735</v>
      </c>
      <c r="F37" s="24">
        <f>D37/D40</f>
        <v>0.2774066797642436</v>
      </c>
    </row>
    <row r="38" spans="2:6" x14ac:dyDescent="0.25">
      <c r="B38" s="131" t="s">
        <v>143</v>
      </c>
      <c r="C38" s="138">
        <f>83.5</f>
        <v>83.5</v>
      </c>
      <c r="D38" s="138">
        <v>68</v>
      </c>
      <c r="E38" s="139">
        <f t="shared" si="4"/>
        <v>-0.18562874251497005</v>
      </c>
      <c r="F38" s="24">
        <f>D38/D40</f>
        <v>0.26719056974459726</v>
      </c>
    </row>
    <row r="39" spans="2:6" x14ac:dyDescent="0.25">
      <c r="B39" s="21" t="s">
        <v>145</v>
      </c>
      <c r="C39" s="25">
        <v>-0.2</v>
      </c>
      <c r="D39" s="25">
        <v>-0.7</v>
      </c>
      <c r="E39" s="139">
        <f t="shared" si="4"/>
        <v>2.4999999999999996</v>
      </c>
    </row>
    <row r="40" spans="2:6" x14ac:dyDescent="0.25">
      <c r="B40" s="21" t="s">
        <v>43</v>
      </c>
      <c r="C40" s="25">
        <f>SUM(C36:C39)</f>
        <v>251.9</v>
      </c>
      <c r="D40" s="25">
        <f>SUM(D36:D39)</f>
        <v>254.5</v>
      </c>
      <c r="E40" s="139">
        <f t="shared" si="4"/>
        <v>1.0321556173084535E-2</v>
      </c>
    </row>
    <row r="42" spans="2:6" x14ac:dyDescent="0.25">
      <c r="B42" s="131" t="s">
        <v>140</v>
      </c>
      <c r="C42" s="137" t="s">
        <v>11</v>
      </c>
      <c r="D42" s="137" t="s">
        <v>169</v>
      </c>
      <c r="E42" s="131" t="s">
        <v>144</v>
      </c>
      <c r="F42" s="21" t="s">
        <v>146</v>
      </c>
    </row>
    <row r="43" spans="2:6" x14ac:dyDescent="0.25">
      <c r="B43" s="131" t="s">
        <v>141</v>
      </c>
      <c r="C43" s="138">
        <v>103.2</v>
      </c>
      <c r="D43" s="138">
        <v>110.7</v>
      </c>
      <c r="E43" s="139">
        <f>(D43-C43)/C43</f>
        <v>7.2674418604651167E-2</v>
      </c>
      <c r="F43" s="24">
        <f>D43/D47</f>
        <v>0.44565217391304351</v>
      </c>
    </row>
    <row r="44" spans="2:6" x14ac:dyDescent="0.25">
      <c r="B44" s="131" t="s">
        <v>142</v>
      </c>
      <c r="C44" s="138">
        <v>80.400000000000006</v>
      </c>
      <c r="D44" s="138">
        <v>61.5</v>
      </c>
      <c r="E44" s="139">
        <f t="shared" ref="E44:E47" si="5">(D44-C44)/C44</f>
        <v>-0.23507462686567171</v>
      </c>
      <c r="F44" s="24">
        <f>D44/D47</f>
        <v>0.24758454106280195</v>
      </c>
    </row>
    <row r="45" spans="2:6" x14ac:dyDescent="0.25">
      <c r="B45" s="131" t="s">
        <v>143</v>
      </c>
      <c r="C45" s="138">
        <v>87</v>
      </c>
      <c r="D45" s="138">
        <v>76.2</v>
      </c>
      <c r="E45" s="139">
        <f t="shared" si="5"/>
        <v>-0.12413793103448273</v>
      </c>
      <c r="F45" s="24">
        <f>D45/D47</f>
        <v>0.30676328502415462</v>
      </c>
    </row>
    <row r="46" spans="2:6" x14ac:dyDescent="0.25">
      <c r="B46" s="21" t="s">
        <v>145</v>
      </c>
      <c r="C46" s="25"/>
      <c r="D46" s="25"/>
      <c r="E46" s="139"/>
    </row>
    <row r="47" spans="2:6" x14ac:dyDescent="0.25">
      <c r="B47" s="21" t="s">
        <v>43</v>
      </c>
      <c r="C47" s="25">
        <f>SUM(C43:C46)</f>
        <v>270.60000000000002</v>
      </c>
      <c r="D47" s="25">
        <f>SUM(D43:D46)</f>
        <v>248.39999999999998</v>
      </c>
      <c r="E47" s="139">
        <f t="shared" si="5"/>
        <v>-8.203991130820415E-2</v>
      </c>
    </row>
    <row r="52" spans="2:12" x14ac:dyDescent="0.25">
      <c r="B52" s="21"/>
      <c r="C52" s="21" t="s">
        <v>149</v>
      </c>
    </row>
    <row r="53" spans="2:12" x14ac:dyDescent="0.25">
      <c r="B53" s="21" t="s">
        <v>147</v>
      </c>
      <c r="C53" s="140">
        <f>SUM(F36:F37)</f>
        <v>0.7355599214145383</v>
      </c>
    </row>
    <row r="54" spans="2:12" x14ac:dyDescent="0.25">
      <c r="B54" s="21" t="s">
        <v>148</v>
      </c>
      <c r="C54" s="140">
        <f>F38</f>
        <v>0.26719056974459726</v>
      </c>
    </row>
    <row r="56" spans="2:12" x14ac:dyDescent="0.25">
      <c r="B56" s="21" t="s">
        <v>77</v>
      </c>
      <c r="C56" s="21">
        <v>1</v>
      </c>
      <c r="D56" s="21">
        <v>2</v>
      </c>
      <c r="E56" s="21">
        <v>3</v>
      </c>
      <c r="F56" s="21">
        <v>4</v>
      </c>
      <c r="G56" s="21">
        <v>5</v>
      </c>
      <c r="H56" s="21">
        <v>6</v>
      </c>
      <c r="I56" s="21">
        <v>7</v>
      </c>
      <c r="J56" s="21">
        <v>8</v>
      </c>
      <c r="K56" s="21">
        <v>9</v>
      </c>
      <c r="L56" s="21">
        <v>10</v>
      </c>
    </row>
    <row r="57" spans="2:12" x14ac:dyDescent="0.25">
      <c r="B57" s="21" t="s">
        <v>150</v>
      </c>
      <c r="C57" s="140">
        <v>-3.6999999999999998E-2</v>
      </c>
      <c r="D57" s="29">
        <v>4.2999999999999997E-2</v>
      </c>
      <c r="E57" s="30">
        <v>0.3</v>
      </c>
      <c r="F57" s="30">
        <v>0.3</v>
      </c>
      <c r="G57" s="30">
        <v>0.3</v>
      </c>
      <c r="H57" s="30">
        <v>0.1</v>
      </c>
      <c r="I57" s="30">
        <v>0.1</v>
      </c>
      <c r="J57" s="30">
        <v>0.1</v>
      </c>
      <c r="K57" s="30">
        <v>0.1</v>
      </c>
      <c r="L57" s="30">
        <v>0.1</v>
      </c>
    </row>
    <row r="66" spans="3:8" x14ac:dyDescent="0.25">
      <c r="C66" s="131" t="s">
        <v>98</v>
      </c>
      <c r="D66" s="131" t="s">
        <v>25</v>
      </c>
      <c r="E66" s="131" t="s">
        <v>26</v>
      </c>
      <c r="F66" s="131" t="s">
        <v>101</v>
      </c>
    </row>
    <row r="67" spans="3:8" x14ac:dyDescent="0.25">
      <c r="C67" s="21">
        <v>2020</v>
      </c>
      <c r="D67" s="25">
        <v>548.97299999999996</v>
      </c>
      <c r="E67" s="25">
        <v>94.521000000000001</v>
      </c>
      <c r="F67" s="24">
        <v>0.17217786667103849</v>
      </c>
      <c r="H67" s="142">
        <f>AVERAGE(F67:F70)</f>
        <v>0.17741911892747872</v>
      </c>
    </row>
    <row r="68" spans="3:8" x14ac:dyDescent="0.25">
      <c r="C68" s="21">
        <v>2021</v>
      </c>
      <c r="D68" s="25">
        <v>750.1</v>
      </c>
      <c r="E68" s="25">
        <v>92.4</v>
      </c>
      <c r="F68" s="24">
        <v>0.12318357552326357</v>
      </c>
    </row>
    <row r="69" spans="3:8" x14ac:dyDescent="0.25">
      <c r="C69" s="21">
        <v>2022</v>
      </c>
      <c r="D69" s="25">
        <v>1019.5</v>
      </c>
      <c r="E69" s="25">
        <v>187.5</v>
      </c>
      <c r="F69" s="24">
        <v>0.18391368317802845</v>
      </c>
    </row>
    <row r="70" spans="3:8" x14ac:dyDescent="0.25">
      <c r="C70" s="21">
        <v>2023</v>
      </c>
      <c r="D70" s="25">
        <v>1066.4000000000001</v>
      </c>
      <c r="E70" s="25">
        <v>245.7</v>
      </c>
      <c r="F70" s="24">
        <v>0.23040135033758435</v>
      </c>
    </row>
    <row r="89" spans="2:12" x14ac:dyDescent="0.25">
      <c r="B89" s="21" t="s">
        <v>77</v>
      </c>
      <c r="C89" s="21">
        <v>1</v>
      </c>
      <c r="D89" s="21">
        <v>2</v>
      </c>
      <c r="E89" s="21">
        <v>3</v>
      </c>
      <c r="F89" s="21">
        <v>4</v>
      </c>
      <c r="G89" s="21">
        <v>5</v>
      </c>
      <c r="H89" s="21">
        <v>6</v>
      </c>
      <c r="I89" s="21">
        <v>7</v>
      </c>
      <c r="J89" s="21">
        <v>8</v>
      </c>
      <c r="K89" s="21">
        <v>9</v>
      </c>
      <c r="L89" s="21">
        <v>10</v>
      </c>
    </row>
    <row r="90" spans="2:12" x14ac:dyDescent="0.25">
      <c r="B90" s="21" t="s">
        <v>101</v>
      </c>
      <c r="C90" s="140">
        <v>0.23</v>
      </c>
      <c r="D90" s="140">
        <v>0.23</v>
      </c>
      <c r="E90" s="140">
        <v>0.23</v>
      </c>
      <c r="F90" s="140">
        <v>0.23</v>
      </c>
      <c r="G90" s="140">
        <v>0.23</v>
      </c>
      <c r="H90" s="140">
        <v>0.23</v>
      </c>
      <c r="I90" s="140">
        <v>0.23</v>
      </c>
      <c r="J90" s="140">
        <v>0.23</v>
      </c>
      <c r="K90" s="140">
        <v>0.23</v>
      </c>
      <c r="L90" s="140">
        <v>0.23</v>
      </c>
    </row>
  </sheetData>
  <mergeCells count="6">
    <mergeCell ref="C29:D29"/>
    <mergeCell ref="C28:D28"/>
    <mergeCell ref="E29:F29"/>
    <mergeCell ref="E28:F28"/>
    <mergeCell ref="H29:K29"/>
    <mergeCell ref="H28:K28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1192B6-7F49-4544-B1CC-D892F393ABB0}">
  <sheetPr>
    <tabColor rgb="FF00B050"/>
  </sheetPr>
  <dimension ref="A1:Z63"/>
  <sheetViews>
    <sheetView showGridLines="0" topLeftCell="A15" zoomScaleNormal="100" workbookViewId="0">
      <selection activeCell="C31" sqref="C31"/>
    </sheetView>
  </sheetViews>
  <sheetFormatPr defaultColWidth="9.625" defaultRowHeight="14.25" outlineLevelCol="1" x14ac:dyDescent="0.2"/>
  <cols>
    <col min="1" max="1" width="3.625" customWidth="1"/>
    <col min="2" max="2" width="21.125" customWidth="1"/>
    <col min="3" max="3" width="10.125" bestFit="1" customWidth="1"/>
    <col min="5" max="7" width="9.625" customWidth="1" outlineLevel="1"/>
    <col min="8" max="8" width="11.375" customWidth="1" outlineLevel="1"/>
    <col min="9" max="9" width="13" customWidth="1" outlineLevel="1"/>
    <col min="10" max="10" width="12.25" customWidth="1" outlineLevel="1"/>
    <col min="11" max="11" width="11.875" customWidth="1"/>
    <col min="12" max="12" width="10.75" customWidth="1"/>
    <col min="13" max="13" width="11.875" customWidth="1"/>
    <col min="14" max="14" width="13.625" customWidth="1"/>
    <col min="15" max="15" width="12.125" customWidth="1"/>
    <col min="17" max="21" width="10.375" bestFit="1" customWidth="1"/>
    <col min="22" max="22" width="12" bestFit="1" customWidth="1"/>
    <col min="25" max="25" width="10.375" bestFit="1" customWidth="1"/>
  </cols>
  <sheetData>
    <row r="1" spans="1:26" ht="15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52"/>
      <c r="P1" s="60"/>
      <c r="Q1" s="60"/>
      <c r="R1" s="59"/>
      <c r="S1" s="59"/>
      <c r="T1" s="54"/>
      <c r="U1" s="54"/>
      <c r="V1" s="54"/>
      <c r="W1" s="54"/>
      <c r="X1" s="54"/>
      <c r="Y1" s="54"/>
      <c r="Z1" s="54"/>
    </row>
    <row r="2" spans="1:26" ht="15" x14ac:dyDescent="0.25">
      <c r="A2" s="1"/>
      <c r="B2" s="129" t="s">
        <v>128</v>
      </c>
      <c r="C2" s="130"/>
      <c r="D2" s="130"/>
      <c r="E2" s="129"/>
      <c r="F2" s="129"/>
      <c r="G2" s="129"/>
      <c r="H2" s="129"/>
      <c r="I2" s="128" t="s">
        <v>127</v>
      </c>
      <c r="J2" s="128">
        <v>1</v>
      </c>
      <c r="K2" s="128">
        <v>2</v>
      </c>
      <c r="L2" s="128">
        <v>3</v>
      </c>
      <c r="M2" s="128">
        <v>4</v>
      </c>
      <c r="N2" s="128">
        <v>5</v>
      </c>
      <c r="O2" s="128">
        <v>6</v>
      </c>
      <c r="P2" s="128">
        <v>7</v>
      </c>
      <c r="Q2" s="128">
        <v>8</v>
      </c>
      <c r="R2" s="128">
        <v>9</v>
      </c>
      <c r="S2" s="127" t="s">
        <v>52</v>
      </c>
      <c r="T2" s="54"/>
      <c r="U2" s="54"/>
      <c r="V2" s="54"/>
      <c r="W2" s="54"/>
      <c r="X2" s="54"/>
      <c r="Y2" s="54"/>
      <c r="Z2" s="54"/>
    </row>
    <row r="3" spans="1:26" ht="15" x14ac:dyDescent="0.25">
      <c r="A3" s="1"/>
      <c r="B3" s="1"/>
      <c r="C3" s="1"/>
      <c r="D3" s="1"/>
      <c r="E3" s="114"/>
      <c r="F3" s="114"/>
      <c r="G3" s="114"/>
      <c r="H3" s="114"/>
      <c r="I3" s="126"/>
      <c r="J3" s="125"/>
      <c r="K3" s="125"/>
      <c r="L3" s="125"/>
      <c r="M3" s="125"/>
      <c r="N3" s="125"/>
      <c r="O3" s="52"/>
      <c r="P3" s="60"/>
      <c r="Q3" s="60"/>
      <c r="S3" s="59"/>
      <c r="T3" s="54"/>
      <c r="U3" s="54"/>
      <c r="V3" s="54"/>
      <c r="W3" s="54"/>
      <c r="X3" s="54"/>
      <c r="Y3" s="54"/>
      <c r="Z3" s="54"/>
    </row>
    <row r="4" spans="1:26" ht="15" x14ac:dyDescent="0.25">
      <c r="A4" s="1"/>
      <c r="B4" s="124" t="s">
        <v>126</v>
      </c>
      <c r="C4" s="106"/>
      <c r="D4" s="106"/>
      <c r="E4" s="123"/>
      <c r="F4" s="106"/>
      <c r="G4" s="123"/>
      <c r="H4" s="123"/>
      <c r="I4" s="122"/>
      <c r="J4" s="121">
        <f>estimations!C57</f>
        <v>-3.6999999999999998E-2</v>
      </c>
      <c r="K4" s="121">
        <f>estimations!D57</f>
        <v>4.2999999999999997E-2</v>
      </c>
      <c r="L4" s="121">
        <f>estimations!E57</f>
        <v>0.3</v>
      </c>
      <c r="M4" s="121">
        <f>estimations!F57</f>
        <v>0.3</v>
      </c>
      <c r="N4" s="121">
        <f>estimations!G57</f>
        <v>0.3</v>
      </c>
      <c r="O4" s="121">
        <f>estimations!H57</f>
        <v>0.1</v>
      </c>
      <c r="P4" s="121">
        <f>estimations!I57</f>
        <v>0.1</v>
      </c>
      <c r="Q4" s="121">
        <f>estimations!J57</f>
        <v>0.1</v>
      </c>
      <c r="R4" s="121">
        <f>estimations!K57</f>
        <v>0.1</v>
      </c>
      <c r="S4" s="121">
        <f>estimations!L57</f>
        <v>0.1</v>
      </c>
      <c r="T4" s="54"/>
      <c r="U4" s="54"/>
      <c r="V4" s="54"/>
      <c r="W4" s="54"/>
      <c r="X4" s="54"/>
      <c r="Y4" s="54"/>
      <c r="Z4" s="54"/>
    </row>
    <row r="5" spans="1:26" ht="15" x14ac:dyDescent="0.25">
      <c r="A5" s="1"/>
      <c r="B5" s="1"/>
      <c r="C5" s="1"/>
      <c r="D5" s="1"/>
      <c r="F5" s="1"/>
      <c r="G5" s="3"/>
      <c r="H5" s="1"/>
      <c r="I5" s="103"/>
      <c r="J5" s="1"/>
      <c r="K5" s="1"/>
      <c r="L5" s="1"/>
      <c r="M5" s="1"/>
      <c r="N5" s="1"/>
      <c r="O5" s="52"/>
      <c r="P5" s="60"/>
      <c r="Q5" s="60"/>
      <c r="S5" s="59"/>
      <c r="T5" s="54"/>
      <c r="U5" s="54"/>
      <c r="V5" s="54"/>
      <c r="W5" s="54"/>
      <c r="X5" s="54"/>
      <c r="Y5" s="54"/>
      <c r="Z5" s="54"/>
    </row>
    <row r="6" spans="1:26" ht="15" x14ac:dyDescent="0.25">
      <c r="A6" s="1"/>
      <c r="B6" s="115" t="s">
        <v>125</v>
      </c>
      <c r="C6" s="1"/>
      <c r="D6" s="1"/>
      <c r="E6" s="114"/>
      <c r="F6" s="114"/>
      <c r="G6" s="114"/>
      <c r="H6" s="114"/>
      <c r="I6" s="120">
        <f>estimations!C9</f>
        <v>1066.4000000000001</v>
      </c>
      <c r="J6" s="119">
        <f>I6*(1+J4)</f>
        <v>1026.9432000000002</v>
      </c>
      <c r="K6" s="119">
        <f t="shared" ref="K6:R6" si="0">J6*(1+K4)</f>
        <v>1071.1017576000002</v>
      </c>
      <c r="L6" s="119">
        <f t="shared" si="0"/>
        <v>1392.4322848800002</v>
      </c>
      <c r="M6" s="119">
        <f t="shared" si="0"/>
        <v>1810.1619703440003</v>
      </c>
      <c r="N6" s="119">
        <f t="shared" si="0"/>
        <v>2353.2105614472007</v>
      </c>
      <c r="O6" s="119">
        <f t="shared" si="0"/>
        <v>2588.5316175919211</v>
      </c>
      <c r="P6" s="119">
        <f t="shared" si="0"/>
        <v>2847.3847793511136</v>
      </c>
      <c r="Q6" s="119">
        <f t="shared" si="0"/>
        <v>3132.123257286225</v>
      </c>
      <c r="R6" s="119">
        <f t="shared" si="0"/>
        <v>3445.335583014848</v>
      </c>
      <c r="S6" s="119">
        <f>R6*(1+S4)</f>
        <v>3789.8691413163333</v>
      </c>
      <c r="T6" s="54"/>
      <c r="U6" s="54"/>
      <c r="V6" s="54"/>
      <c r="W6" s="54"/>
      <c r="X6" s="54"/>
      <c r="Y6" s="54"/>
      <c r="Z6" s="54"/>
    </row>
    <row r="7" spans="1:26" ht="15" x14ac:dyDescent="0.25">
      <c r="A7" s="1"/>
      <c r="B7" s="112"/>
      <c r="C7" s="1"/>
      <c r="D7" s="1"/>
      <c r="E7" s="111"/>
      <c r="F7" s="111"/>
      <c r="G7" s="111"/>
      <c r="H7" s="111"/>
      <c r="I7" s="110"/>
      <c r="J7" s="109"/>
      <c r="K7" s="109"/>
      <c r="L7" s="109"/>
      <c r="M7" s="109"/>
      <c r="N7" s="109"/>
      <c r="O7" s="108"/>
      <c r="P7" s="60"/>
      <c r="Q7" s="60"/>
      <c r="S7" s="59"/>
      <c r="T7" s="54"/>
      <c r="U7" s="54"/>
      <c r="V7" s="54"/>
      <c r="W7" s="54"/>
      <c r="X7" s="54"/>
      <c r="Y7" s="54"/>
      <c r="Z7" s="54"/>
    </row>
    <row r="8" spans="1:26" ht="15" x14ac:dyDescent="0.25">
      <c r="A8" s="1"/>
      <c r="B8" s="118" t="s">
        <v>124</v>
      </c>
      <c r="C8" s="106"/>
      <c r="D8" s="106"/>
      <c r="E8" s="106"/>
      <c r="F8" s="106"/>
      <c r="G8" s="106"/>
      <c r="H8" s="106"/>
      <c r="I8" s="117"/>
      <c r="J8" s="116">
        <v>0.23</v>
      </c>
      <c r="K8" s="116">
        <v>0.23</v>
      </c>
      <c r="L8" s="116">
        <v>0.23</v>
      </c>
      <c r="M8" s="116">
        <v>0.23</v>
      </c>
      <c r="N8" s="116">
        <v>0.23</v>
      </c>
      <c r="O8" s="116">
        <v>0.23</v>
      </c>
      <c r="P8" s="116">
        <v>0.23</v>
      </c>
      <c r="Q8" s="116">
        <v>0.23</v>
      </c>
      <c r="R8" s="116">
        <v>0.23</v>
      </c>
      <c r="S8" s="116">
        <v>0.23</v>
      </c>
      <c r="T8" s="54"/>
      <c r="U8" s="54"/>
      <c r="V8" s="54"/>
      <c r="W8" s="54"/>
      <c r="X8" s="54"/>
      <c r="Y8" s="54"/>
      <c r="Z8" s="54"/>
    </row>
    <row r="9" spans="1:26" ht="15" x14ac:dyDescent="0.25">
      <c r="A9" s="1"/>
      <c r="B9" s="115"/>
      <c r="C9" s="1"/>
      <c r="D9" s="1"/>
      <c r="E9" s="1"/>
      <c r="F9" s="1"/>
      <c r="G9" s="1"/>
      <c r="H9" s="1"/>
      <c r="I9" s="101"/>
      <c r="J9" s="90"/>
      <c r="K9" s="90"/>
      <c r="L9" s="90"/>
      <c r="M9" s="90"/>
      <c r="N9" s="90"/>
      <c r="O9" s="108"/>
      <c r="P9" s="60"/>
      <c r="Q9" s="60"/>
      <c r="S9" s="59"/>
      <c r="T9" s="54"/>
      <c r="U9" s="54"/>
      <c r="V9" s="54"/>
      <c r="W9" s="54"/>
      <c r="X9" s="54"/>
      <c r="Y9" s="54"/>
      <c r="Z9" s="54"/>
    </row>
    <row r="10" spans="1:26" ht="15" x14ac:dyDescent="0.25">
      <c r="A10" s="1"/>
      <c r="B10" s="115" t="s">
        <v>123</v>
      </c>
      <c r="C10" s="1"/>
      <c r="D10" s="1"/>
      <c r="E10" s="114"/>
      <c r="F10" s="114"/>
      <c r="G10" s="114"/>
      <c r="H10" s="114"/>
      <c r="I10" s="101"/>
      <c r="J10" s="113">
        <f t="shared" ref="J10:S10" si="1">J6*J8</f>
        <v>236.19693600000005</v>
      </c>
      <c r="K10" s="7">
        <f t="shared" si="1"/>
        <v>246.35340424800003</v>
      </c>
      <c r="L10" s="7">
        <f t="shared" si="1"/>
        <v>320.25942552240008</v>
      </c>
      <c r="M10" s="7">
        <f t="shared" si="1"/>
        <v>416.33725317912007</v>
      </c>
      <c r="N10" s="7">
        <f t="shared" si="1"/>
        <v>541.23842913285614</v>
      </c>
      <c r="O10" s="7">
        <f t="shared" si="1"/>
        <v>595.36227204614192</v>
      </c>
      <c r="P10" s="7">
        <f t="shared" si="1"/>
        <v>654.89849925075612</v>
      </c>
      <c r="Q10" s="7">
        <f t="shared" si="1"/>
        <v>720.38834917583176</v>
      </c>
      <c r="R10" s="7">
        <f t="shared" si="1"/>
        <v>792.42718409341512</v>
      </c>
      <c r="S10" s="7">
        <f t="shared" si="1"/>
        <v>871.66990250275671</v>
      </c>
      <c r="T10" s="54"/>
      <c r="U10" s="54"/>
      <c r="V10" s="54"/>
      <c r="W10" s="54"/>
      <c r="X10" s="54"/>
      <c r="Y10" s="54"/>
      <c r="Z10" s="54"/>
    </row>
    <row r="11" spans="1:26" ht="15" x14ac:dyDescent="0.25">
      <c r="A11" s="1"/>
      <c r="B11" s="112"/>
      <c r="C11" s="1"/>
      <c r="D11" s="1"/>
      <c r="E11" s="111"/>
      <c r="F11" s="111"/>
      <c r="G11" s="111"/>
      <c r="H11" s="111"/>
      <c r="I11" s="110"/>
      <c r="J11" s="109"/>
      <c r="K11" s="109"/>
      <c r="L11" s="109"/>
      <c r="M11" s="109"/>
      <c r="N11" s="109"/>
      <c r="O11" s="108"/>
      <c r="P11" s="60"/>
      <c r="Q11" s="60"/>
      <c r="S11" s="59"/>
      <c r="T11" s="54"/>
      <c r="U11" s="54"/>
      <c r="V11" s="54"/>
      <c r="W11" s="54"/>
      <c r="X11" s="54"/>
      <c r="Y11" s="54"/>
      <c r="Z11" s="54"/>
    </row>
    <row r="12" spans="1:26" ht="15" x14ac:dyDescent="0.25">
      <c r="A12" s="1"/>
      <c r="B12" s="107" t="s">
        <v>122</v>
      </c>
      <c r="C12" s="106"/>
      <c r="D12" s="106"/>
      <c r="E12" s="106"/>
      <c r="F12" s="106"/>
      <c r="G12" s="106"/>
      <c r="H12" s="106"/>
      <c r="I12" s="105"/>
      <c r="J12" s="104">
        <v>0.25</v>
      </c>
      <c r="K12" s="104">
        <v>0.25</v>
      </c>
      <c r="L12" s="104">
        <v>0.25</v>
      </c>
      <c r="M12" s="104">
        <v>0.25</v>
      </c>
      <c r="N12" s="104">
        <v>0.25</v>
      </c>
      <c r="O12" s="104">
        <v>0.25</v>
      </c>
      <c r="P12" s="104">
        <v>0.25</v>
      </c>
      <c r="Q12" s="104">
        <v>0.25</v>
      </c>
      <c r="R12" s="104">
        <v>0.25</v>
      </c>
      <c r="S12" s="104">
        <v>0.25</v>
      </c>
      <c r="T12" s="54"/>
      <c r="U12" s="54"/>
      <c r="V12" s="54"/>
      <c r="W12" s="54"/>
      <c r="X12" s="54"/>
      <c r="Y12" s="54"/>
      <c r="Z12" s="54"/>
    </row>
    <row r="13" spans="1:26" ht="15" x14ac:dyDescent="0.25">
      <c r="A13" s="1"/>
      <c r="B13" s="1"/>
      <c r="C13" s="1"/>
      <c r="D13" s="1"/>
      <c r="E13" s="1"/>
      <c r="F13" s="1"/>
      <c r="G13" s="1"/>
      <c r="H13" s="1"/>
      <c r="I13" s="103"/>
      <c r="J13" s="1"/>
      <c r="K13" s="1"/>
      <c r="L13" s="1"/>
      <c r="M13" s="1"/>
      <c r="N13" s="1"/>
      <c r="O13" s="52"/>
      <c r="P13" s="60"/>
      <c r="Q13" s="60"/>
      <c r="S13" s="59"/>
      <c r="T13" s="54"/>
      <c r="U13" s="54"/>
      <c r="V13" s="54"/>
      <c r="W13" s="54"/>
      <c r="X13" s="54"/>
      <c r="Y13" s="54"/>
      <c r="Z13" s="54"/>
    </row>
    <row r="14" spans="1:26" ht="15" x14ac:dyDescent="0.25">
      <c r="A14" s="1"/>
      <c r="B14" s="82" t="s">
        <v>121</v>
      </c>
      <c r="C14" s="102"/>
      <c r="D14" s="102"/>
      <c r="E14" s="102"/>
      <c r="F14" s="102"/>
      <c r="G14" s="102"/>
      <c r="H14" s="102"/>
      <c r="I14" s="101"/>
      <c r="J14" s="82">
        <f t="shared" ref="J14:S14" si="2">J10*(1-J12)</f>
        <v>177.14770200000004</v>
      </c>
      <c r="K14" s="82">
        <f t="shared" si="2"/>
        <v>184.76505318600002</v>
      </c>
      <c r="L14" s="82">
        <f t="shared" si="2"/>
        <v>240.19456914180006</v>
      </c>
      <c r="M14" s="82">
        <f t="shared" si="2"/>
        <v>312.25293988434004</v>
      </c>
      <c r="N14" s="82">
        <f t="shared" si="2"/>
        <v>405.92882184964208</v>
      </c>
      <c r="O14" s="82">
        <f t="shared" si="2"/>
        <v>446.52170403460644</v>
      </c>
      <c r="P14" s="82">
        <f t="shared" si="2"/>
        <v>491.17387443806706</v>
      </c>
      <c r="Q14" s="82">
        <f t="shared" si="2"/>
        <v>540.29126188187388</v>
      </c>
      <c r="R14" s="82">
        <f t="shared" si="2"/>
        <v>594.32038807006131</v>
      </c>
      <c r="S14" s="82">
        <f t="shared" si="2"/>
        <v>653.75242687706759</v>
      </c>
      <c r="T14" s="54"/>
      <c r="U14" s="54"/>
      <c r="V14" s="54"/>
      <c r="W14" s="54"/>
      <c r="X14" s="54"/>
      <c r="Y14" s="54"/>
      <c r="Z14" s="54"/>
    </row>
    <row r="15" spans="1:26" ht="15" x14ac:dyDescent="0.25">
      <c r="A15" s="1"/>
      <c r="B15" s="90"/>
      <c r="C15" s="7"/>
      <c r="D15" s="7"/>
      <c r="E15" s="89"/>
      <c r="F15" s="89"/>
      <c r="G15" s="89"/>
      <c r="H15" s="89"/>
      <c r="I15" s="92"/>
      <c r="J15" s="93"/>
      <c r="K15" s="93"/>
      <c r="L15" s="93"/>
      <c r="M15" s="93"/>
      <c r="N15" s="93"/>
      <c r="O15" s="93"/>
      <c r="P15" s="60"/>
      <c r="Q15" s="60"/>
      <c r="S15" s="59"/>
      <c r="T15" s="54"/>
      <c r="U15" s="54"/>
      <c r="V15" s="54"/>
      <c r="W15" s="54"/>
      <c r="X15" s="54"/>
      <c r="Y15" s="54"/>
      <c r="Z15" s="54"/>
    </row>
    <row r="16" spans="1:26" ht="15" x14ac:dyDescent="0.25">
      <c r="B16" s="99" t="s">
        <v>120</v>
      </c>
      <c r="C16" s="98"/>
      <c r="D16" s="98"/>
      <c r="E16" s="97"/>
      <c r="F16" s="97"/>
      <c r="G16" s="97"/>
      <c r="H16" s="97"/>
      <c r="I16" s="96"/>
      <c r="J16" s="100"/>
      <c r="K16" s="100"/>
      <c r="L16" s="100"/>
      <c r="M16" s="100"/>
      <c r="N16" s="100"/>
      <c r="O16" s="100"/>
      <c r="P16" s="100"/>
      <c r="Q16" s="100"/>
      <c r="R16" s="100"/>
      <c r="S16" s="100"/>
      <c r="T16" s="54"/>
      <c r="U16" s="54"/>
      <c r="V16" s="54"/>
      <c r="W16" s="54"/>
      <c r="X16" s="54"/>
      <c r="Y16" s="54"/>
      <c r="Z16" s="54"/>
    </row>
    <row r="17" spans="1:26" ht="15" x14ac:dyDescent="0.25">
      <c r="B17" s="90"/>
      <c r="C17" s="7"/>
      <c r="D17" s="7"/>
      <c r="E17" s="89"/>
      <c r="F17" s="89"/>
      <c r="G17" s="89"/>
      <c r="H17" s="89"/>
      <c r="I17" s="92"/>
      <c r="J17" s="94"/>
      <c r="K17" s="94"/>
      <c r="L17" s="94"/>
      <c r="M17" s="94"/>
      <c r="N17" s="94"/>
      <c r="O17" s="94"/>
      <c r="P17" s="60"/>
      <c r="Q17" s="60"/>
      <c r="S17" s="59"/>
      <c r="T17" s="54"/>
      <c r="U17" s="54"/>
      <c r="V17" s="54"/>
      <c r="W17" s="54"/>
      <c r="X17" s="54"/>
      <c r="Y17" s="54"/>
      <c r="Z17" s="54"/>
    </row>
    <row r="18" spans="1:26" ht="15" x14ac:dyDescent="0.25">
      <c r="B18" s="99" t="s">
        <v>119</v>
      </c>
      <c r="C18" s="98"/>
      <c r="D18" s="98"/>
      <c r="E18" s="97"/>
      <c r="F18" s="97"/>
      <c r="G18" s="97"/>
      <c r="H18" s="97"/>
      <c r="I18" s="96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54"/>
      <c r="U18" s="54"/>
      <c r="V18" s="54"/>
      <c r="W18" s="54"/>
      <c r="X18" s="54"/>
      <c r="Y18" s="54"/>
      <c r="Z18" s="54"/>
    </row>
    <row r="19" spans="1:26" ht="15" x14ac:dyDescent="0.25">
      <c r="B19" s="93"/>
      <c r="C19" s="7"/>
      <c r="D19" s="7"/>
      <c r="E19" s="89"/>
      <c r="F19" s="89"/>
      <c r="G19" s="89"/>
      <c r="H19" s="89"/>
      <c r="I19" s="92"/>
      <c r="J19" s="133"/>
      <c r="K19" s="133"/>
      <c r="L19" s="133"/>
      <c r="M19" s="133"/>
      <c r="N19" s="133"/>
      <c r="O19" s="133"/>
      <c r="P19" s="133"/>
      <c r="Q19" s="133"/>
      <c r="R19" s="133"/>
      <c r="S19" s="133"/>
      <c r="T19" s="54"/>
      <c r="U19" s="54"/>
      <c r="V19" s="54"/>
      <c r="W19" s="54"/>
      <c r="X19" s="54"/>
      <c r="Y19" s="54"/>
      <c r="Z19" s="54"/>
    </row>
    <row r="20" spans="1:26" ht="15" x14ac:dyDescent="0.25">
      <c r="B20" s="93" t="s">
        <v>129</v>
      </c>
      <c r="C20" s="7"/>
      <c r="D20" s="7"/>
      <c r="E20" s="89"/>
      <c r="F20" s="89"/>
      <c r="G20" s="89"/>
      <c r="H20" s="89"/>
      <c r="I20" s="92"/>
      <c r="J20" s="133">
        <v>0.4</v>
      </c>
      <c r="K20" s="133">
        <v>2</v>
      </c>
      <c r="L20" s="133">
        <v>0.4</v>
      </c>
      <c r="M20" s="133">
        <v>0.4</v>
      </c>
      <c r="N20" s="133">
        <v>0.4</v>
      </c>
      <c r="O20" s="133">
        <v>0.4</v>
      </c>
      <c r="P20" s="133">
        <v>2</v>
      </c>
      <c r="Q20" s="133">
        <v>0.4</v>
      </c>
      <c r="R20" s="133">
        <v>0.4</v>
      </c>
      <c r="S20" s="133">
        <v>0.4</v>
      </c>
      <c r="T20" s="54"/>
      <c r="U20" s="54"/>
      <c r="V20" s="54"/>
      <c r="W20" s="54"/>
      <c r="X20" s="54"/>
      <c r="Y20" s="54"/>
      <c r="Z20" s="54"/>
    </row>
    <row r="21" spans="1:26" ht="15" x14ac:dyDescent="0.25">
      <c r="B21" s="90"/>
      <c r="C21" s="7"/>
      <c r="D21" s="7"/>
      <c r="E21" s="89"/>
      <c r="F21" s="89"/>
      <c r="G21" s="89"/>
      <c r="H21" s="89"/>
      <c r="I21" s="92"/>
      <c r="J21" s="94"/>
      <c r="K21" s="94"/>
      <c r="L21" s="94"/>
      <c r="M21" s="94"/>
      <c r="N21" s="94"/>
      <c r="O21" s="94"/>
      <c r="P21" s="60"/>
      <c r="Q21" s="60"/>
      <c r="S21" s="59"/>
      <c r="T21" s="54"/>
      <c r="U21" s="54"/>
      <c r="V21" s="54"/>
      <c r="W21" s="54"/>
      <c r="X21" s="54"/>
      <c r="Y21" s="54"/>
      <c r="Z21" s="54"/>
    </row>
    <row r="22" spans="1:26" ht="15" x14ac:dyDescent="0.25">
      <c r="A22" s="1"/>
      <c r="B22" s="82" t="s">
        <v>118</v>
      </c>
      <c r="C22" s="7"/>
      <c r="D22" s="7"/>
      <c r="E22" s="89"/>
      <c r="F22" s="89"/>
      <c r="G22" s="89"/>
      <c r="H22" s="89"/>
      <c r="I22" s="92"/>
      <c r="J22" s="82">
        <f t="shared" ref="J22:Q22" si="3">J6*(J18)</f>
        <v>0</v>
      </c>
      <c r="K22" s="82">
        <f t="shared" si="3"/>
        <v>0</v>
      </c>
      <c r="L22" s="82">
        <f t="shared" si="3"/>
        <v>0</v>
      </c>
      <c r="M22" s="82">
        <f t="shared" si="3"/>
        <v>0</v>
      </c>
      <c r="N22" s="82">
        <f t="shared" si="3"/>
        <v>0</v>
      </c>
      <c r="O22" s="82">
        <f t="shared" si="3"/>
        <v>0</v>
      </c>
      <c r="P22" s="82">
        <f t="shared" si="3"/>
        <v>0</v>
      </c>
      <c r="Q22" s="82">
        <f t="shared" si="3"/>
        <v>0</v>
      </c>
      <c r="S22" s="82">
        <f>S6*(S18)</f>
        <v>0</v>
      </c>
      <c r="T22" s="54"/>
      <c r="U22" s="54"/>
      <c r="V22" s="54"/>
      <c r="W22" s="54"/>
      <c r="X22" s="54"/>
      <c r="Y22" s="54"/>
      <c r="Z22" s="54"/>
    </row>
    <row r="23" spans="1:26" ht="15" x14ac:dyDescent="0.25">
      <c r="A23" s="1"/>
      <c r="B23" s="90"/>
      <c r="C23" s="7"/>
      <c r="D23" s="7"/>
      <c r="E23" s="89"/>
      <c r="F23" s="89"/>
      <c r="G23" s="89"/>
      <c r="H23" s="89"/>
      <c r="I23" s="92"/>
      <c r="J23" s="93"/>
      <c r="K23" s="93"/>
      <c r="L23" s="93"/>
      <c r="M23" s="93"/>
      <c r="N23" s="93"/>
      <c r="O23" s="93"/>
      <c r="P23" s="60"/>
      <c r="Q23" s="60"/>
      <c r="S23" s="59"/>
      <c r="T23" s="54"/>
      <c r="U23" s="54"/>
      <c r="V23" s="54"/>
      <c r="W23" s="54"/>
      <c r="X23" s="54"/>
      <c r="Y23" s="54"/>
      <c r="Z23" s="54"/>
    </row>
    <row r="24" spans="1:26" ht="15" x14ac:dyDescent="0.25">
      <c r="A24" s="1"/>
      <c r="B24" s="90"/>
      <c r="C24" s="7"/>
      <c r="D24" s="7"/>
      <c r="E24" s="89"/>
      <c r="F24" s="89"/>
      <c r="G24" s="89"/>
      <c r="H24" s="89"/>
      <c r="I24" s="92"/>
      <c r="J24" s="93"/>
      <c r="K24" s="93"/>
      <c r="L24" s="93"/>
      <c r="M24" s="93"/>
      <c r="N24" s="93"/>
      <c r="O24" s="93"/>
      <c r="P24" s="60"/>
      <c r="Q24" s="60"/>
      <c r="S24" s="59"/>
      <c r="T24" s="54"/>
      <c r="U24" s="54"/>
      <c r="V24" s="54"/>
      <c r="W24" s="54"/>
      <c r="X24" s="54"/>
      <c r="Y24" s="54"/>
      <c r="Z24" s="54"/>
    </row>
    <row r="25" spans="1:26" ht="15" x14ac:dyDescent="0.25">
      <c r="A25" s="1"/>
      <c r="B25" s="7"/>
      <c r="C25" s="7"/>
      <c r="D25" s="7"/>
      <c r="E25" s="89"/>
      <c r="F25" s="89"/>
      <c r="G25" s="89"/>
      <c r="H25" s="89"/>
      <c r="I25" s="92"/>
      <c r="J25" s="91">
        <v>1</v>
      </c>
      <c r="K25" s="91">
        <v>2</v>
      </c>
      <c r="L25" s="91">
        <v>3</v>
      </c>
      <c r="M25" s="91">
        <v>4</v>
      </c>
      <c r="N25" s="91">
        <v>5</v>
      </c>
      <c r="O25" s="91">
        <v>6</v>
      </c>
      <c r="P25" s="91">
        <v>7</v>
      </c>
      <c r="Q25" s="91">
        <v>8</v>
      </c>
      <c r="R25" s="91">
        <v>9</v>
      </c>
      <c r="S25" s="91">
        <v>10</v>
      </c>
      <c r="T25" s="54"/>
      <c r="U25" s="54"/>
      <c r="V25" s="54"/>
      <c r="W25" s="54"/>
      <c r="X25" s="54"/>
      <c r="Y25" s="54"/>
      <c r="Z25" s="54"/>
    </row>
    <row r="26" spans="1:26" ht="15" x14ac:dyDescent="0.25">
      <c r="A26" s="1"/>
      <c r="B26" s="90" t="s">
        <v>117</v>
      </c>
      <c r="C26" s="7"/>
      <c r="D26" s="7"/>
      <c r="E26" s="89"/>
      <c r="F26" s="89"/>
      <c r="G26" s="89"/>
      <c r="H26" s="34" t="s">
        <v>116</v>
      </c>
      <c r="I26" s="34"/>
      <c r="J26" s="87">
        <f>J14*(1-J20)</f>
        <v>106.28862120000002</v>
      </c>
      <c r="K26" s="87">
        <f>K14*(1-K20)</f>
        <v>-184.76505318600002</v>
      </c>
      <c r="L26" s="87">
        <f>L14*(1-L20)</f>
        <v>144.11674148508004</v>
      </c>
      <c r="M26" s="87">
        <f t="shared" ref="M26:R26" si="4">M14*(1-M20)</f>
        <v>187.35176393060402</v>
      </c>
      <c r="N26" s="87">
        <f t="shared" si="4"/>
        <v>243.55729310978523</v>
      </c>
      <c r="O26" s="87">
        <f t="shared" si="4"/>
        <v>267.91302242076387</v>
      </c>
      <c r="P26" s="87">
        <f t="shared" si="4"/>
        <v>-491.17387443806706</v>
      </c>
      <c r="Q26" s="87">
        <f t="shared" si="4"/>
        <v>324.17475712912432</v>
      </c>
      <c r="R26" s="87">
        <f t="shared" si="4"/>
        <v>356.59223284203676</v>
      </c>
      <c r="S26" s="87">
        <f>S14*(1-S20)</f>
        <v>392.25145612624056</v>
      </c>
      <c r="T26" s="54"/>
      <c r="U26" s="54"/>
      <c r="V26" s="54"/>
      <c r="W26" s="54"/>
      <c r="X26" s="54"/>
      <c r="Y26" s="54"/>
      <c r="Z26" s="54"/>
    </row>
    <row r="27" spans="1:26" ht="15" x14ac:dyDescent="0.25">
      <c r="A27" s="1"/>
      <c r="B27" s="1"/>
      <c r="C27" s="3"/>
      <c r="D27" s="3"/>
      <c r="E27" s="3"/>
      <c r="F27" s="3"/>
      <c r="G27" s="3"/>
      <c r="H27" s="162" t="s">
        <v>6</v>
      </c>
      <c r="I27" s="163"/>
      <c r="J27" s="88">
        <f>WACC!D164</f>
        <v>8.217799471911677E-2</v>
      </c>
      <c r="K27" s="88">
        <f>WACC!E164</f>
        <v>8.1342361935931307E-2</v>
      </c>
      <c r="L27" s="88">
        <f>WACC!F164</f>
        <v>8.0506729152745843E-2</v>
      </c>
      <c r="M27" s="88">
        <f>WACC!G164</f>
        <v>7.9671096369560379E-2</v>
      </c>
      <c r="N27" s="88">
        <f>WACC!H164</f>
        <v>7.8835463586374915E-2</v>
      </c>
      <c r="O27" s="88">
        <f>WACC!I164</f>
        <v>7.7999830803189452E-2</v>
      </c>
      <c r="P27" s="88">
        <f>WACC!J164</f>
        <v>7.7164198020003988E-2</v>
      </c>
      <c r="Q27" s="88">
        <f>WACC!K164</f>
        <v>7.6328565236818524E-2</v>
      </c>
      <c r="R27" s="88">
        <f>WACC!L164</f>
        <v>7.549293245363306E-2</v>
      </c>
      <c r="S27" s="88">
        <f>WACC!M164</f>
        <v>7.4657299670447541E-2</v>
      </c>
      <c r="T27" s="134"/>
      <c r="U27" s="54"/>
      <c r="V27" s="54"/>
      <c r="W27" s="54"/>
      <c r="X27" s="54"/>
      <c r="Y27" s="54"/>
      <c r="Z27" s="54"/>
    </row>
    <row r="28" spans="1:26" ht="15" x14ac:dyDescent="0.25">
      <c r="A28" s="1"/>
      <c r="B28" s="1"/>
      <c r="C28" s="3"/>
      <c r="D28" s="3"/>
      <c r="E28" s="3"/>
      <c r="F28" s="3"/>
      <c r="G28" s="3"/>
      <c r="H28" s="34" t="s">
        <v>115</v>
      </c>
      <c r="I28" s="21"/>
      <c r="J28" s="87">
        <f t="shared" ref="J28:S28" si="5">J26/((1+J27)^J25)</f>
        <v>98.21731888716478</v>
      </c>
      <c r="K28" s="87">
        <f t="shared" si="5"/>
        <v>-158.01321062299061</v>
      </c>
      <c r="L28" s="87">
        <f t="shared" si="5"/>
        <v>114.24363323491258</v>
      </c>
      <c r="M28" s="87">
        <f t="shared" si="5"/>
        <v>137.87701924390782</v>
      </c>
      <c r="N28" s="87">
        <f t="shared" si="5"/>
        <v>166.6575786571409</v>
      </c>
      <c r="O28" s="87">
        <f t="shared" si="5"/>
        <v>170.71892512998636</v>
      </c>
      <c r="P28" s="87">
        <f t="shared" si="5"/>
        <v>-291.91868031890209</v>
      </c>
      <c r="Q28" s="87">
        <f t="shared" si="5"/>
        <v>179.97834876292973</v>
      </c>
      <c r="R28" s="87">
        <f t="shared" si="5"/>
        <v>185.2268035539374</v>
      </c>
      <c r="S28" s="87">
        <f t="shared" si="5"/>
        <v>190.9258067676426</v>
      </c>
      <c r="T28" s="54"/>
      <c r="U28" s="54"/>
      <c r="V28" s="54"/>
      <c r="W28" s="54"/>
      <c r="X28" s="54"/>
      <c r="Y28" s="54"/>
      <c r="Z28" s="54"/>
    </row>
    <row r="29" spans="1:26" ht="15.75" thickBot="1" x14ac:dyDescent="0.3">
      <c r="A29" s="1"/>
      <c r="B29" s="1"/>
      <c r="C29" s="1"/>
      <c r="D29" s="1"/>
      <c r="E29" s="1"/>
      <c r="F29" s="1"/>
      <c r="G29" s="1"/>
      <c r="H29" s="1"/>
      <c r="I29" s="86" t="s">
        <v>114</v>
      </c>
      <c r="J29" s="85">
        <f>SUM(J28:O28)</f>
        <v>529.70126453012176</v>
      </c>
      <c r="K29" s="1"/>
      <c r="L29" s="1"/>
      <c r="M29" s="1"/>
      <c r="N29" s="1"/>
      <c r="O29" s="52"/>
      <c r="P29" s="60"/>
      <c r="Q29" s="60"/>
      <c r="R29" s="59"/>
      <c r="S29" s="59"/>
      <c r="T29" s="54"/>
      <c r="U29" s="54"/>
      <c r="V29" s="54"/>
      <c r="W29" s="54"/>
      <c r="X29" s="54"/>
      <c r="Y29" s="54"/>
      <c r="Z29" s="54"/>
    </row>
    <row r="30" spans="1:26" ht="15" x14ac:dyDescent="0.25">
      <c r="A30" s="1"/>
      <c r="B30" s="1" t="s">
        <v>113</v>
      </c>
      <c r="C30" s="84">
        <v>0.04</v>
      </c>
      <c r="D30" s="1"/>
      <c r="E30" s="1"/>
      <c r="F30" s="1"/>
      <c r="G30" s="1"/>
      <c r="H30" s="1"/>
      <c r="I30" s="3"/>
      <c r="J30" s="7"/>
      <c r="K30" s="1"/>
      <c r="L30" s="1"/>
      <c r="M30" s="1"/>
      <c r="N30" s="1"/>
      <c r="O30" s="52"/>
      <c r="P30" s="60"/>
      <c r="Q30" s="60"/>
      <c r="R30" s="59"/>
      <c r="S30" s="59"/>
      <c r="T30" s="54"/>
      <c r="U30" s="54"/>
      <c r="V30" s="54"/>
      <c r="W30" s="54"/>
      <c r="X30" s="54"/>
      <c r="Y30" s="54"/>
      <c r="Z30" s="54"/>
    </row>
    <row r="31" spans="1:26" ht="15" x14ac:dyDescent="0.25">
      <c r="A31" s="1" t="s">
        <v>105</v>
      </c>
      <c r="B31" s="1" t="s">
        <v>112</v>
      </c>
      <c r="C31" s="1"/>
      <c r="D31" s="1"/>
      <c r="E31" s="1"/>
      <c r="F31" s="1"/>
      <c r="G31" s="1"/>
      <c r="H31" s="1"/>
      <c r="I31" s="1"/>
      <c r="J31" s="83"/>
      <c r="K31" s="1"/>
      <c r="L31" s="1"/>
      <c r="M31" s="1"/>
      <c r="N31" s="82">
        <f>S28/(S27-C30)</f>
        <v>5508.9637272128857</v>
      </c>
      <c r="O31" s="52"/>
      <c r="P31" s="60"/>
      <c r="Q31" s="60"/>
      <c r="R31" s="59"/>
      <c r="S31" s="59"/>
      <c r="T31" s="54"/>
      <c r="U31" s="54"/>
      <c r="V31" s="54"/>
      <c r="W31" s="54"/>
      <c r="X31" s="54"/>
      <c r="Y31" s="54"/>
      <c r="Z31" s="54"/>
    </row>
    <row r="32" spans="1:26" ht="15" x14ac:dyDescent="0.25">
      <c r="A32" s="1"/>
      <c r="B32" s="76" t="s">
        <v>111</v>
      </c>
      <c r="C32" s="76"/>
      <c r="D32" s="76"/>
      <c r="E32" s="76"/>
      <c r="F32" s="76"/>
      <c r="G32" s="76"/>
      <c r="H32" s="76"/>
      <c r="I32" s="76"/>
      <c r="J32" s="76"/>
      <c r="K32" s="76"/>
      <c r="L32" s="76"/>
      <c r="M32" s="76"/>
      <c r="N32" s="81">
        <f>N31/((1+S27)^S25)</f>
        <v>2681.4517260409903</v>
      </c>
      <c r="O32" s="52"/>
      <c r="P32" s="60"/>
      <c r="Q32" s="60"/>
      <c r="R32" s="59"/>
      <c r="S32" s="59"/>
      <c r="T32" s="54"/>
      <c r="U32" s="54"/>
      <c r="V32" s="54"/>
      <c r="W32" s="54"/>
      <c r="X32" s="54"/>
      <c r="Y32" s="54"/>
      <c r="Z32" s="54"/>
    </row>
    <row r="33" spans="1:26" ht="15" x14ac:dyDescent="0.25">
      <c r="A33" s="1"/>
      <c r="B33" s="3" t="s">
        <v>110</v>
      </c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80">
        <f>J29+N32</f>
        <v>3211.1529905711122</v>
      </c>
      <c r="O33" s="52"/>
      <c r="P33" s="60"/>
      <c r="Q33" s="60"/>
      <c r="R33" s="59"/>
      <c r="S33" s="59"/>
      <c r="T33" s="54"/>
      <c r="U33" s="54"/>
      <c r="V33" s="54"/>
      <c r="W33" s="54"/>
      <c r="X33" s="54"/>
      <c r="Y33" s="54"/>
      <c r="Z33" s="54"/>
    </row>
    <row r="34" spans="1:26" ht="15" x14ac:dyDescent="0.25">
      <c r="A34" s="1"/>
      <c r="B34" s="79" t="s">
        <v>109</v>
      </c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8">
        <v>178.4</v>
      </c>
      <c r="O34" s="52"/>
      <c r="P34" s="60"/>
      <c r="Q34" s="60"/>
      <c r="R34" s="59"/>
      <c r="S34" s="59"/>
      <c r="T34" s="54"/>
      <c r="U34" s="54"/>
      <c r="V34" s="54"/>
      <c r="W34" s="54"/>
      <c r="X34" s="54"/>
      <c r="Y34" s="54"/>
      <c r="Z34" s="54"/>
    </row>
    <row r="35" spans="1:26" ht="15" x14ac:dyDescent="0.25">
      <c r="A35" s="1"/>
      <c r="B35" s="78" t="s">
        <v>108</v>
      </c>
      <c r="C35" s="76"/>
      <c r="D35" s="76"/>
      <c r="E35" s="76"/>
      <c r="F35" s="76"/>
      <c r="G35" s="76"/>
      <c r="H35" s="76"/>
      <c r="I35" s="76"/>
      <c r="J35" s="76"/>
      <c r="K35" s="76"/>
      <c r="L35" s="76"/>
      <c r="M35" s="76"/>
      <c r="N35" s="8">
        <v>606.4</v>
      </c>
      <c r="O35" s="52"/>
      <c r="P35" s="60"/>
      <c r="Q35" s="60"/>
      <c r="R35" s="59"/>
      <c r="S35" s="59"/>
      <c r="T35" s="54"/>
      <c r="U35" s="54"/>
      <c r="V35" s="54"/>
      <c r="W35" s="54"/>
      <c r="X35" s="54"/>
      <c r="Y35" s="54"/>
      <c r="Z35" s="54"/>
    </row>
    <row r="36" spans="1:26" ht="15" x14ac:dyDescent="0.25">
      <c r="A36" s="1"/>
      <c r="B36" s="3" t="s">
        <v>107</v>
      </c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77">
        <f>N33+N34-N35</f>
        <v>2783.1529905711122</v>
      </c>
      <c r="O36" s="52"/>
      <c r="P36" s="60"/>
      <c r="Q36" s="60"/>
      <c r="R36" s="59"/>
      <c r="S36" s="59"/>
      <c r="T36" s="54"/>
      <c r="U36" s="54"/>
      <c r="V36" s="54"/>
      <c r="W36" s="54"/>
      <c r="X36" s="54"/>
      <c r="Y36" s="54"/>
      <c r="Z36" s="54"/>
    </row>
    <row r="37" spans="1:26" ht="15" x14ac:dyDescent="0.25">
      <c r="A37" s="1"/>
      <c r="B37" s="76" t="s">
        <v>106</v>
      </c>
      <c r="C37" s="76"/>
      <c r="D37" s="76"/>
      <c r="E37" s="76"/>
      <c r="F37" s="76"/>
      <c r="G37" s="76"/>
      <c r="H37" s="76"/>
      <c r="I37" s="76"/>
      <c r="J37" s="76"/>
      <c r="K37" s="76"/>
      <c r="L37" s="76"/>
      <c r="M37" s="76"/>
      <c r="N37" s="75">
        <f>145.98</f>
        <v>145.97999999999999</v>
      </c>
      <c r="O37" s="52"/>
      <c r="P37" s="60"/>
      <c r="Q37" s="60"/>
      <c r="R37" s="59"/>
      <c r="S37" s="59"/>
      <c r="T37" s="54"/>
      <c r="U37" s="54"/>
      <c r="V37" s="54"/>
      <c r="W37" s="54"/>
      <c r="X37" s="54"/>
      <c r="Y37" s="54"/>
      <c r="Z37" s="54"/>
    </row>
    <row r="38" spans="1:26" ht="15" x14ac:dyDescent="0.25">
      <c r="A38" s="1" t="s">
        <v>105</v>
      </c>
      <c r="B38" s="3" t="s">
        <v>104</v>
      </c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74">
        <f>N36/N37</f>
        <v>19.06530340163798</v>
      </c>
      <c r="O38" s="52"/>
      <c r="P38" s="60"/>
      <c r="Q38" s="60"/>
      <c r="R38" s="59"/>
      <c r="S38" s="59"/>
      <c r="T38" s="54"/>
      <c r="U38" s="54"/>
      <c r="V38" s="54"/>
      <c r="W38" s="54"/>
      <c r="X38" s="54"/>
      <c r="Y38" s="54"/>
      <c r="Z38" s="54"/>
    </row>
    <row r="39" spans="1:26" ht="15.75" thickBot="1" x14ac:dyDescent="0.3">
      <c r="A39" s="1"/>
      <c r="B39" s="3" t="s">
        <v>103</v>
      </c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74">
        <v>13</v>
      </c>
      <c r="O39" s="52"/>
      <c r="P39" s="60"/>
      <c r="Q39" s="60"/>
      <c r="R39" s="59"/>
      <c r="S39" s="59"/>
      <c r="T39" s="54"/>
      <c r="U39" s="54"/>
      <c r="V39" s="54"/>
      <c r="W39" s="54"/>
      <c r="X39" s="54"/>
      <c r="Y39" s="54"/>
      <c r="Z39" s="54"/>
    </row>
    <row r="40" spans="1:26" ht="15.75" thickBot="1" x14ac:dyDescent="0.3">
      <c r="A40" s="1"/>
      <c r="B40" s="3" t="s">
        <v>102</v>
      </c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41">
        <f>(N38-N39)/N39</f>
        <v>0.46656180012599846</v>
      </c>
      <c r="O40" s="52"/>
      <c r="P40" s="60"/>
      <c r="Q40" s="60"/>
      <c r="R40" s="59"/>
      <c r="S40" s="59"/>
      <c r="T40" s="54"/>
      <c r="U40" s="54"/>
      <c r="V40" s="54"/>
      <c r="W40" s="54"/>
      <c r="X40" s="54"/>
      <c r="Y40" s="54"/>
      <c r="Z40" s="54"/>
    </row>
    <row r="41" spans="1:26" ht="15" x14ac:dyDescent="0.25">
      <c r="A41" s="73"/>
      <c r="B41" s="73"/>
      <c r="C41" s="73"/>
      <c r="D41" s="73"/>
      <c r="E41" s="73"/>
      <c r="F41" s="73"/>
      <c r="G41" s="73"/>
      <c r="H41" s="73"/>
      <c r="I41" s="73"/>
      <c r="J41" s="73"/>
      <c r="K41" s="73"/>
      <c r="L41" s="73"/>
      <c r="M41" s="73"/>
      <c r="N41" s="1"/>
      <c r="O41" s="52"/>
      <c r="P41" s="60"/>
      <c r="Q41" s="60"/>
      <c r="R41" s="59"/>
      <c r="S41" s="59"/>
      <c r="T41" s="54"/>
      <c r="U41" s="54"/>
      <c r="V41" s="54"/>
      <c r="W41" s="54"/>
      <c r="X41" s="54"/>
      <c r="Y41" s="54"/>
      <c r="Z41" s="54"/>
    </row>
    <row r="42" spans="1:26" ht="15" x14ac:dyDescent="0.25">
      <c r="A42" s="62"/>
      <c r="B42" s="60"/>
      <c r="C42" s="60"/>
      <c r="D42" s="60"/>
      <c r="E42" s="60"/>
      <c r="F42" s="60"/>
      <c r="G42" s="60"/>
      <c r="H42" s="60"/>
      <c r="I42" s="60"/>
      <c r="J42" s="60"/>
      <c r="K42" s="60"/>
      <c r="L42" s="60"/>
      <c r="M42" s="60"/>
      <c r="N42" s="60"/>
      <c r="O42" s="60"/>
      <c r="P42" s="60"/>
      <c r="Q42" s="60"/>
      <c r="R42" s="59"/>
      <c r="S42" s="59"/>
      <c r="T42" s="54"/>
      <c r="U42" s="54"/>
      <c r="V42" s="54"/>
      <c r="W42" s="54"/>
      <c r="X42" s="54"/>
      <c r="Y42" s="54"/>
      <c r="Z42" s="54"/>
    </row>
    <row r="43" spans="1:26" ht="15" x14ac:dyDescent="0.25">
      <c r="A43" s="60"/>
      <c r="B43" s="68"/>
      <c r="C43" s="68"/>
      <c r="D43" s="68"/>
      <c r="E43" s="68"/>
      <c r="F43" s="68"/>
      <c r="G43" s="68"/>
      <c r="H43" s="68"/>
      <c r="I43" s="68"/>
      <c r="J43" s="72"/>
      <c r="K43" s="72"/>
      <c r="L43" s="72"/>
      <c r="M43" s="72"/>
      <c r="N43" s="72"/>
      <c r="O43" s="72"/>
      <c r="P43" s="60"/>
      <c r="Q43" s="60"/>
      <c r="R43" s="59"/>
      <c r="S43" s="59"/>
      <c r="T43" s="54"/>
      <c r="U43" s="54"/>
      <c r="V43" s="54"/>
      <c r="W43" s="54"/>
      <c r="X43" s="54"/>
      <c r="Y43" s="54"/>
      <c r="Z43" s="54"/>
    </row>
    <row r="44" spans="1:26" ht="15" x14ac:dyDescent="0.25">
      <c r="A44" s="60"/>
      <c r="B44" s="68"/>
      <c r="C44" s="68"/>
      <c r="D44" s="68"/>
      <c r="E44" s="68"/>
      <c r="F44" s="68"/>
      <c r="G44" s="68"/>
      <c r="H44" s="161"/>
      <c r="I44" s="161"/>
      <c r="J44" s="68"/>
      <c r="K44" s="68"/>
      <c r="L44" s="68"/>
      <c r="M44" s="68"/>
      <c r="N44" s="68"/>
      <c r="O44" s="68"/>
      <c r="P44" s="60"/>
      <c r="Q44" s="60"/>
      <c r="R44" s="59"/>
      <c r="S44" s="59"/>
      <c r="T44" s="54"/>
      <c r="U44" s="54"/>
      <c r="V44" s="54"/>
      <c r="W44" s="54"/>
      <c r="X44" s="54"/>
      <c r="Y44" s="54"/>
      <c r="Z44" s="54"/>
    </row>
    <row r="45" spans="1:26" ht="15" x14ac:dyDescent="0.25">
      <c r="A45" s="60"/>
      <c r="B45" s="60"/>
      <c r="C45" s="62"/>
      <c r="D45" s="62"/>
      <c r="E45" s="62"/>
      <c r="F45" s="62"/>
      <c r="G45" s="62"/>
      <c r="H45" s="161"/>
      <c r="I45" s="161"/>
      <c r="J45" s="71"/>
      <c r="K45" s="71"/>
      <c r="L45" s="71"/>
      <c r="M45" s="71"/>
      <c r="N45" s="71"/>
      <c r="O45" s="71"/>
      <c r="P45" s="60"/>
      <c r="Q45" s="60"/>
      <c r="R45" s="59"/>
      <c r="S45" s="59"/>
      <c r="T45" s="54"/>
      <c r="U45" s="54"/>
      <c r="V45" s="54"/>
      <c r="W45" s="54"/>
      <c r="X45" s="54"/>
      <c r="Y45" s="54"/>
      <c r="Z45" s="54"/>
    </row>
    <row r="46" spans="1:26" ht="15" x14ac:dyDescent="0.25">
      <c r="A46" s="60"/>
      <c r="B46" s="60"/>
      <c r="C46" s="62"/>
      <c r="D46" s="62"/>
      <c r="E46" s="62"/>
      <c r="F46" s="62"/>
      <c r="G46" s="62"/>
      <c r="H46" s="62"/>
      <c r="I46" s="60"/>
      <c r="J46" s="68"/>
      <c r="K46" s="68"/>
      <c r="L46" s="68"/>
      <c r="M46" s="68"/>
      <c r="N46" s="68"/>
      <c r="O46" s="68"/>
      <c r="P46" s="60"/>
      <c r="Q46" s="60"/>
      <c r="R46" s="59"/>
      <c r="S46" s="59"/>
      <c r="T46" s="54"/>
      <c r="U46" s="54"/>
      <c r="V46" s="54"/>
      <c r="W46" s="54"/>
      <c r="X46" s="54"/>
      <c r="Y46" s="54"/>
      <c r="Z46" s="54"/>
    </row>
    <row r="47" spans="1:26" ht="15" x14ac:dyDescent="0.25">
      <c r="A47" s="60"/>
      <c r="B47" s="60"/>
      <c r="C47" s="60"/>
      <c r="D47" s="60"/>
      <c r="E47" s="60"/>
      <c r="F47" s="60"/>
      <c r="G47" s="60"/>
      <c r="H47" s="60"/>
      <c r="I47" s="62"/>
      <c r="J47" s="68"/>
      <c r="K47" s="60"/>
      <c r="L47" s="60"/>
      <c r="M47" s="60"/>
      <c r="N47" s="60"/>
      <c r="O47" s="60"/>
      <c r="P47" s="60"/>
      <c r="Q47" s="60"/>
      <c r="R47" s="59"/>
      <c r="S47" s="59"/>
      <c r="T47" s="54"/>
      <c r="U47" s="54"/>
      <c r="V47" s="54"/>
      <c r="W47" s="54"/>
      <c r="X47" s="54"/>
      <c r="Y47" s="54"/>
      <c r="Z47" s="54"/>
    </row>
    <row r="48" spans="1:26" ht="15" x14ac:dyDescent="0.25">
      <c r="A48" s="60"/>
      <c r="B48" s="60"/>
      <c r="C48" s="70"/>
      <c r="D48" s="60"/>
      <c r="E48" s="60"/>
      <c r="F48" s="60"/>
      <c r="G48" s="60"/>
      <c r="H48" s="60"/>
      <c r="I48" s="62"/>
      <c r="J48" s="68"/>
      <c r="K48" s="60"/>
      <c r="L48" s="60"/>
      <c r="M48" s="60"/>
      <c r="N48" s="60"/>
      <c r="O48" s="60"/>
      <c r="P48" s="60"/>
      <c r="Q48" s="60"/>
      <c r="R48" s="59"/>
      <c r="S48" s="59"/>
      <c r="T48" s="54"/>
      <c r="U48" s="54"/>
      <c r="V48" s="54"/>
      <c r="W48" s="54"/>
      <c r="X48" s="54"/>
      <c r="Y48" s="54"/>
      <c r="Z48" s="54"/>
    </row>
    <row r="49" spans="1:26" ht="15" x14ac:dyDescent="0.25">
      <c r="A49" s="60"/>
      <c r="B49" s="60"/>
      <c r="C49" s="60"/>
      <c r="D49" s="60"/>
      <c r="E49" s="60"/>
      <c r="F49" s="60"/>
      <c r="G49" s="60"/>
      <c r="H49" s="60"/>
      <c r="I49" s="60"/>
      <c r="J49" s="69"/>
      <c r="K49" s="60"/>
      <c r="L49" s="60"/>
      <c r="M49" s="60"/>
      <c r="N49" s="68"/>
      <c r="O49" s="60"/>
      <c r="P49" s="60"/>
      <c r="Q49" s="60"/>
      <c r="R49" s="59"/>
      <c r="S49" s="59"/>
      <c r="T49" s="54"/>
      <c r="U49" s="54"/>
      <c r="V49" s="54"/>
      <c r="W49" s="54"/>
      <c r="X49" s="54"/>
      <c r="Y49" s="54"/>
      <c r="Z49" s="54"/>
    </row>
    <row r="50" spans="1:26" ht="15" x14ac:dyDescent="0.25">
      <c r="A50" s="60"/>
      <c r="B50" s="60"/>
      <c r="C50" s="60"/>
      <c r="D50" s="60"/>
      <c r="E50" s="60"/>
      <c r="F50" s="60"/>
      <c r="G50" s="60"/>
      <c r="H50" s="60"/>
      <c r="I50" s="60"/>
      <c r="J50" s="60"/>
      <c r="K50" s="60"/>
      <c r="L50" s="60"/>
      <c r="M50" s="60"/>
      <c r="N50" s="68"/>
      <c r="O50" s="60"/>
      <c r="P50" s="60"/>
      <c r="Q50" s="60"/>
      <c r="R50" s="59"/>
      <c r="S50" s="59"/>
      <c r="T50" s="54"/>
      <c r="U50" s="54"/>
      <c r="V50" s="54"/>
      <c r="W50" s="54"/>
      <c r="X50" s="54"/>
      <c r="Y50" s="54"/>
      <c r="Z50" s="54"/>
    </row>
    <row r="51" spans="1:26" ht="15" x14ac:dyDescent="0.25">
      <c r="A51" s="60"/>
      <c r="B51" s="62"/>
      <c r="C51" s="62"/>
      <c r="D51" s="62"/>
      <c r="E51" s="62"/>
      <c r="F51" s="62"/>
      <c r="G51" s="62"/>
      <c r="H51" s="62"/>
      <c r="I51" s="62"/>
      <c r="J51" s="62"/>
      <c r="K51" s="62"/>
      <c r="L51" s="62"/>
      <c r="M51" s="62"/>
      <c r="N51" s="67"/>
      <c r="O51" s="60"/>
      <c r="P51" s="60"/>
      <c r="Q51" s="60"/>
      <c r="R51" s="59"/>
      <c r="S51" s="59"/>
      <c r="T51" s="54"/>
      <c r="U51" s="54"/>
      <c r="V51" s="54"/>
      <c r="W51" s="54"/>
      <c r="X51" s="54"/>
      <c r="Y51" s="54"/>
      <c r="Z51" s="54"/>
    </row>
    <row r="52" spans="1:26" ht="15" x14ac:dyDescent="0.25">
      <c r="A52" s="60"/>
      <c r="B52" s="66"/>
      <c r="C52" s="60"/>
      <c r="D52" s="60"/>
      <c r="E52" s="60"/>
      <c r="F52" s="60"/>
      <c r="G52" s="60"/>
      <c r="H52" s="60"/>
      <c r="I52" s="60"/>
      <c r="J52" s="60"/>
      <c r="K52" s="60"/>
      <c r="L52" s="60"/>
      <c r="M52" s="60"/>
      <c r="N52" s="65"/>
      <c r="O52" s="60"/>
      <c r="P52" s="60"/>
      <c r="Q52" s="60"/>
      <c r="R52" s="59"/>
      <c r="S52" s="59"/>
      <c r="T52" s="54"/>
      <c r="U52" s="54"/>
      <c r="V52" s="54"/>
      <c r="W52" s="54"/>
      <c r="X52" s="54"/>
      <c r="Y52" s="54"/>
      <c r="Z52" s="54"/>
    </row>
    <row r="53" spans="1:26" ht="15" x14ac:dyDescent="0.25">
      <c r="A53" s="60"/>
      <c r="B53" s="66"/>
      <c r="C53" s="60"/>
      <c r="D53" s="60"/>
      <c r="E53" s="60"/>
      <c r="F53" s="60"/>
      <c r="G53" s="60"/>
      <c r="H53" s="60"/>
      <c r="I53" s="60"/>
      <c r="J53" s="60"/>
      <c r="K53" s="60"/>
      <c r="L53" s="60"/>
      <c r="M53" s="60"/>
      <c r="N53" s="65"/>
      <c r="O53" s="60"/>
      <c r="P53" s="60"/>
      <c r="Q53" s="60"/>
      <c r="R53" s="59"/>
      <c r="S53" s="59"/>
      <c r="T53" s="54"/>
      <c r="U53" s="54"/>
      <c r="V53" s="54"/>
      <c r="W53" s="54"/>
      <c r="X53" s="54"/>
      <c r="Y53" s="54"/>
      <c r="Z53" s="54"/>
    </row>
    <row r="54" spans="1:26" ht="15" x14ac:dyDescent="0.25">
      <c r="A54" s="60"/>
      <c r="B54" s="62"/>
      <c r="C54" s="62"/>
      <c r="D54" s="62"/>
      <c r="E54" s="62"/>
      <c r="F54" s="62"/>
      <c r="G54" s="62"/>
      <c r="H54" s="62"/>
      <c r="I54" s="62"/>
      <c r="J54" s="62"/>
      <c r="K54" s="62"/>
      <c r="L54" s="62"/>
      <c r="M54" s="62"/>
      <c r="N54" s="64"/>
      <c r="O54" s="60"/>
      <c r="P54" s="60"/>
      <c r="Q54" s="60"/>
      <c r="R54" s="59"/>
      <c r="S54" s="59"/>
      <c r="T54" s="54"/>
      <c r="U54" s="54"/>
      <c r="V54" s="54"/>
      <c r="W54" s="54"/>
      <c r="X54" s="54"/>
      <c r="Y54" s="54"/>
      <c r="Z54" s="54"/>
    </row>
    <row r="55" spans="1:26" ht="15" x14ac:dyDescent="0.25">
      <c r="A55" s="60"/>
      <c r="B55" s="60"/>
      <c r="C55" s="60"/>
      <c r="D55" s="60"/>
      <c r="E55" s="60"/>
      <c r="F55" s="60"/>
      <c r="G55" s="60"/>
      <c r="H55" s="60"/>
      <c r="I55" s="60"/>
      <c r="J55" s="60"/>
      <c r="K55" s="60"/>
      <c r="L55" s="60"/>
      <c r="M55" s="60"/>
      <c r="N55" s="63"/>
      <c r="O55" s="60"/>
      <c r="P55" s="60"/>
      <c r="Q55" s="60"/>
      <c r="R55" s="59"/>
      <c r="S55" s="59"/>
      <c r="T55" s="54"/>
      <c r="U55" s="54"/>
      <c r="V55" s="54"/>
      <c r="W55" s="54"/>
      <c r="X55" s="54"/>
      <c r="Y55" s="54"/>
      <c r="Z55" s="54"/>
    </row>
    <row r="56" spans="1:26" ht="15" x14ac:dyDescent="0.25">
      <c r="A56" s="60"/>
      <c r="B56" s="62"/>
      <c r="C56" s="62"/>
      <c r="D56" s="62"/>
      <c r="E56" s="62"/>
      <c r="F56" s="62"/>
      <c r="G56" s="62"/>
      <c r="H56" s="62"/>
      <c r="I56" s="62"/>
      <c r="J56" s="62"/>
      <c r="K56" s="62"/>
      <c r="L56" s="62"/>
      <c r="M56" s="62"/>
      <c r="N56" s="61"/>
      <c r="O56" s="60"/>
      <c r="P56" s="60"/>
      <c r="Q56" s="60"/>
      <c r="R56" s="59"/>
      <c r="S56" s="59"/>
      <c r="T56" s="54"/>
      <c r="U56" s="54"/>
      <c r="V56" s="54"/>
      <c r="W56" s="54"/>
      <c r="X56" s="54"/>
      <c r="Y56" s="54"/>
      <c r="Z56" s="54"/>
    </row>
    <row r="57" spans="1:26" ht="15" x14ac:dyDescent="0.25">
      <c r="A57" s="60"/>
      <c r="B57" s="62"/>
      <c r="C57" s="62"/>
      <c r="D57" s="62"/>
      <c r="E57" s="62"/>
      <c r="F57" s="62"/>
      <c r="G57" s="62"/>
      <c r="H57" s="62"/>
      <c r="I57" s="62"/>
      <c r="J57" s="62"/>
      <c r="K57" s="62"/>
      <c r="L57" s="62"/>
      <c r="M57" s="62"/>
      <c r="N57" s="61"/>
      <c r="O57" s="60"/>
      <c r="P57" s="60"/>
      <c r="Q57" s="60"/>
      <c r="R57" s="59"/>
      <c r="S57" s="59"/>
      <c r="T57" s="54"/>
      <c r="U57" s="54"/>
      <c r="V57" s="54"/>
      <c r="W57" s="54"/>
      <c r="X57" s="54"/>
      <c r="Y57" s="54"/>
      <c r="Z57" s="54"/>
    </row>
    <row r="58" spans="1:26" ht="15" x14ac:dyDescent="0.25">
      <c r="A58" s="56"/>
      <c r="B58" s="58"/>
      <c r="C58" s="55"/>
      <c r="D58" s="55"/>
      <c r="E58" s="55"/>
      <c r="F58" s="55"/>
      <c r="G58" s="55"/>
      <c r="H58" s="55"/>
      <c r="I58" s="55"/>
      <c r="J58" s="55"/>
      <c r="K58" s="55"/>
      <c r="L58" s="55"/>
      <c r="M58" s="55"/>
      <c r="N58" s="57"/>
      <c r="O58" s="55"/>
      <c r="P58" s="55"/>
      <c r="Q58" s="55"/>
      <c r="R58" s="54"/>
      <c r="S58" s="54"/>
      <c r="T58" s="54"/>
      <c r="U58" s="54"/>
      <c r="V58" s="54"/>
      <c r="W58" s="54"/>
      <c r="X58" s="54"/>
      <c r="Y58" s="54"/>
      <c r="Z58" s="54"/>
    </row>
    <row r="59" spans="1:26" ht="15" x14ac:dyDescent="0.25">
      <c r="A59" s="56"/>
      <c r="B59" s="55"/>
      <c r="C59" s="55"/>
      <c r="D59" s="55"/>
      <c r="E59" s="55"/>
      <c r="F59" s="55"/>
      <c r="G59" s="55"/>
      <c r="H59" s="55"/>
      <c r="I59" s="55"/>
      <c r="J59" s="55"/>
      <c r="K59" s="55"/>
      <c r="L59" s="55"/>
      <c r="M59" s="55"/>
      <c r="N59" s="55"/>
      <c r="O59" s="55"/>
      <c r="P59" s="55"/>
      <c r="Q59" s="55"/>
      <c r="R59" s="54"/>
      <c r="S59" s="54"/>
      <c r="T59" s="54"/>
      <c r="U59" s="54"/>
      <c r="V59" s="54"/>
      <c r="W59" s="54"/>
      <c r="X59" s="54"/>
      <c r="Y59" s="54"/>
      <c r="Z59" s="54"/>
    </row>
    <row r="60" spans="1:26" x14ac:dyDescent="0.2"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</row>
    <row r="61" spans="1:26" x14ac:dyDescent="0.2"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</row>
    <row r="62" spans="1:26" x14ac:dyDescent="0.2"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</row>
    <row r="63" spans="1:26" x14ac:dyDescent="0.2"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</row>
  </sheetData>
  <mergeCells count="3">
    <mergeCell ref="H45:I45"/>
    <mergeCell ref="H44:I44"/>
    <mergeCell ref="H27:I27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605011-17E7-4C97-AAF7-562E082E89B3}">
  <dimension ref="C7:P83"/>
  <sheetViews>
    <sheetView showGridLines="0" topLeftCell="A58" workbookViewId="0">
      <selection activeCell="C72" sqref="C72:E76"/>
    </sheetView>
  </sheetViews>
  <sheetFormatPr defaultColWidth="9.125" defaultRowHeight="15" x14ac:dyDescent="0.25"/>
  <cols>
    <col min="1" max="3" width="9.125" style="1"/>
    <col min="4" max="4" width="10.25" style="1" bestFit="1" customWidth="1"/>
    <col min="5" max="5" width="16" style="1" customWidth="1"/>
    <col min="6" max="6" width="13" style="1" customWidth="1"/>
    <col min="7" max="7" width="16.625" style="1" customWidth="1"/>
    <col min="8" max="8" width="14.375" style="1" customWidth="1"/>
    <col min="9" max="9" width="16.375" style="1" customWidth="1"/>
    <col min="10" max="10" width="9.125" style="1"/>
    <col min="11" max="11" width="11.875" style="1" customWidth="1"/>
    <col min="12" max="12" width="17.875" style="1" customWidth="1"/>
    <col min="13" max="16384" width="9.125" style="1"/>
  </cols>
  <sheetData>
    <row r="7" spans="3:9" x14ac:dyDescent="0.25">
      <c r="C7" s="1" t="s">
        <v>7</v>
      </c>
      <c r="D7" s="1" t="s">
        <v>25</v>
      </c>
      <c r="E7" s="1" t="s">
        <v>26</v>
      </c>
      <c r="F7" s="1" t="s">
        <v>27</v>
      </c>
      <c r="G7" s="1" t="s">
        <v>28</v>
      </c>
      <c r="H7" s="1" t="s">
        <v>29</v>
      </c>
    </row>
    <row r="8" spans="3:9" x14ac:dyDescent="0.25">
      <c r="C8" s="1" t="s">
        <v>13</v>
      </c>
      <c r="D8" s="7"/>
      <c r="E8" s="7"/>
      <c r="F8" s="7"/>
      <c r="G8" s="7"/>
      <c r="H8" s="7"/>
      <c r="I8" s="7"/>
    </row>
    <row r="9" spans="3:9" x14ac:dyDescent="0.25">
      <c r="C9" s="1" t="s">
        <v>14</v>
      </c>
      <c r="D9" s="7"/>
      <c r="E9" s="7"/>
      <c r="F9" s="7"/>
      <c r="G9" s="7"/>
      <c r="H9" s="7"/>
      <c r="I9" s="7"/>
    </row>
    <row r="10" spans="3:9" x14ac:dyDescent="0.25">
      <c r="C10" s="1" t="s">
        <v>15</v>
      </c>
      <c r="D10" s="7"/>
      <c r="E10" s="7"/>
      <c r="F10" s="7"/>
      <c r="G10" s="7"/>
      <c r="H10" s="7"/>
      <c r="I10" s="7"/>
    </row>
    <row r="11" spans="3:9" x14ac:dyDescent="0.25">
      <c r="C11" s="1" t="s">
        <v>16</v>
      </c>
      <c r="D11" s="7"/>
      <c r="E11" s="7"/>
      <c r="F11" s="7"/>
      <c r="G11" s="7"/>
      <c r="H11" s="7"/>
      <c r="I11" s="7"/>
    </row>
    <row r="12" spans="3:9" x14ac:dyDescent="0.25">
      <c r="C12" s="1" t="s">
        <v>17</v>
      </c>
      <c r="D12" s="7"/>
      <c r="E12" s="7"/>
      <c r="F12" s="7"/>
      <c r="G12" s="7"/>
      <c r="H12" s="7"/>
      <c r="I12" s="7"/>
    </row>
    <row r="13" spans="3:9" x14ac:dyDescent="0.25">
      <c r="C13" s="1" t="s">
        <v>18</v>
      </c>
      <c r="D13" s="7"/>
      <c r="E13" s="7"/>
      <c r="F13" s="7"/>
      <c r="G13" s="7"/>
      <c r="H13" s="7"/>
      <c r="I13" s="7"/>
    </row>
    <row r="14" spans="3:9" x14ac:dyDescent="0.25">
      <c r="C14" s="1" t="s">
        <v>19</v>
      </c>
      <c r="D14" s="7"/>
      <c r="E14" s="7"/>
      <c r="F14" s="7"/>
      <c r="G14" s="7"/>
      <c r="H14" s="7"/>
      <c r="I14" s="7"/>
    </row>
    <row r="15" spans="3:9" x14ac:dyDescent="0.25">
      <c r="C15" s="1" t="s">
        <v>20</v>
      </c>
      <c r="D15" s="7"/>
      <c r="E15" s="7"/>
      <c r="F15" s="7"/>
      <c r="G15" s="7"/>
      <c r="H15" s="7"/>
      <c r="I15" s="7"/>
    </row>
    <row r="16" spans="3:9" x14ac:dyDescent="0.25">
      <c r="C16" s="1" t="s">
        <v>21</v>
      </c>
      <c r="D16" s="7"/>
      <c r="E16" s="7"/>
      <c r="F16" s="7"/>
      <c r="G16" s="7"/>
      <c r="H16" s="7"/>
      <c r="I16" s="7"/>
    </row>
    <row r="17" spans="3:16" x14ac:dyDescent="0.25">
      <c r="C17" s="1" t="s">
        <v>22</v>
      </c>
      <c r="D17" s="7">
        <v>229.52</v>
      </c>
      <c r="E17" s="7">
        <v>35.115000000000002</v>
      </c>
      <c r="F17" s="7">
        <v>19.704000000000001</v>
      </c>
      <c r="G17" s="7">
        <v>0.13</v>
      </c>
      <c r="H17" s="7">
        <v>0.13</v>
      </c>
      <c r="I17" s="7"/>
    </row>
    <row r="18" spans="3:16" x14ac:dyDescent="0.25">
      <c r="C18" s="1" t="s">
        <v>23</v>
      </c>
      <c r="D18" s="7">
        <v>247.714</v>
      </c>
      <c r="E18" s="7">
        <v>39.848999999999997</v>
      </c>
      <c r="F18" s="7">
        <v>22.837</v>
      </c>
      <c r="G18" s="7">
        <v>0.16</v>
      </c>
      <c r="H18" s="7">
        <v>0.16</v>
      </c>
      <c r="I18" s="7"/>
      <c r="M18" s="1" t="s">
        <v>7</v>
      </c>
      <c r="N18" s="1" t="s">
        <v>25</v>
      </c>
      <c r="O18" s="1" t="s">
        <v>30</v>
      </c>
    </row>
    <row r="19" spans="3:16" x14ac:dyDescent="0.25">
      <c r="C19" s="1" t="s">
        <v>24</v>
      </c>
      <c r="D19" s="7">
        <v>262.5</v>
      </c>
      <c r="E19" s="7">
        <v>53.8</v>
      </c>
      <c r="F19" s="7">
        <v>32.4</v>
      </c>
      <c r="G19" s="7">
        <v>0.22</v>
      </c>
      <c r="H19" s="7">
        <v>0.22</v>
      </c>
      <c r="I19" s="7"/>
      <c r="M19" s="1" t="s">
        <v>17</v>
      </c>
      <c r="N19" s="7">
        <v>152.82400000000001</v>
      </c>
      <c r="O19" s="7"/>
      <c r="P19" s="7"/>
    </row>
    <row r="20" spans="3:16" x14ac:dyDescent="0.25">
      <c r="C20" s="1" t="s">
        <v>12</v>
      </c>
      <c r="D20" s="7">
        <v>251.9</v>
      </c>
      <c r="E20" s="7">
        <v>48.9</v>
      </c>
      <c r="F20" s="7">
        <v>26</v>
      </c>
      <c r="G20" s="7">
        <v>0.18</v>
      </c>
      <c r="H20" s="7">
        <v>0.18</v>
      </c>
      <c r="I20" s="7"/>
      <c r="M20" s="1" t="s">
        <v>21</v>
      </c>
      <c r="N20" s="7">
        <v>229.52</v>
      </c>
      <c r="O20" s="9">
        <f t="shared" ref="O20:O21" si="0">(N20-N19)/N19</f>
        <v>0.50185834685651465</v>
      </c>
      <c r="P20" s="7"/>
    </row>
    <row r="21" spans="3:16" x14ac:dyDescent="0.25">
      <c r="C21" s="1" t="s">
        <v>11</v>
      </c>
      <c r="D21" s="7">
        <v>251.904</v>
      </c>
      <c r="E21" s="7">
        <v>51.012</v>
      </c>
      <c r="F21" s="7">
        <v>25.981999999999999</v>
      </c>
      <c r="G21" s="7">
        <v>0.18</v>
      </c>
      <c r="H21" s="7">
        <v>0.18</v>
      </c>
      <c r="I21" s="7"/>
      <c r="M21" s="1" t="s">
        <v>12</v>
      </c>
      <c r="N21" s="7">
        <v>251.9</v>
      </c>
      <c r="O21" s="9">
        <f t="shared" si="0"/>
        <v>9.7507842453816634E-2</v>
      </c>
      <c r="P21" s="7"/>
    </row>
    <row r="22" spans="3:16" x14ac:dyDescent="0.25">
      <c r="C22" s="1" t="s">
        <v>10</v>
      </c>
      <c r="D22" s="7">
        <v>270.61099999999999</v>
      </c>
      <c r="E22" s="7">
        <v>64.283000000000001</v>
      </c>
      <c r="F22" s="7">
        <v>36.987000000000002</v>
      </c>
      <c r="G22" s="7">
        <v>0.25</v>
      </c>
      <c r="H22" s="7">
        <v>0.25</v>
      </c>
      <c r="I22" s="7"/>
      <c r="M22" s="1" t="s">
        <v>8</v>
      </c>
      <c r="N22" s="7">
        <v>254.5</v>
      </c>
      <c r="O22" s="9">
        <f>(N22-N21)/N21</f>
        <v>1.0321556173084535E-2</v>
      </c>
      <c r="P22" s="7"/>
    </row>
    <row r="23" spans="3:16" x14ac:dyDescent="0.25">
      <c r="C23" s="1" t="s">
        <v>9</v>
      </c>
      <c r="D23" s="7">
        <v>280.10000000000002</v>
      </c>
      <c r="E23" s="7">
        <v>66.5</v>
      </c>
      <c r="F23" s="7">
        <v>37</v>
      </c>
      <c r="G23" s="7">
        <v>0.25</v>
      </c>
      <c r="H23" s="7">
        <v>0.25</v>
      </c>
      <c r="I23" s="7"/>
      <c r="N23" s="7"/>
      <c r="O23" s="7"/>
      <c r="P23" s="7"/>
    </row>
    <row r="24" spans="3:16" x14ac:dyDescent="0.25">
      <c r="C24" s="1" t="s">
        <v>8</v>
      </c>
      <c r="D24" s="7">
        <v>254.5</v>
      </c>
      <c r="E24" s="7">
        <v>55.4</v>
      </c>
      <c r="F24" s="7">
        <v>30.7</v>
      </c>
      <c r="G24" s="7">
        <v>0.21</v>
      </c>
      <c r="H24" s="7">
        <v>0.21</v>
      </c>
      <c r="I24" s="7"/>
    </row>
    <row r="25" spans="3:16" x14ac:dyDescent="0.25">
      <c r="D25" s="7"/>
      <c r="E25" s="7"/>
      <c r="F25" s="7"/>
      <c r="G25" s="7"/>
      <c r="H25" s="7"/>
      <c r="I25" s="7"/>
    </row>
    <row r="26" spans="3:16" x14ac:dyDescent="0.25">
      <c r="D26" s="7"/>
      <c r="E26" s="7"/>
      <c r="F26" s="7"/>
      <c r="G26" s="7"/>
      <c r="H26" s="7"/>
      <c r="I26" s="7"/>
    </row>
    <row r="27" spans="3:16" x14ac:dyDescent="0.25">
      <c r="C27" s="1" t="s">
        <v>7</v>
      </c>
      <c r="D27" s="1" t="s">
        <v>25</v>
      </c>
      <c r="E27" s="1" t="s">
        <v>27</v>
      </c>
      <c r="F27" s="1" t="s">
        <v>31</v>
      </c>
      <c r="I27" s="7"/>
    </row>
    <row r="28" spans="3:16" x14ac:dyDescent="0.25">
      <c r="C28" s="1" t="s">
        <v>13</v>
      </c>
      <c r="E28" s="1">
        <v>8.3350000000000009</v>
      </c>
      <c r="I28" s="7"/>
    </row>
    <row r="29" spans="3:16" x14ac:dyDescent="0.25">
      <c r="C29" s="1" t="s">
        <v>14</v>
      </c>
      <c r="D29" s="7">
        <v>122.23</v>
      </c>
      <c r="E29" s="8">
        <v>11.018000000000001</v>
      </c>
      <c r="F29" s="10">
        <f t="shared" ref="F29:F43" si="1">E29/D29</f>
        <v>9.0141536447680609E-2</v>
      </c>
    </row>
    <row r="30" spans="3:16" x14ac:dyDescent="0.25">
      <c r="C30" s="1" t="s">
        <v>15</v>
      </c>
      <c r="D30" s="7">
        <v>140.339</v>
      </c>
      <c r="E30" s="8">
        <v>20.773</v>
      </c>
      <c r="F30" s="10">
        <f t="shared" si="1"/>
        <v>0.14802015120529574</v>
      </c>
    </row>
    <row r="31" spans="3:16" x14ac:dyDescent="0.25">
      <c r="C31" s="1" t="s">
        <v>16</v>
      </c>
      <c r="D31" s="7">
        <v>286.404</v>
      </c>
      <c r="E31" s="8">
        <v>16.712</v>
      </c>
      <c r="F31" s="10">
        <f t="shared" si="1"/>
        <v>5.8351140347201853E-2</v>
      </c>
    </row>
    <row r="32" spans="3:16" x14ac:dyDescent="0.25">
      <c r="C32" s="1" t="s">
        <v>17</v>
      </c>
      <c r="D32" s="7">
        <v>152.82400000000001</v>
      </c>
      <c r="E32" s="8">
        <v>14.718999999999999</v>
      </c>
      <c r="F32" s="10">
        <f t="shared" si="1"/>
        <v>9.6313406271266278E-2</v>
      </c>
    </row>
    <row r="33" spans="3:8" x14ac:dyDescent="0.25">
      <c r="C33" s="1" t="s">
        <v>18</v>
      </c>
      <c r="D33" s="7">
        <v>174.18199999999999</v>
      </c>
      <c r="E33" s="8">
        <v>-1.694</v>
      </c>
      <c r="F33" s="10">
        <f t="shared" si="1"/>
        <v>-9.7254595767645342E-3</v>
      </c>
    </row>
    <row r="34" spans="3:8" x14ac:dyDescent="0.25">
      <c r="C34" s="1" t="s">
        <v>19</v>
      </c>
      <c r="D34" s="7">
        <v>187.79</v>
      </c>
      <c r="E34" s="8">
        <v>15.542</v>
      </c>
      <c r="F34" s="10">
        <f t="shared" si="1"/>
        <v>8.2762660418552639E-2</v>
      </c>
      <c r="G34" s="7"/>
      <c r="H34" s="7"/>
    </row>
    <row r="35" spans="3:8" x14ac:dyDescent="0.25">
      <c r="C35" s="1" t="s">
        <v>20</v>
      </c>
      <c r="D35" s="7">
        <v>235.304</v>
      </c>
      <c r="E35" s="8">
        <v>15.233000000000001</v>
      </c>
      <c r="F35" s="10">
        <f t="shared" si="1"/>
        <v>6.4737531023697004E-2</v>
      </c>
      <c r="G35" s="7"/>
      <c r="H35" s="7"/>
    </row>
    <row r="36" spans="3:8" x14ac:dyDescent="0.25">
      <c r="C36" s="1" t="s">
        <v>21</v>
      </c>
      <c r="D36" s="7">
        <v>229.52</v>
      </c>
      <c r="E36" s="8">
        <v>19.704000000000001</v>
      </c>
      <c r="F36" s="10">
        <f t="shared" si="1"/>
        <v>8.5848727779714182E-2</v>
      </c>
      <c r="G36" s="7"/>
      <c r="H36" s="7"/>
    </row>
    <row r="37" spans="3:8" x14ac:dyDescent="0.25">
      <c r="C37" s="1" t="s">
        <v>22</v>
      </c>
      <c r="D37" s="7">
        <v>247.714</v>
      </c>
      <c r="E37" s="8">
        <v>22.837</v>
      </c>
      <c r="F37" s="10">
        <f t="shared" si="1"/>
        <v>9.21909944532808E-2</v>
      </c>
      <c r="G37" s="7"/>
      <c r="H37" s="7"/>
    </row>
    <row r="38" spans="3:8" x14ac:dyDescent="0.25">
      <c r="C38" s="1" t="s">
        <v>23</v>
      </c>
      <c r="D38" s="7">
        <v>262.5</v>
      </c>
      <c r="E38" s="8">
        <v>32.4</v>
      </c>
      <c r="F38" s="10">
        <f t="shared" si="1"/>
        <v>0.12342857142857143</v>
      </c>
      <c r="G38" s="7"/>
      <c r="H38" s="7"/>
    </row>
    <row r="39" spans="3:8" x14ac:dyDescent="0.25">
      <c r="C39" s="1" t="s">
        <v>24</v>
      </c>
      <c r="D39" s="7">
        <v>279.76600000000002</v>
      </c>
      <c r="E39" s="8">
        <v>32.768999999999998</v>
      </c>
      <c r="F39" s="10">
        <f t="shared" si="1"/>
        <v>0.1171300300965807</v>
      </c>
      <c r="G39" s="7"/>
      <c r="H39" s="7"/>
    </row>
    <row r="40" spans="3:8" x14ac:dyDescent="0.25">
      <c r="C40" s="1" t="s">
        <v>12</v>
      </c>
      <c r="D40" s="7">
        <v>251.9</v>
      </c>
      <c r="E40" s="8">
        <v>26</v>
      </c>
      <c r="F40" s="10">
        <f t="shared" si="1"/>
        <v>0.10321556173084558</v>
      </c>
      <c r="G40" s="7"/>
      <c r="H40" s="7"/>
    </row>
    <row r="41" spans="3:8" x14ac:dyDescent="0.25">
      <c r="C41" s="1" t="s">
        <v>11</v>
      </c>
      <c r="D41" s="7">
        <v>270.61099999999999</v>
      </c>
      <c r="E41" s="8">
        <v>36.987000000000002</v>
      </c>
      <c r="F41" s="10">
        <f t="shared" si="1"/>
        <v>0.13667958804335376</v>
      </c>
      <c r="G41" s="7"/>
      <c r="H41" s="7"/>
    </row>
    <row r="42" spans="3:8" x14ac:dyDescent="0.25">
      <c r="C42" s="1" t="s">
        <v>10</v>
      </c>
      <c r="D42" s="7">
        <v>280.10000000000002</v>
      </c>
      <c r="E42" s="8">
        <v>37</v>
      </c>
      <c r="F42" s="10">
        <f t="shared" si="1"/>
        <v>0.13209568011424491</v>
      </c>
      <c r="G42" s="7"/>
      <c r="H42" s="7"/>
    </row>
    <row r="43" spans="3:8" x14ac:dyDescent="0.25">
      <c r="C43" s="1" t="s">
        <v>9</v>
      </c>
      <c r="D43" s="7">
        <v>263.78899999999999</v>
      </c>
      <c r="E43" s="8">
        <v>35.713000000000001</v>
      </c>
      <c r="F43" s="10">
        <f t="shared" si="1"/>
        <v>0.13538472036362398</v>
      </c>
      <c r="G43" s="7"/>
      <c r="H43" s="7"/>
    </row>
    <row r="44" spans="3:8" x14ac:dyDescent="0.25">
      <c r="C44" s="1" t="s">
        <v>8</v>
      </c>
      <c r="D44" s="7">
        <v>254.5</v>
      </c>
      <c r="E44" s="8">
        <v>30.7</v>
      </c>
      <c r="F44" s="10">
        <f>E44/D44</f>
        <v>0.1206286836935167</v>
      </c>
      <c r="G44" s="7"/>
      <c r="H44" s="7"/>
    </row>
    <row r="47" spans="3:8" x14ac:dyDescent="0.25">
      <c r="C47" s="1" t="s">
        <v>7</v>
      </c>
      <c r="D47" s="1" t="s">
        <v>25</v>
      </c>
      <c r="E47" s="1" t="s">
        <v>27</v>
      </c>
      <c r="F47" s="1" t="s">
        <v>30</v>
      </c>
    </row>
    <row r="48" spans="3:8" x14ac:dyDescent="0.25">
      <c r="C48" s="1" t="s">
        <v>13</v>
      </c>
      <c r="E48" s="1">
        <v>8.3350000000000009</v>
      </c>
      <c r="F48" s="9"/>
    </row>
    <row r="49" spans="3:6" x14ac:dyDescent="0.25">
      <c r="C49" s="1" t="s">
        <v>17</v>
      </c>
      <c r="D49" s="7">
        <v>152.82400000000001</v>
      </c>
      <c r="E49" s="8">
        <v>14.718999999999999</v>
      </c>
      <c r="F49" s="9">
        <f t="shared" ref="F49:F50" si="2">(E49-E48)/E48</f>
        <v>0.76592681463707235</v>
      </c>
    </row>
    <row r="50" spans="3:6" x14ac:dyDescent="0.25">
      <c r="C50" s="1" t="s">
        <v>21</v>
      </c>
      <c r="D50" s="7">
        <v>229.52</v>
      </c>
      <c r="E50" s="8">
        <v>19.704000000000001</v>
      </c>
      <c r="F50" s="9">
        <f t="shared" si="2"/>
        <v>0.33867789931381215</v>
      </c>
    </row>
    <row r="51" spans="3:6" x14ac:dyDescent="0.25">
      <c r="C51" s="1" t="s">
        <v>12</v>
      </c>
      <c r="D51" s="7">
        <v>251.9</v>
      </c>
      <c r="E51" s="8">
        <v>26</v>
      </c>
      <c r="F51" s="9">
        <f>(E51-E50)/E50</f>
        <v>0.31952902963865198</v>
      </c>
    </row>
    <row r="52" spans="3:6" x14ac:dyDescent="0.25">
      <c r="C52" s="1" t="s">
        <v>8</v>
      </c>
      <c r="D52" s="7">
        <v>254.5</v>
      </c>
      <c r="E52" s="8">
        <v>30.7</v>
      </c>
      <c r="F52" s="9">
        <f>(E52-E51)/E51</f>
        <v>0.18076923076923074</v>
      </c>
    </row>
    <row r="53" spans="3:6" x14ac:dyDescent="0.25">
      <c r="D53" s="7"/>
      <c r="E53" s="8"/>
    </row>
    <row r="54" spans="3:6" x14ac:dyDescent="0.25">
      <c r="D54" s="7"/>
      <c r="E54" s="8"/>
    </row>
    <row r="56" spans="3:6" x14ac:dyDescent="0.25">
      <c r="D56" s="7"/>
      <c r="E56" s="8"/>
    </row>
    <row r="57" spans="3:6" x14ac:dyDescent="0.25">
      <c r="D57" s="7"/>
      <c r="E57" s="8"/>
    </row>
    <row r="58" spans="3:6" x14ac:dyDescent="0.25">
      <c r="D58" s="7"/>
      <c r="E58" s="8"/>
    </row>
    <row r="60" spans="3:6" x14ac:dyDescent="0.25">
      <c r="D60" s="7"/>
      <c r="E60" s="8"/>
    </row>
    <row r="61" spans="3:6" x14ac:dyDescent="0.25">
      <c r="D61" s="7"/>
      <c r="E61" s="8"/>
    </row>
    <row r="62" spans="3:6" x14ac:dyDescent="0.25">
      <c r="D62" s="7"/>
      <c r="E62" s="8"/>
    </row>
    <row r="72" spans="3:14" x14ac:dyDescent="0.25">
      <c r="C72" s="131" t="s">
        <v>98</v>
      </c>
      <c r="D72" s="131" t="s">
        <v>25</v>
      </c>
      <c r="E72" s="131" t="s">
        <v>100</v>
      </c>
      <c r="F72" s="131" t="s">
        <v>26</v>
      </c>
      <c r="G72" s="131" t="s">
        <v>101</v>
      </c>
      <c r="H72" s="131" t="s">
        <v>27</v>
      </c>
      <c r="I72" s="131" t="s">
        <v>100</v>
      </c>
    </row>
    <row r="73" spans="3:14" x14ac:dyDescent="0.25">
      <c r="C73" s="21">
        <v>2020</v>
      </c>
      <c r="D73" s="25">
        <v>548.97299999999996</v>
      </c>
      <c r="E73" s="21"/>
      <c r="F73" s="25">
        <v>94.521000000000001</v>
      </c>
      <c r="G73" s="24">
        <v>0.17217786667103849</v>
      </c>
      <c r="H73" s="25">
        <v>56.837000000000003</v>
      </c>
      <c r="I73" s="21"/>
    </row>
    <row r="74" spans="3:14" x14ac:dyDescent="0.25">
      <c r="C74" s="21">
        <v>2021</v>
      </c>
      <c r="D74" s="25">
        <v>750.1</v>
      </c>
      <c r="E74" s="24">
        <v>0.36636956644498014</v>
      </c>
      <c r="F74" s="25">
        <v>92.4</v>
      </c>
      <c r="G74" s="24">
        <v>0.12318357552326357</v>
      </c>
      <c r="H74" s="25">
        <v>43.801000000000002</v>
      </c>
      <c r="I74" s="24">
        <v>-0.22935763675070817</v>
      </c>
    </row>
    <row r="75" spans="3:14" x14ac:dyDescent="0.25">
      <c r="C75" s="21">
        <v>2022</v>
      </c>
      <c r="D75" s="25">
        <v>1019.5</v>
      </c>
      <c r="E75" s="24">
        <v>0.35915211305159306</v>
      </c>
      <c r="F75" s="25">
        <v>187.5</v>
      </c>
      <c r="G75" s="24">
        <v>0.18391368317802845</v>
      </c>
      <c r="H75" s="25">
        <v>107.7</v>
      </c>
      <c r="I75" s="24">
        <v>1.4588479715074998</v>
      </c>
    </row>
    <row r="76" spans="3:14" x14ac:dyDescent="0.25">
      <c r="C76" s="21">
        <v>2023</v>
      </c>
      <c r="D76" s="25">
        <v>1066.4000000000001</v>
      </c>
      <c r="E76" s="24">
        <v>4.6002942618930939E-2</v>
      </c>
      <c r="F76" s="25">
        <v>245.7</v>
      </c>
      <c r="G76" s="24">
        <v>0.23040135033758435</v>
      </c>
      <c r="H76" s="25">
        <v>135.69999999999999</v>
      </c>
      <c r="I76" s="24">
        <v>0.25998142989786432</v>
      </c>
    </row>
    <row r="78" spans="3:14" x14ac:dyDescent="0.25">
      <c r="C78" s="131" t="s">
        <v>98</v>
      </c>
      <c r="D78" s="131" t="s">
        <v>130</v>
      </c>
      <c r="E78" s="131" t="s">
        <v>131</v>
      </c>
      <c r="F78" s="131" t="s">
        <v>132</v>
      </c>
      <c r="G78" s="21" t="s">
        <v>120</v>
      </c>
      <c r="H78" s="21" t="s">
        <v>133</v>
      </c>
      <c r="I78" s="131" t="s">
        <v>26</v>
      </c>
      <c r="J78" s="21" t="s">
        <v>86</v>
      </c>
      <c r="K78" s="21" t="s">
        <v>134</v>
      </c>
      <c r="L78" s="21" t="s">
        <v>129</v>
      </c>
    </row>
    <row r="79" spans="3:14" x14ac:dyDescent="0.25">
      <c r="C79" s="21">
        <v>2020</v>
      </c>
      <c r="D79" s="21">
        <v>10.766999999999999</v>
      </c>
      <c r="E79" s="21">
        <v>5.9850000000000003</v>
      </c>
      <c r="F79" s="21">
        <f>2.517+0.075+2.681-2.886-0.374-9.394-2.31</f>
        <v>-9.6910000000000007</v>
      </c>
      <c r="G79" s="21">
        <f>D79-E79</f>
        <v>4.7819999999999991</v>
      </c>
      <c r="H79" s="21">
        <f>G79+F79</f>
        <v>-4.9090000000000016</v>
      </c>
      <c r="I79" s="25">
        <v>94.521000000000001</v>
      </c>
      <c r="J79" s="24">
        <v>3.5860290749944866E-2</v>
      </c>
      <c r="K79" s="25">
        <f>I79*(1-J79)</f>
        <v>91.131449458024463</v>
      </c>
      <c r="L79" s="132">
        <f>H79/K79</f>
        <v>-5.3867243736325163E-2</v>
      </c>
      <c r="N79" s="14">
        <f>AVERAGE(L79:L82)</f>
        <v>0.80208066825755131</v>
      </c>
    </row>
    <row r="80" spans="3:14" x14ac:dyDescent="0.25">
      <c r="C80" s="21">
        <v>2021</v>
      </c>
      <c r="D80" s="21">
        <v>189.88900000000001</v>
      </c>
      <c r="E80" s="21">
        <v>6.45</v>
      </c>
      <c r="F80" s="21">
        <f>22.635+11.619+6.017+22.239-16.553-18.312+2.764</f>
        <v>30.409000000000006</v>
      </c>
      <c r="G80" s="21">
        <f t="shared" ref="G80:G83" si="3">D80-E80</f>
        <v>183.43900000000002</v>
      </c>
      <c r="H80" s="21">
        <f>G80+F80</f>
        <v>213.84800000000001</v>
      </c>
      <c r="I80" s="25">
        <v>92.4</v>
      </c>
      <c r="J80" s="24">
        <v>0.12922465208747516</v>
      </c>
      <c r="K80" s="25">
        <f t="shared" ref="K80:K83" si="4">I80*(1-J80)</f>
        <v>80.459642147117307</v>
      </c>
      <c r="L80" s="132">
        <f t="shared" ref="L80:L82" si="5">H80/K80</f>
        <v>2.6578293700211506</v>
      </c>
    </row>
    <row r="81" spans="3:12" x14ac:dyDescent="0.25">
      <c r="C81" s="21">
        <v>2022</v>
      </c>
      <c r="D81" s="21">
        <v>8.6940000000000008</v>
      </c>
      <c r="E81" s="21">
        <v>7.9</v>
      </c>
      <c r="F81" s="21">
        <f>50.1+16.1+10.3+8.5+12.3+2.7+1.8-7.7-9.3</f>
        <v>84.8</v>
      </c>
      <c r="G81" s="21">
        <f t="shared" si="3"/>
        <v>0.79400000000000048</v>
      </c>
      <c r="H81" s="21">
        <f t="shared" ref="H81:H82" si="6">G81+F81</f>
        <v>85.593999999999994</v>
      </c>
      <c r="I81" s="25">
        <v>187.5</v>
      </c>
      <c r="J81" s="24">
        <v>0.25877494838265658</v>
      </c>
      <c r="K81" s="25">
        <f>I81*(1-J81)</f>
        <v>138.97969717825188</v>
      </c>
      <c r="L81" s="132">
        <f t="shared" si="5"/>
        <v>0.6158741293717116</v>
      </c>
    </row>
    <row r="82" spans="3:12" x14ac:dyDescent="0.25">
      <c r="C82" s="21">
        <v>2023</v>
      </c>
      <c r="D82" s="21">
        <v>19.899999999999999</v>
      </c>
      <c r="E82" s="21">
        <v>9.3000000000000007</v>
      </c>
      <c r="F82" s="21">
        <f>17.4+10.3-19.4-4.1+1.9-7.3-5-10+3.5</f>
        <v>-12.7</v>
      </c>
      <c r="G82" s="21">
        <f t="shared" si="3"/>
        <v>10.599999999999998</v>
      </c>
      <c r="H82" s="21">
        <f t="shared" si="6"/>
        <v>-2.1000000000000014</v>
      </c>
      <c r="I82" s="25">
        <v>245.7</v>
      </c>
      <c r="J82" s="24">
        <v>0.25765864332603938</v>
      </c>
      <c r="K82" s="25">
        <f t="shared" si="4"/>
        <v>182.3932713347921</v>
      </c>
      <c r="L82" s="132">
        <f t="shared" si="5"/>
        <v>-1.1513582626331346E-2</v>
      </c>
    </row>
    <row r="83" spans="3:12" x14ac:dyDescent="0.25">
      <c r="C83" s="1" t="s">
        <v>8</v>
      </c>
      <c r="D83" s="1">
        <v>4.5999999999999996</v>
      </c>
      <c r="E83" s="1">
        <v>2.8</v>
      </c>
      <c r="F83" s="21">
        <f>18.4-14.3-3+2.9-0.3-1.5-3+18.9+1.5</f>
        <v>19.599999999999998</v>
      </c>
      <c r="G83" s="1">
        <f t="shared" si="3"/>
        <v>1.7999999999999998</v>
      </c>
      <c r="H83" s="21">
        <f>G83+F83</f>
        <v>21.4</v>
      </c>
      <c r="I83" s="1">
        <v>55.4</v>
      </c>
      <c r="J83" s="10">
        <f>10.5/41.2</f>
        <v>0.25485436893203883</v>
      </c>
      <c r="K83" s="25">
        <f t="shared" si="4"/>
        <v>41.28106796116505</v>
      </c>
      <c r="L83" s="132">
        <f>H83/K83</f>
        <v>0.51839744117404951</v>
      </c>
    </row>
  </sheetData>
  <phoneticPr fontId="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OVERVIEW</vt:lpstr>
      <vt:lpstr>Analysis</vt:lpstr>
      <vt:lpstr>WACC</vt:lpstr>
      <vt:lpstr>estimations</vt:lpstr>
      <vt:lpstr>DCF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איתי דיין</dc:creator>
  <cp:lastModifiedBy>רועי דיין</cp:lastModifiedBy>
  <dcterms:created xsi:type="dcterms:W3CDTF">2015-06-05T18:17:20Z</dcterms:created>
  <dcterms:modified xsi:type="dcterms:W3CDTF">2024-08-17T07:05:20Z</dcterms:modified>
</cp:coreProperties>
</file>