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cc2016\Desktop\borsa\DCF\Companies\specifics\MCD\"/>
    </mc:Choice>
  </mc:AlternateContent>
  <xr:revisionPtr revIDLastSave="0" documentId="13_ncr:1_{8AF55DAF-76CA-45F8-8AA3-46C4B3CD8898}" xr6:coauthVersionLast="47" xr6:coauthVersionMax="47" xr10:uidLastSave="{00000000-0000-0000-0000-000000000000}"/>
  <bookViews>
    <workbookView xWindow="-120" yWindow="-120" windowWidth="29040" windowHeight="15840" xr2:uid="{00000000-000D-0000-FFFF-FFFF00000000}"/>
  </bookViews>
  <sheets>
    <sheet name="1.Openning" sheetId="1" r:id="rId1"/>
    <sheet name="2.Equity" sheetId="2" r:id="rId2"/>
    <sheet name="3.Debt" sheetId="3" r:id="rId3"/>
    <sheet name="4.WACC" sheetId="4" r:id="rId4"/>
    <sheet name="5.Story&amp;Estimations" sheetId="5" r:id="rId5"/>
    <sheet name="6.DCF" sheetId="8" r:id="rId6"/>
    <sheet name="7.Final Thoughts" sheetId="9" r:id="rId7"/>
    <sheet name="disclaimer" sheetId="6" r:id="rId8"/>
  </sheets>
  <externalReferences>
    <externalReference r:id="rId9"/>
  </externalReferences>
  <definedNames>
    <definedName name="tgr">'6.DCF'!$D$11</definedName>
    <definedName name="wacc">'6.DCF'!$D$10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14" i="8" l="1"/>
  <c r="J91" i="8"/>
  <c r="K91" i="8"/>
  <c r="L91" i="8"/>
  <c r="M91" i="8"/>
  <c r="N91" i="8"/>
  <c r="O91" i="8"/>
  <c r="I91" i="8"/>
  <c r="N120" i="8"/>
  <c r="O110" i="8"/>
  <c r="N110" i="8"/>
  <c r="M110" i="8"/>
  <c r="L110" i="8"/>
  <c r="K110" i="8"/>
  <c r="J110" i="8"/>
  <c r="N103" i="8"/>
  <c r="M103" i="8"/>
  <c r="L103" i="8"/>
  <c r="K103" i="8"/>
  <c r="J103" i="8"/>
  <c r="K99" i="8"/>
  <c r="L99" i="8" s="1"/>
  <c r="M99" i="8" s="1"/>
  <c r="N99" i="8" s="1"/>
  <c r="J99" i="8"/>
  <c r="O95" i="8"/>
  <c r="N95" i="8"/>
  <c r="M95" i="8"/>
  <c r="L95" i="8"/>
  <c r="K95" i="8"/>
  <c r="J95" i="8"/>
  <c r="I95" i="8"/>
  <c r="I93" i="8"/>
  <c r="I97" i="8" s="1"/>
  <c r="I101" i="8" s="1"/>
  <c r="J53" i="8"/>
  <c r="L53" i="8"/>
  <c r="L55" i="8"/>
  <c r="K53" i="8"/>
  <c r="J74" i="8"/>
  <c r="O71" i="8"/>
  <c r="O69" i="8"/>
  <c r="O67" i="8"/>
  <c r="O63" i="8"/>
  <c r="O59" i="8"/>
  <c r="O55" i="8"/>
  <c r="I59" i="8"/>
  <c r="M53" i="8"/>
  <c r="N53" i="8"/>
  <c r="O53" i="8"/>
  <c r="I53" i="8"/>
  <c r="J55" i="8" s="1"/>
  <c r="J17" i="8"/>
  <c r="K72" i="8"/>
  <c r="L72" i="8"/>
  <c r="M72" i="8"/>
  <c r="N72" i="8"/>
  <c r="O72" i="8"/>
  <c r="J72" i="8"/>
  <c r="J33" i="8"/>
  <c r="I63" i="8"/>
  <c r="J57" i="8"/>
  <c r="K57" i="8"/>
  <c r="L57" i="8"/>
  <c r="M57" i="8"/>
  <c r="N57" i="8"/>
  <c r="O57" i="8"/>
  <c r="I57" i="8"/>
  <c r="I55" i="8"/>
  <c r="J61" i="8"/>
  <c r="K61" i="8" s="1"/>
  <c r="L61" i="8" s="1"/>
  <c r="M61" i="8" s="1"/>
  <c r="N61" i="8" s="1"/>
  <c r="N82" i="8"/>
  <c r="N65" i="8"/>
  <c r="M65" i="8"/>
  <c r="L65" i="8"/>
  <c r="K65" i="8"/>
  <c r="J65" i="8"/>
  <c r="N44" i="8"/>
  <c r="J93" i="8" l="1"/>
  <c r="J67" i="8"/>
  <c r="J69" i="8" s="1"/>
  <c r="K55" i="8"/>
  <c r="M55" i="8" s="1"/>
  <c r="N55" i="8" s="1"/>
  <c r="N39" i="8"/>
  <c r="N38" i="8"/>
  <c r="J97" i="8" l="1"/>
  <c r="J101" i="8" s="1"/>
  <c r="K93" i="8"/>
  <c r="J105" i="8"/>
  <c r="J107" i="8" s="1"/>
  <c r="J59" i="8"/>
  <c r="J63" i="8" s="1"/>
  <c r="J71" i="8" s="1"/>
  <c r="O35" i="8"/>
  <c r="O33" i="8"/>
  <c r="O31" i="8"/>
  <c r="N31" i="8"/>
  <c r="O29" i="8"/>
  <c r="N29" i="8"/>
  <c r="K31" i="8"/>
  <c r="J31" i="8"/>
  <c r="K29" i="8"/>
  <c r="L29" i="8"/>
  <c r="M29" i="8"/>
  <c r="J29" i="8"/>
  <c r="O34" i="8"/>
  <c r="N34" i="8"/>
  <c r="M34" i="8"/>
  <c r="L34" i="8"/>
  <c r="K34" i="8"/>
  <c r="J34" i="8"/>
  <c r="N27" i="8"/>
  <c r="M27" i="8"/>
  <c r="L27" i="8"/>
  <c r="K27" i="8"/>
  <c r="J27" i="8"/>
  <c r="J210" i="5"/>
  <c r="J211" i="5"/>
  <c r="J212" i="5"/>
  <c r="J213" i="5"/>
  <c r="J214" i="5"/>
  <c r="J215" i="5"/>
  <c r="J216" i="5"/>
  <c r="J217" i="5"/>
  <c r="J218" i="5"/>
  <c r="J219" i="5"/>
  <c r="J220" i="5"/>
  <c r="J221" i="5"/>
  <c r="J222" i="5"/>
  <c r="J209" i="5"/>
  <c r="O25" i="8"/>
  <c r="I25" i="8"/>
  <c r="O21" i="8"/>
  <c r="O17" i="8"/>
  <c r="O15" i="8"/>
  <c r="N21" i="8"/>
  <c r="K21" i="8"/>
  <c r="J21" i="8"/>
  <c r="I21" i="8"/>
  <c r="E184" i="5"/>
  <c r="E183" i="5"/>
  <c r="J19" i="8"/>
  <c r="I19" i="8"/>
  <c r="K17" i="8"/>
  <c r="L17" i="8" s="1"/>
  <c r="M17" i="8" s="1"/>
  <c r="N17" i="8" s="1"/>
  <c r="D134" i="5"/>
  <c r="D135" i="5" s="1"/>
  <c r="D136" i="5" s="1"/>
  <c r="D137" i="5" s="1"/>
  <c r="D138" i="5" s="1"/>
  <c r="D133" i="5"/>
  <c r="I17" i="8"/>
  <c r="J15" i="8"/>
  <c r="I15" i="8"/>
  <c r="J109" i="8" l="1"/>
  <c r="J111" i="8" s="1"/>
  <c r="K105" i="8"/>
  <c r="K107" i="8" s="1"/>
  <c r="L93" i="8"/>
  <c r="K97" i="8"/>
  <c r="K101" i="8" s="1"/>
  <c r="K67" i="8"/>
  <c r="K69" i="8" s="1"/>
  <c r="K59" i="8"/>
  <c r="K63" i="8" s="1"/>
  <c r="J73" i="8"/>
  <c r="E134" i="5"/>
  <c r="K109" i="8" l="1"/>
  <c r="K111" i="8" s="1"/>
  <c r="L105" i="8"/>
  <c r="L107" i="8" s="1"/>
  <c r="M93" i="8"/>
  <c r="L97" i="8"/>
  <c r="L101" i="8" s="1"/>
  <c r="K71" i="8"/>
  <c r="K73" i="8" s="1"/>
  <c r="L59" i="8"/>
  <c r="L63" i="8" s="1"/>
  <c r="L67" i="8"/>
  <c r="L69" i="8" s="1"/>
  <c r="J23" i="8"/>
  <c r="K23" i="8" s="1"/>
  <c r="L23" i="8" s="1"/>
  <c r="M23" i="8" s="1"/>
  <c r="N23" i="8" s="1"/>
  <c r="B249" i="5"/>
  <c r="G272" i="5"/>
  <c r="K273" i="5"/>
  <c r="K274" i="5"/>
  <c r="K275" i="5"/>
  <c r="K276" i="5"/>
  <c r="K277" i="5"/>
  <c r="K278" i="5"/>
  <c r="K279" i="5"/>
  <c r="K280" i="5"/>
  <c r="K281" i="5"/>
  <c r="K282" i="5"/>
  <c r="K283" i="5"/>
  <c r="K284" i="5"/>
  <c r="K285" i="5"/>
  <c r="K272" i="5"/>
  <c r="G273" i="5"/>
  <c r="G274" i="5"/>
  <c r="G275" i="5"/>
  <c r="G276" i="5"/>
  <c r="G277" i="5"/>
  <c r="G278" i="5"/>
  <c r="G279" i="5"/>
  <c r="G280" i="5"/>
  <c r="G281" i="5"/>
  <c r="G282" i="5"/>
  <c r="G283" i="5"/>
  <c r="G284" i="5"/>
  <c r="G285" i="5"/>
  <c r="G271" i="5"/>
  <c r="E272" i="5"/>
  <c r="E273" i="5"/>
  <c r="E274" i="5"/>
  <c r="E275" i="5"/>
  <c r="E276" i="5"/>
  <c r="E277" i="5"/>
  <c r="E278" i="5"/>
  <c r="E279" i="5"/>
  <c r="E280" i="5"/>
  <c r="E281" i="5"/>
  <c r="E282" i="5"/>
  <c r="E283" i="5"/>
  <c r="E284" i="5"/>
  <c r="E285" i="5"/>
  <c r="E271" i="5"/>
  <c r="D273" i="5"/>
  <c r="D274" i="5"/>
  <c r="D275" i="5"/>
  <c r="D276" i="5"/>
  <c r="D277" i="5"/>
  <c r="D278" i="5"/>
  <c r="D279" i="5"/>
  <c r="D280" i="5"/>
  <c r="D281" i="5"/>
  <c r="D282" i="5"/>
  <c r="D283" i="5"/>
  <c r="D284" i="5"/>
  <c r="D285" i="5"/>
  <c r="D272" i="5"/>
  <c r="E254" i="5"/>
  <c r="E255" i="5"/>
  <c r="E256" i="5"/>
  <c r="E257" i="5"/>
  <c r="E258" i="5"/>
  <c r="E259" i="5"/>
  <c r="E260" i="5"/>
  <c r="E261" i="5"/>
  <c r="E262" i="5"/>
  <c r="E263" i="5"/>
  <c r="E264" i="5"/>
  <c r="E265" i="5"/>
  <c r="E266" i="5"/>
  <c r="E253" i="5"/>
  <c r="G208" i="5"/>
  <c r="G209" i="5"/>
  <c r="G210" i="5"/>
  <c r="G211" i="5"/>
  <c r="G212" i="5"/>
  <c r="G213" i="5"/>
  <c r="G214" i="5"/>
  <c r="G215" i="5"/>
  <c r="G216" i="5"/>
  <c r="G217" i="5"/>
  <c r="G218" i="5"/>
  <c r="G219" i="5"/>
  <c r="G220" i="5"/>
  <c r="G221" i="5"/>
  <c r="G222" i="5"/>
  <c r="H209" i="5"/>
  <c r="H210" i="5"/>
  <c r="H211" i="5"/>
  <c r="H212" i="5"/>
  <c r="H213" i="5"/>
  <c r="H214" i="5"/>
  <c r="H215" i="5"/>
  <c r="H216" i="5"/>
  <c r="H217" i="5"/>
  <c r="H218" i="5"/>
  <c r="H219" i="5"/>
  <c r="H220" i="5"/>
  <c r="H221" i="5"/>
  <c r="H222" i="5"/>
  <c r="H208" i="5"/>
  <c r="C183" i="5"/>
  <c r="G159" i="5"/>
  <c r="D185" i="5"/>
  <c r="D186" i="5"/>
  <c r="D187" i="5"/>
  <c r="D188" i="5"/>
  <c r="D189" i="5"/>
  <c r="D184" i="5"/>
  <c r="D183" i="5"/>
  <c r="C184" i="5"/>
  <c r="H198" i="5" s="1"/>
  <c r="C185" i="5"/>
  <c r="E185" i="5" s="1"/>
  <c r="H199" i="5" s="1"/>
  <c r="C172" i="5"/>
  <c r="C171" i="5"/>
  <c r="G146" i="5"/>
  <c r="G147" i="5"/>
  <c r="G148" i="5"/>
  <c r="G149" i="5"/>
  <c r="G150" i="5"/>
  <c r="G151" i="5"/>
  <c r="G152" i="5"/>
  <c r="G153" i="5"/>
  <c r="G154" i="5"/>
  <c r="G155" i="5"/>
  <c r="G156" i="5"/>
  <c r="G157" i="5"/>
  <c r="G158" i="5"/>
  <c r="G145" i="5"/>
  <c r="U144" i="5" a="1"/>
  <c r="U144" i="5" s="1"/>
  <c r="D132" i="5"/>
  <c r="R88" i="5"/>
  <c r="S88" i="5" s="1"/>
  <c r="T88" i="5" s="1"/>
  <c r="Q88" i="5"/>
  <c r="R87" i="5"/>
  <c r="S87" i="5" s="1"/>
  <c r="T87" i="5" s="1"/>
  <c r="Q87" i="5"/>
  <c r="P88" i="5"/>
  <c r="P87" i="5"/>
  <c r="N79" i="5"/>
  <c r="N80" i="5"/>
  <c r="N81" i="5"/>
  <c r="N82" i="5"/>
  <c r="N83" i="5"/>
  <c r="N84" i="5"/>
  <c r="N85" i="5"/>
  <c r="N86" i="5"/>
  <c r="N87" i="5"/>
  <c r="N88" i="5"/>
  <c r="N89" i="5"/>
  <c r="N90" i="5"/>
  <c r="N91" i="5"/>
  <c r="N78" i="5"/>
  <c r="L109" i="8" l="1"/>
  <c r="L111" i="8" s="1"/>
  <c r="M97" i="8"/>
  <c r="M101" i="8" s="1"/>
  <c r="M105" i="8"/>
  <c r="M107" i="8" s="1"/>
  <c r="N93" i="8"/>
  <c r="L71" i="8"/>
  <c r="L73" i="8" s="1"/>
  <c r="M67" i="8"/>
  <c r="M69" i="8" s="1"/>
  <c r="M59" i="8"/>
  <c r="M63" i="8" s="1"/>
  <c r="C186" i="5"/>
  <c r="E186" i="5" s="1"/>
  <c r="H200" i="5" s="1"/>
  <c r="C187" i="5"/>
  <c r="E187" i="5" s="1"/>
  <c r="H201" i="5" s="1"/>
  <c r="K15" i="8"/>
  <c r="L15" i="8" s="1"/>
  <c r="M15" i="8" s="1"/>
  <c r="N15" i="8" s="1"/>
  <c r="J25" i="8"/>
  <c r="N97" i="8" l="1"/>
  <c r="N101" i="8" s="1"/>
  <c r="N105" i="8"/>
  <c r="N107" i="8" s="1"/>
  <c r="O93" i="8"/>
  <c r="M109" i="8"/>
  <c r="M111" i="8" s="1"/>
  <c r="M71" i="8"/>
  <c r="M73" i="8" s="1"/>
  <c r="N59" i="8"/>
  <c r="N63" i="8" s="1"/>
  <c r="N67" i="8"/>
  <c r="N69" i="8" s="1"/>
  <c r="C189" i="5"/>
  <c r="E189" i="5" s="1"/>
  <c r="C188" i="5"/>
  <c r="E188" i="5" s="1"/>
  <c r="H202" i="5" s="1"/>
  <c r="J35" i="8"/>
  <c r="J36" i="8" s="1"/>
  <c r="N40" i="8" s="1"/>
  <c r="N43" i="8" s="1"/>
  <c r="N45" i="8" s="1"/>
  <c r="N109" i="8" l="1"/>
  <c r="N111" i="8" s="1"/>
  <c r="O105" i="8"/>
  <c r="O107" i="8" s="1"/>
  <c r="O97" i="8"/>
  <c r="O101" i="8" s="1"/>
  <c r="N71" i="8"/>
  <c r="N73" i="8" s="1"/>
  <c r="K25" i="8"/>
  <c r="K33" i="8" s="1"/>
  <c r="K35" i="8" s="1"/>
  <c r="L21" i="8"/>
  <c r="L25" i="8" s="1"/>
  <c r="O109" i="8" l="1"/>
  <c r="O111" i="8" s="1"/>
  <c r="N115" i="8" s="1"/>
  <c r="J112" i="8"/>
  <c r="O73" i="8"/>
  <c r="N76" i="8" s="1"/>
  <c r="N77" i="8" s="1"/>
  <c r="M21" i="8"/>
  <c r="M25" i="8" s="1"/>
  <c r="L31" i="8"/>
  <c r="L33" i="8" s="1"/>
  <c r="L35" i="8" s="1"/>
  <c r="N116" i="8" l="1"/>
  <c r="N119" i="8" s="1"/>
  <c r="N121" i="8" s="1"/>
  <c r="N123" i="8" s="1"/>
  <c r="M31" i="8"/>
  <c r="M33" i="8" s="1"/>
  <c r="M35" i="8" s="1"/>
  <c r="N25" i="8"/>
  <c r="N78" i="8" l="1"/>
  <c r="N81" i="8" s="1"/>
  <c r="N83" i="8" s="1"/>
  <c r="N85" i="8" s="1"/>
  <c r="N33" i="8"/>
  <c r="N35" i="8" s="1"/>
  <c r="N47" i="8" l="1"/>
  <c r="L21" i="4"/>
  <c r="F55" i="5"/>
  <c r="F54" i="5" s="1"/>
  <c r="D54" i="5"/>
  <c r="E54" i="5"/>
  <c r="C54" i="5"/>
  <c r="E55" i="5"/>
  <c r="G55" i="5"/>
  <c r="G54" i="5" s="1"/>
  <c r="D55" i="5"/>
  <c r="C55" i="5"/>
  <c r="D15" i="4"/>
  <c r="E15" i="4"/>
  <c r="F15" i="4"/>
  <c r="G15" i="4"/>
  <c r="H15" i="4"/>
  <c r="C15" i="4"/>
  <c r="E14" i="4"/>
  <c r="F14" i="4" s="1"/>
  <c r="G14" i="4" s="1"/>
  <c r="H14" i="4" s="1"/>
  <c r="D14" i="4"/>
  <c r="C14" i="4"/>
  <c r="D13" i="4"/>
  <c r="E13" i="4"/>
  <c r="F13" i="4"/>
  <c r="G13" i="4"/>
  <c r="H13" i="4"/>
  <c r="C13" i="4"/>
  <c r="D12" i="4"/>
  <c r="E12" i="4"/>
  <c r="C12" i="4"/>
  <c r="H11" i="4"/>
  <c r="G11" i="4"/>
  <c r="F11" i="4"/>
  <c r="E11" i="4"/>
  <c r="D11" i="4"/>
  <c r="C11" i="4"/>
  <c r="C177" i="2"/>
  <c r="H10" i="4"/>
  <c r="G10" i="4"/>
  <c r="F10" i="4"/>
  <c r="E10" i="4"/>
  <c r="D10" i="4"/>
  <c r="C10" i="4"/>
  <c r="H9" i="4"/>
  <c r="G9" i="4"/>
  <c r="F9" i="4"/>
  <c r="E9" i="4"/>
  <c r="D9" i="4"/>
  <c r="C9" i="4"/>
  <c r="Q36" i="4"/>
  <c r="Q23" i="4"/>
  <c r="Q24" i="4"/>
  <c r="Q25" i="4"/>
  <c r="Q26" i="4"/>
  <c r="Q27" i="4"/>
  <c r="Q28" i="4"/>
  <c r="Q29" i="4"/>
  <c r="Q30" i="4"/>
  <c r="Q31" i="4"/>
  <c r="Q32" i="4"/>
  <c r="Q33" i="4"/>
  <c r="Q34" i="4"/>
  <c r="Q35" i="4"/>
  <c r="Q22" i="4"/>
  <c r="O22" i="4"/>
  <c r="O23" i="4"/>
  <c r="O24" i="4"/>
  <c r="O25" i="4"/>
  <c r="O26" i="4"/>
  <c r="O27" i="4"/>
  <c r="O28" i="4"/>
  <c r="O29" i="4"/>
  <c r="O30" i="4"/>
  <c r="O31" i="4"/>
  <c r="O32" i="4"/>
  <c r="O33" i="4"/>
  <c r="O34" i="4"/>
  <c r="O35" i="4"/>
  <c r="O21" i="4"/>
  <c r="N22" i="4"/>
  <c r="N23" i="4"/>
  <c r="N24" i="4"/>
  <c r="N25" i="4"/>
  <c r="N26" i="4"/>
  <c r="N27" i="4"/>
  <c r="N28" i="4"/>
  <c r="N29" i="4"/>
  <c r="N30" i="4"/>
  <c r="N31" i="4"/>
  <c r="N32" i="4"/>
  <c r="N33" i="4"/>
  <c r="N34" i="4"/>
  <c r="N35" i="4"/>
  <c r="L22" i="4"/>
  <c r="L23" i="4"/>
  <c r="L24" i="4"/>
  <c r="L25" i="4"/>
  <c r="L26" i="4"/>
  <c r="L27" i="4"/>
  <c r="L28" i="4"/>
  <c r="L29" i="4"/>
  <c r="L30" i="4"/>
  <c r="L31" i="4"/>
  <c r="L32" i="4"/>
  <c r="L33" i="4"/>
  <c r="L34" i="4"/>
  <c r="L35" i="4"/>
  <c r="N21" i="4"/>
  <c r="E121" i="3"/>
  <c r="E120" i="3"/>
  <c r="Q118" i="3"/>
  <c r="D118" i="3"/>
  <c r="E118" i="3"/>
  <c r="F118" i="3"/>
  <c r="G118" i="3"/>
  <c r="H118" i="3"/>
  <c r="I118" i="3"/>
  <c r="J118" i="3"/>
  <c r="K118" i="3"/>
  <c r="L118" i="3"/>
  <c r="M118" i="3"/>
  <c r="N118" i="3"/>
  <c r="O118" i="3"/>
  <c r="C118" i="3"/>
  <c r="E109" i="3"/>
  <c r="N115" i="3" s="1"/>
  <c r="G115" i="3"/>
  <c r="F115" i="3"/>
  <c r="E115" i="3"/>
  <c r="D115" i="3"/>
  <c r="C115" i="3"/>
  <c r="C106" i="3"/>
  <c r="D100" i="3" s="1"/>
  <c r="H55" i="5" l="1"/>
  <c r="H115" i="3"/>
  <c r="K115" i="3"/>
  <c r="L115" i="3"/>
  <c r="E100" i="3"/>
  <c r="E101" i="3" s="1"/>
  <c r="I115" i="3"/>
  <c r="M115" i="3"/>
  <c r="E110" i="3"/>
  <c r="J115" i="3"/>
  <c r="H54" i="5" l="1"/>
  <c r="I55" i="5"/>
  <c r="Q113" i="3"/>
  <c r="R113" i="3" s="1"/>
  <c r="O115" i="3" s="1"/>
  <c r="Q115" i="3" s="1"/>
  <c r="E102" i="3"/>
  <c r="D101" i="3"/>
  <c r="J55" i="5" l="1"/>
  <c r="I54" i="5"/>
  <c r="E103" i="3"/>
  <c r="D102" i="3"/>
  <c r="K55" i="5" l="1"/>
  <c r="J54" i="5"/>
  <c r="D103" i="3"/>
  <c r="E104" i="3"/>
  <c r="L55" i="5" l="1"/>
  <c r="K54" i="5"/>
  <c r="E105" i="3"/>
  <c r="D104" i="3"/>
  <c r="M55" i="5" l="1"/>
  <c r="L54" i="5"/>
  <c r="E106" i="3"/>
  <c r="D105" i="3"/>
  <c r="D106" i="3" s="1"/>
  <c r="N55" i="5" l="1"/>
  <c r="M54" i="5"/>
  <c r="E72" i="3"/>
  <c r="H116" i="3" s="1"/>
  <c r="I116" i="3" s="1"/>
  <c r="J116" i="3" s="1"/>
  <c r="K116" i="3" s="1"/>
  <c r="L116" i="3" s="1"/>
  <c r="M116" i="3" s="1"/>
  <c r="N116" i="3" s="1"/>
  <c r="O116" i="3" s="1"/>
  <c r="E67" i="3"/>
  <c r="C116" i="3" s="1"/>
  <c r="C67" i="3"/>
  <c r="C68" i="3"/>
  <c r="E68" i="3" s="1"/>
  <c r="D116" i="3" s="1"/>
  <c r="C69" i="3"/>
  <c r="E69" i="3" s="1"/>
  <c r="E116" i="3" s="1"/>
  <c r="C70" i="3"/>
  <c r="E70" i="3" s="1"/>
  <c r="F116" i="3" s="1"/>
  <c r="C71" i="3"/>
  <c r="E71" i="3" s="1"/>
  <c r="G116" i="3" s="1"/>
  <c r="C66" i="3"/>
  <c r="E66" i="3" s="1"/>
  <c r="C175" i="2"/>
  <c r="F164" i="2"/>
  <c r="F159" i="2"/>
  <c r="F160" i="2"/>
  <c r="F161" i="2"/>
  <c r="F162" i="2"/>
  <c r="F163" i="2"/>
  <c r="F158" i="2"/>
  <c r="D159" i="2"/>
  <c r="D160" i="2"/>
  <c r="D161" i="2"/>
  <c r="D162" i="2"/>
  <c r="D163" i="2"/>
  <c r="D164" i="2"/>
  <c r="D158" i="2"/>
  <c r="G112" i="2"/>
  <c r="H112" i="2"/>
  <c r="D112" i="2"/>
  <c r="C112" i="2"/>
  <c r="E159" i="2"/>
  <c r="E160" i="2"/>
  <c r="E161" i="2"/>
  <c r="E162" i="2"/>
  <c r="E163" i="2"/>
  <c r="E164" i="2"/>
  <c r="E158" i="2"/>
  <c r="C159" i="2"/>
  <c r="C160" i="2"/>
  <c r="C161" i="2"/>
  <c r="C162" i="2"/>
  <c r="C163" i="2"/>
  <c r="C158" i="2"/>
  <c r="H111" i="2"/>
  <c r="H107" i="2"/>
  <c r="H108" i="2"/>
  <c r="H109" i="2"/>
  <c r="H110" i="2"/>
  <c r="H106" i="2"/>
  <c r="G108" i="2"/>
  <c r="G109" i="2"/>
  <c r="G110" i="2"/>
  <c r="G111" i="2"/>
  <c r="G107" i="2"/>
  <c r="F106" i="2"/>
  <c r="D107" i="2"/>
  <c r="D108" i="2"/>
  <c r="D109" i="2"/>
  <c r="D110" i="2"/>
  <c r="D111" i="2"/>
  <c r="D106" i="2"/>
  <c r="C107" i="2"/>
  <c r="C108" i="2"/>
  <c r="C109" i="2"/>
  <c r="C110" i="2"/>
  <c r="C111" i="2"/>
  <c r="C106" i="2"/>
  <c r="C46" i="2"/>
  <c r="E80" i="2"/>
  <c r="E81" i="2"/>
  <c r="E82" i="2"/>
  <c r="E83" i="2"/>
  <c r="C101" i="2" s="1"/>
  <c r="F101" i="2" s="1"/>
  <c r="E84" i="2"/>
  <c r="E85" i="2"/>
  <c r="E86" i="2"/>
  <c r="E87" i="2"/>
  <c r="E88" i="2"/>
  <c r="E89" i="2"/>
  <c r="E90" i="2"/>
  <c r="E91" i="2"/>
  <c r="E92" i="2"/>
  <c r="E93" i="2"/>
  <c r="E94" i="2"/>
  <c r="E95" i="2"/>
  <c r="E96" i="2"/>
  <c r="E97" i="2"/>
  <c r="E98" i="2"/>
  <c r="E99" i="2"/>
  <c r="E79" i="2"/>
  <c r="D76" i="2"/>
  <c r="C43" i="2"/>
  <c r="E42" i="2"/>
  <c r="O55" i="5" l="1"/>
  <c r="N54" i="5"/>
  <c r="P55" i="5" l="1"/>
  <c r="O54" i="5"/>
  <c r="Q55" i="5" l="1"/>
  <c r="P54" i="5"/>
  <c r="R55" i="5" l="1"/>
  <c r="Q54" i="5"/>
  <c r="S55" i="5" l="1"/>
  <c r="R54" i="5"/>
  <c r="T55" i="5" l="1"/>
  <c r="S54" i="5"/>
  <c r="U55" i="5" l="1"/>
  <c r="T54" i="5"/>
  <c r="V55" i="5" l="1"/>
  <c r="U54" i="5"/>
  <c r="W55" i="5" l="1"/>
  <c r="V54" i="5"/>
  <c r="X55" i="5" l="1"/>
  <c r="W54" i="5"/>
  <c r="Y55" i="5" l="1"/>
  <c r="X54" i="5"/>
  <c r="Z55" i="5" l="1"/>
  <c r="Y54" i="5"/>
  <c r="AA55" i="5" l="1"/>
  <c r="Z54" i="5"/>
  <c r="AB55" i="5" l="1"/>
  <c r="AA54" i="5"/>
  <c r="AC55" i="5" l="1"/>
  <c r="AB54" i="5"/>
  <c r="AD55" i="5" l="1"/>
  <c r="AC54" i="5"/>
  <c r="AE55" i="5" l="1"/>
  <c r="AD54" i="5"/>
  <c r="AF55" i="5" l="1"/>
  <c r="AE54" i="5"/>
  <c r="AG55" i="5" l="1"/>
  <c r="AF54" i="5"/>
  <c r="AH55" i="5" l="1"/>
  <c r="AG54" i="5"/>
  <c r="AI55" i="5" l="1"/>
  <c r="AH54" i="5"/>
  <c r="AJ55" i="5" l="1"/>
  <c r="AI54" i="5"/>
  <c r="AK55" i="5" l="1"/>
  <c r="AJ54" i="5"/>
  <c r="AL55" i="5" l="1"/>
  <c r="AK54" i="5"/>
  <c r="AM55" i="5" l="1"/>
  <c r="AL54" i="5"/>
  <c r="AN55" i="5" l="1"/>
  <c r="AM54" i="5"/>
  <c r="AO55" i="5" l="1"/>
  <c r="AN54" i="5"/>
  <c r="AP55" i="5" l="1"/>
  <c r="AO54" i="5"/>
  <c r="AQ55" i="5" l="1"/>
  <c r="AP54" i="5"/>
  <c r="AR55" i="5" l="1"/>
  <c r="AQ54" i="5"/>
  <c r="AS55" i="5" l="1"/>
  <c r="AR54" i="5"/>
  <c r="AT55" i="5" l="1"/>
  <c r="AS54" i="5"/>
  <c r="AU55" i="5" l="1"/>
  <c r="AT54" i="5"/>
  <c r="AV55" i="5" l="1"/>
  <c r="AU54" i="5"/>
  <c r="AW55" i="5" l="1"/>
  <c r="AV54" i="5"/>
  <c r="AX55" i="5" l="1"/>
  <c r="AW54" i="5"/>
  <c r="AY55" i="5" l="1"/>
  <c r="AX54" i="5"/>
  <c r="AZ55" i="5" l="1"/>
  <c r="AY54" i="5"/>
  <c r="BA55" i="5" l="1"/>
  <c r="AZ54" i="5"/>
  <c r="BB55" i="5" l="1"/>
  <c r="BB54" i="5" s="1"/>
  <c r="BA54" i="5"/>
  <c r="S208" i="5" a="1"/>
  <c r="S208"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<sst xmlns="http://schemas.openxmlformats.org/spreadsheetml/2006/main" count="412" uniqueCount="277">
  <si>
    <t>data from sec.gov</t>
  </si>
  <si>
    <t>mcdonalds valuation</t>
  </si>
  <si>
    <t>ticker: MCD</t>
  </si>
  <si>
    <t>equity</t>
  </si>
  <si>
    <t>risk free rate</t>
  </si>
  <si>
    <t>current</t>
  </si>
  <si>
    <t xml:space="preserve">I will use the 30years t bond as the risk free rate, because there is an onging war in the middle east, </t>
  </si>
  <si>
    <t>which does inherit some risk to the us, thus the 10year t bond isnt risk free.</t>
  </si>
  <si>
    <t>the risk free rate is tied to the interest rate, I believe in the next year</t>
  </si>
  <si>
    <t>interest rates will stay still, but after that we would see some</t>
  </si>
  <si>
    <t>cooling in the interest rate.</t>
  </si>
  <si>
    <t>equity risk premium</t>
  </si>
  <si>
    <t>equity risk premium represents the the yeild investors require for the riskiness of the equity market</t>
  </si>
  <si>
    <t xml:space="preserve">we can see that "latley" (since 2008) the equity risk premium is between the 4.1% to the 6% </t>
  </si>
  <si>
    <t>with that being said, its plausible that in the next 5 years, the market will be less riskier, as the war in the middle east is currently active.</t>
  </si>
  <si>
    <r>
      <t xml:space="preserve">as an estimate, we would use the last </t>
    </r>
    <r>
      <rPr>
        <b/>
        <sz val="11"/>
        <color theme="1"/>
        <rFont val="Arial"/>
        <family val="2"/>
        <scheme val="minor"/>
      </rPr>
      <t>10 years average</t>
    </r>
  </si>
  <si>
    <t>current erp: 4.15%</t>
  </si>
  <si>
    <t>historical avg: 4.24%</t>
  </si>
  <si>
    <t>5 years avg: 4.93%</t>
  </si>
  <si>
    <t>avg =</t>
  </si>
  <si>
    <t>avg :</t>
  </si>
  <si>
    <t>year</t>
  </si>
  <si>
    <t>erp</t>
  </si>
  <si>
    <t>2026</t>
  </si>
  <si>
    <t>2027</t>
  </si>
  <si>
    <t>beta</t>
  </si>
  <si>
    <t>revenues by spread</t>
  </si>
  <si>
    <t>u.s</t>
  </si>
  <si>
    <t>rest of the world</t>
  </si>
  <si>
    <t>region/country</t>
  </si>
  <si>
    <t xml:space="preserve">% </t>
  </si>
  <si>
    <t>we cant really do much with the lack of data about the "rest of the world" spread, to put a number on the ERP of the rest</t>
  </si>
  <si>
    <t>of the world, first I would propose that the rest of the world is riskier then the us, thus there is a premium that needs to be added to the us erp to calculate the resat of the world erp.</t>
  </si>
  <si>
    <t>Turkey CDS 5 Years</t>
  </si>
  <si>
    <t>Italy CDS 5 Years</t>
  </si>
  <si>
    <t>US CDS 5 Years</t>
  </si>
  <si>
    <t>UK CDS 5 Years</t>
  </si>
  <si>
    <t>Spain CDS 5 Years</t>
  </si>
  <si>
    <t>Brazil CDS 5 Years</t>
  </si>
  <si>
    <t>Australia CDS 5 Years</t>
  </si>
  <si>
    <t>Canada CDS 5 Years</t>
  </si>
  <si>
    <t>Mexico CDS 5 Years</t>
  </si>
  <si>
    <t>France CDS 5 Years</t>
  </si>
  <si>
    <t>Israel CDS 5 Year</t>
  </si>
  <si>
    <t>Egypt CDS 5 Years</t>
  </si>
  <si>
    <t>China CDS 5 Years</t>
  </si>
  <si>
    <t>Indonesia CDS 5 Years</t>
  </si>
  <si>
    <t>India CDS 5 Year</t>
  </si>
  <si>
    <t>Saudi Arabia CDS 5 Year</t>
  </si>
  <si>
    <t>Japan CDS 5 Year</t>
  </si>
  <si>
    <t>Switzerland CDS 5 Year</t>
  </si>
  <si>
    <t>South Korea CDS 5 Year</t>
  </si>
  <si>
    <t>South Africa CDS 5 Year</t>
  </si>
  <si>
    <t>Germany CDS 5 Year</t>
  </si>
  <si>
    <t>to calculate this premium, we would estimate an average of the premium in the credit default swap market to invest in risky bonds.</t>
  </si>
  <si>
    <t>average</t>
  </si>
  <si>
    <t xml:space="preserve"> basis points =</t>
  </si>
  <si>
    <t>%</t>
  </si>
  <si>
    <t>rest of the world default risk = 1%</t>
  </si>
  <si>
    <t>us erp</t>
  </si>
  <si>
    <t>rest of the world erp</t>
  </si>
  <si>
    <t>us portion</t>
  </si>
  <si>
    <t>rest of the world portion</t>
  </si>
  <si>
    <t>weighted avg erp</t>
  </si>
  <si>
    <t>note that as the years go, the portion of the revenue from the us is getting lower, because mcdonalds</t>
  </si>
  <si>
    <t>manage to srengthen it's roots in other countries, as its develop.</t>
  </si>
  <si>
    <t>mcdonalds is a company that operates in</t>
  </si>
  <si>
    <t>the Restaurant industry.</t>
  </si>
  <si>
    <t>note that mcdonalds is one of the biggest firms</t>
  </si>
  <si>
    <r>
      <rPr>
        <b/>
        <sz val="11"/>
        <color theme="1"/>
        <rFont val="Arial"/>
        <family val="2"/>
        <scheme val="minor"/>
      </rPr>
      <t>in the whole us market</t>
    </r>
    <r>
      <rPr>
        <sz val="11"/>
        <color theme="1"/>
        <rFont val="Arial"/>
        <family val="2"/>
        <scheme val="minor"/>
      </rPr>
      <t>, that her beta should be</t>
    </r>
  </si>
  <si>
    <t>close to 1</t>
  </si>
  <si>
    <t>beta - relative risk measure</t>
  </si>
  <si>
    <t>unlevered beta</t>
  </si>
  <si>
    <t>cost of equity</t>
  </si>
  <si>
    <t>coe = rf + (beta*erp)</t>
  </si>
  <si>
    <t>terminal</t>
  </si>
  <si>
    <t>rf</t>
  </si>
  <si>
    <t xml:space="preserve"> Debt</t>
  </si>
  <si>
    <t>market value of equity</t>
  </si>
  <si>
    <t>price =</t>
  </si>
  <si>
    <t>current shares outstanding =</t>
  </si>
  <si>
    <t>(in millions)</t>
  </si>
  <si>
    <t>market vaalue of equity =</t>
  </si>
  <si>
    <t>cost of debt = rf + x*country default risk + company default risk</t>
  </si>
  <si>
    <t xml:space="preserve">cost of debt = rf+company default risk </t>
  </si>
  <si>
    <r>
      <rPr>
        <b/>
        <sz val="11"/>
        <color theme="1"/>
        <rFont val="Arial"/>
        <family val="2"/>
        <scheme val="minor"/>
      </rPr>
      <t xml:space="preserve">x = 0; </t>
    </r>
    <r>
      <rPr>
        <sz val="11"/>
        <color theme="1"/>
        <rFont val="Arial"/>
        <family val="2"/>
        <scheme val="minor"/>
      </rPr>
      <t xml:space="preserve"> the usa has a default risk of 0%</t>
    </r>
  </si>
  <si>
    <t>we can have an estimate of the company default risk by rating of the firm's bonds.</t>
  </si>
  <si>
    <t>bond rating</t>
  </si>
  <si>
    <t>default risk</t>
  </si>
  <si>
    <t>A</t>
  </si>
  <si>
    <t>By fitch, A rated bond has a defailt risk of 2.7% after ata least 10 years</t>
  </si>
  <si>
    <t>BBB</t>
  </si>
  <si>
    <t>cost of debt</t>
  </si>
  <si>
    <t>market value of debt</t>
  </si>
  <si>
    <t>book value.</t>
  </si>
  <si>
    <t>to convert the debt to it's present value, we would treat it like a bond, where the cupon rate is the interest expense, and the discount rate is the cost of debt.</t>
  </si>
  <si>
    <t>to caluclate the cost of capital (wacc) we need to know how much equity and debt we have, we want to use the market value of equity and debt, to know what the market asses as the value, and not the</t>
  </si>
  <si>
    <t>thereafter</t>
  </si>
  <si>
    <t>debt</t>
  </si>
  <si>
    <t>total</t>
  </si>
  <si>
    <t>average year debt =</t>
  </si>
  <si>
    <t>thereafter/average year debt =</t>
  </si>
  <si>
    <t>interest ex</t>
  </si>
  <si>
    <t>present value</t>
  </si>
  <si>
    <t>total book value of debt =</t>
  </si>
  <si>
    <t xml:space="preserve">current total debt by 2024 q1 report = </t>
  </si>
  <si>
    <t>cost of capital</t>
  </si>
  <si>
    <t>mv of equity</t>
  </si>
  <si>
    <t>tax rate</t>
  </si>
  <si>
    <t>after tax cost of debt</t>
  </si>
  <si>
    <t>income taxes</t>
  </si>
  <si>
    <t>pre tax income</t>
  </si>
  <si>
    <t>effective tax rate</t>
  </si>
  <si>
    <t>marginal tax rate in the us -</t>
  </si>
  <si>
    <t>% chg</t>
  </si>
  <si>
    <t>story &amp; esstimations</t>
  </si>
  <si>
    <t>companies in the entire world, she get's most of her revenues by royal&amp;contract fees from the franchasee's, she is so big that her growth is pretty much determined  by the macro economic enviroment.</t>
  </si>
  <si>
    <t>in her last report, 1q 2024 meetings, she reported that mcdonalds and the whole industry is loosing traffic and growth because of the weakening consumer power, she reported that because of the macro economic eviorment, "we (mcd) must be laser-focused on affordability".</t>
  </si>
  <si>
    <t>to conclude to current situation, as inflation is staying sticky and interest rates are staying high, consumer power is getting weaker and weaker, which effects mcdonalds expected growth, because of that mcdonalds decided to shift herself torwards "affordability", to</t>
  </si>
  <si>
    <t>mcdonalds is a huge copmany, it's market cap is about 190 billion dollars, thus it should be obvious that mcdonalds is a grown company, treating mcdonalds as a burger company is somewhat misstreating her, mcdonalds is one of the biggest real estate</t>
  </si>
  <si>
    <t>the reason mcdonalds want to aim for affordability is that in the current eviorment, the consumers power is weak and is "counting every dollar", its important to note that becoming affordability will be take a toll on mcd's revenue growth and margins.</t>
  </si>
  <si>
    <t>in her quarter earnnings call, she also estimated that 2024 will not be an avrage year by past means, and that 2024 will be a year of moderation.</t>
  </si>
  <si>
    <t>with that being said, she also has a growth model called "Arches Strategic Plan", which by that plan, mcdonalds aim to:</t>
  </si>
  <si>
    <t>I think that the traget unit expansion, operaing margin, unit growth and cap ex are relativly realistic tragets, but I got to say that targeting for a free cash flow conversion of 90% is just a bit of an overshoot, and it seems like a marketing sceme, but i would</t>
  </si>
  <si>
    <t>meet consumer abilities in their current buying power, mcdonalds doesn’t expect to see any massive growth in 2024, but that does not stop her from reinvesting in future growth, and in 2024 she expects to open more 2100 units.</t>
  </si>
  <si>
    <t>my story</t>
  </si>
  <si>
    <t>as I said, mcdonalds is already a grown and well established firm, there is not a lot of room to "play" with it's future "story", but with that being said, I do have my own thoughts about mcdonalds.</t>
  </si>
  <si>
    <t>my story of mcdonalds is a story about a restarunt that shifted itself torwards being 99% frenchised.</t>
  </si>
  <si>
    <t>I believe that mcdonalds estimates for 2024 will come to be true, 2024 will be a year of moderation as consumer power is still weakenning, I think that thru 2024 to 2025 mcdonalds will lunch and shift herself torwards affordability, causing lower growth and lower margins,</t>
  </si>
  <si>
    <t>with that being said, because she is affordable at hard times, she will strengthen her ties with consumers, after a year or two, inflation cools down and consumer power strengthen, mcdonalds sees an above average growth preformence, because she shifted herself torwards</t>
  </si>
  <si>
    <t>being a a franchise, she enjoyes a high operating margins as she estimates in her model.</t>
  </si>
  <si>
    <t>after that she setteles down as a company with bellow average preformence.</t>
  </si>
  <si>
    <t>this is not a recommendation to buy/sell, this is me sharing my opinion about a firm and it's stock, do not see this valuation as a financial advice to operate</t>
  </si>
  <si>
    <t>value it as an option.</t>
  </si>
  <si>
    <t>revenues</t>
  </si>
  <si>
    <t>company</t>
  </si>
  <si>
    <t>mcd</t>
  </si>
  <si>
    <t>sbux</t>
  </si>
  <si>
    <t>cmg</t>
  </si>
  <si>
    <t>YUM</t>
  </si>
  <si>
    <t>QSR</t>
  </si>
  <si>
    <t>DPZ</t>
  </si>
  <si>
    <t>DRI</t>
  </si>
  <si>
    <t>YUMC</t>
  </si>
  <si>
    <t>TXRH</t>
  </si>
  <si>
    <t>WING</t>
  </si>
  <si>
    <t>CAVA</t>
  </si>
  <si>
    <t>ARMK</t>
  </si>
  <si>
    <t>SHAK</t>
  </si>
  <si>
    <t>SG</t>
  </si>
  <si>
    <t>WEN</t>
  </si>
  <si>
    <t>EAT</t>
  </si>
  <si>
    <t>ARCO</t>
  </si>
  <si>
    <t>CAKE</t>
  </si>
  <si>
    <t>BLMN</t>
  </si>
  <si>
    <t>PZZA</t>
  </si>
  <si>
    <t>HDL</t>
  </si>
  <si>
    <t>FWRG</t>
  </si>
  <si>
    <t>CNNE</t>
  </si>
  <si>
    <t>CRBL</t>
  </si>
  <si>
    <t>JACK</t>
  </si>
  <si>
    <t>KRUS</t>
  </si>
  <si>
    <t>BJRI</t>
  </si>
  <si>
    <t>PTLO</t>
  </si>
  <si>
    <t>BH.A</t>
  </si>
  <si>
    <t>DIN</t>
  </si>
  <si>
    <t>CHUY</t>
  </si>
  <si>
    <t>RICK</t>
  </si>
  <si>
    <t>DENN</t>
  </si>
  <si>
    <t>GENIK</t>
  </si>
  <si>
    <t>LOCO</t>
  </si>
  <si>
    <t>NATH</t>
  </si>
  <si>
    <t>PBPB</t>
  </si>
  <si>
    <t>STKS</t>
  </si>
  <si>
    <t>THCH</t>
  </si>
  <si>
    <t>RRGB</t>
  </si>
  <si>
    <t>FAT</t>
  </si>
  <si>
    <t>FATBB</t>
  </si>
  <si>
    <t>NDLS</t>
  </si>
  <si>
    <t>ARKR</t>
  </si>
  <si>
    <t>BDL</t>
  </si>
  <si>
    <t>RAVE</t>
  </si>
  <si>
    <t>GTIM</t>
  </si>
  <si>
    <t>SDOT</t>
  </si>
  <si>
    <t>REBN</t>
  </si>
  <si>
    <t>BTBD</t>
  </si>
  <si>
    <t>BFI</t>
  </si>
  <si>
    <t>YOSH</t>
  </si>
  <si>
    <t>% owned</t>
  </si>
  <si>
    <t>mcdonalds aproximtly own 14.45% of market share from the resterunt industry, the market share between firms is somewhat evenly shared, but you can see that Strubux and mcdonalds has the biggest market share</t>
  </si>
  <si>
    <t>because of their competitive advantages.</t>
  </si>
  <si>
    <t>when discussing mcdonalds revenues , its important to note that because of mcdonalds buisness model, which concludes shifting herself torwards being a full franchise, she sold some of her own units,</t>
  </si>
  <si>
    <t>thus, from one side she "lost revenues" beacuses the sales in those units arent their, but she gained larger margins because she doesn’t need to operate those units.</t>
  </si>
  <si>
    <t>% growth</t>
  </si>
  <si>
    <t>in macdonalds annual report, she reported that:</t>
  </si>
  <si>
    <t>thus, she expects a 2% growth in 2024.</t>
  </si>
  <si>
    <t>and 2.5% growth in the long term</t>
  </si>
  <si>
    <t>growth</t>
  </si>
  <si>
    <t>revenue</t>
  </si>
  <si>
    <t>operating margins</t>
  </si>
  <si>
    <t>operating income</t>
  </si>
  <si>
    <t>as mcdonalds reported:</t>
  </si>
  <si>
    <t>"The Company expects 2024 operating margin percent to be in the</t>
  </si>
  <si>
    <t xml:space="preserve"> mid-to-high 40% range"</t>
  </si>
  <si>
    <t>mid to high 40% range is about 45% - 49%, the current operating margins</t>
  </si>
  <si>
    <t>is 45.69%, by my story, I do expect to see margins go a little bit yp in 2024,</t>
  </si>
  <si>
    <t>but as the "effordabilty" plan comes to life we expected to see margins</t>
  </si>
  <si>
    <t>slowly decrese to the low to mid 40%.</t>
  </si>
  <si>
    <t>reinvestment</t>
  </si>
  <si>
    <t>bv of equity</t>
  </si>
  <si>
    <t>bv of debt</t>
  </si>
  <si>
    <t>cash</t>
  </si>
  <si>
    <t>sales to capital ratio</t>
  </si>
  <si>
    <t>capital</t>
  </si>
  <si>
    <t>chg</t>
  </si>
  <si>
    <t>num resterunts</t>
  </si>
  <si>
    <t>chg in resterunts to sale to capital ratio</t>
  </si>
  <si>
    <t>sales to capital ratio to num of resterunts</t>
  </si>
  <si>
    <t>the sales to capial ratio tells an intresting stories, before 2016 the raio was stable at around 1, but at 2016 we saw mcdonalds shifting by her buisness model and selling her own unit's to franchisee's, thus losing revenue growth.</t>
  </si>
  <si>
    <t>the lost in revenue growth caused mcdonalds STCR to get lower, but as we already can see by her model, we expect a sdeady grow in revenues from the new units show open.</t>
  </si>
  <si>
    <t>thus the STCR coming back to it's averages.</t>
  </si>
  <si>
    <t>% gain (loss)</t>
  </si>
  <si>
    <t>current price</t>
  </si>
  <si>
    <t>Fair Share Price</t>
  </si>
  <si>
    <t>Shares</t>
  </si>
  <si>
    <t>Equity Value</t>
  </si>
  <si>
    <t>- Debt</t>
  </si>
  <si>
    <t>+ Cash</t>
  </si>
  <si>
    <t>Enterprise Value</t>
  </si>
  <si>
    <t>Present Value of Terminal Value</t>
  </si>
  <si>
    <t>Terminal Value</t>
  </si>
  <si>
    <t>stable growth rate =</t>
  </si>
  <si>
    <t>TOTAL =</t>
  </si>
  <si>
    <t>Present Value of FCFF</t>
  </si>
  <si>
    <t>WACC</t>
  </si>
  <si>
    <t>Unlevered FCFF</t>
  </si>
  <si>
    <t>FCFF</t>
  </si>
  <si>
    <t>Reinvestment</t>
  </si>
  <si>
    <t>chg in revenues</t>
  </si>
  <si>
    <t>Sales to capital ratio</t>
  </si>
  <si>
    <t>EBIT after tax</t>
  </si>
  <si>
    <t>Tax rate</t>
  </si>
  <si>
    <t>EBIT</t>
  </si>
  <si>
    <t>Operating margins</t>
  </si>
  <si>
    <t>Revenues</t>
  </si>
  <si>
    <t>Growth rate</t>
  </si>
  <si>
    <t>fiscal 2024</t>
  </si>
  <si>
    <t>DCF</t>
  </si>
  <si>
    <t>x</t>
  </si>
  <si>
    <t>Terminal Growth rate</t>
  </si>
  <si>
    <t>Valuation Assumptions</t>
  </si>
  <si>
    <t>Assumptions</t>
  </si>
  <si>
    <t>Today's Share Price</t>
  </si>
  <si>
    <t>Date</t>
  </si>
  <si>
    <t>EBIT*(1-tax rate) - ((cap ex - depreciation) + chg in non cash wc) = FCFF</t>
  </si>
  <si>
    <t>current year:</t>
  </si>
  <si>
    <t>Implied Share Price</t>
  </si>
  <si>
    <t>Ticker</t>
  </si>
  <si>
    <t>MCD</t>
  </si>
  <si>
    <t>DCF by my story</t>
  </si>
  <si>
    <t>DCF by analysts estimates</t>
  </si>
  <si>
    <t xml:space="preserve">     MCD</t>
  </si>
  <si>
    <t>final thoughts</t>
  </si>
  <si>
    <t>as we discussed, the firm is so big with such a long history, that there is not a lot of room to play with it's future growth.</t>
  </si>
  <si>
    <t>as we valued mcdonalds by my story, I have found it massivley overvalued.</t>
  </si>
  <si>
    <t>even as we valued mcdonalds by analyst estimates, which tend to overvalue and "overpump" stocks, we found mcdonalds slightly overvalued.</t>
  </si>
  <si>
    <t>estimating what is the growth mcd need to achieve to justify it's price</t>
  </si>
  <si>
    <t>some prespective on that number, at good years mcdonalds grow about 6%, which is half of what is needed.</t>
  </si>
  <si>
    <t>Mcdonalds is a mature company, but it is in question whether she is already in the decline phase or some growth is yet to be achived.</t>
  </si>
  <si>
    <t>To understand the finding better, we can think about it in a reverse way, by my DCF, to justify mcdonald's stock price, mcdonalds needs to preforme extrodinary well, to be specific, have an average of 11.5% growth rates for the next 6 years, to put</t>
  </si>
  <si>
    <t>I would like to point out that DCF is only one prespective and power on the markets, and some stocks just roam free in their own world, where they can be seem as overvalued but keep going up in price for years on end.</t>
  </si>
  <si>
    <t>even though I find mcdonalds to be massivly overvalued, there is a good chance that in 10 years she would have a high price then she has now.</t>
  </si>
  <si>
    <t>to conclude this DCF, I find mcdonalds massivly overvalued, I attach a call for</t>
  </si>
  <si>
    <t>Strong Sell</t>
  </si>
  <si>
    <t xml:space="preserve">end -   06/07/24 </t>
  </si>
  <si>
    <t>start -  06/04/24</t>
  </si>
  <si>
    <t>date of valuation: 06/04/24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</si>
</sst>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 #,##0.00_ ;_ * \-#,##0.00_ ;_ * &quot;-&quot;??_ ;_ @_ "/>
    <numFmt numFmtId="164" formatCode="0.000%"/>
    <numFmt numFmtId="165" formatCode="_-[$$-409]* #,##0.00_ ;_-[$$-409]* \-#,##0.00\ ;_-[$$-409]* &quot;-&quot;??_ ;_-@_ "/>
    <numFmt numFmtId="166" formatCode="_-[$$-409]* #,##0_ ;_-[$$-409]* \-#,##0\ ;_-[$$-409]* &quot;-&quot;??_ ;_-@_ "/>
    <numFmt numFmtId="167" formatCode="0.00000%"/>
    <numFmt numFmtId="168" formatCode="_-[$$-409]* #,##0.0_ ;_-[$$-409]* \-#,##0.0\ ;_-[$$-409]* &quot;-&quot;??_ ;_-@_ "/>
    <numFmt numFmtId="169" formatCode="0.0%"/>
    <numFmt numFmtId="170" formatCode="_ * #,##0_ ;_ * \-#,##0_ ;_ * &quot;-&quot;??_ ;_ @_ "/>
    <numFmt numFmtId="171" formatCode="_([$$-409]* #,##0.00_);_([$$-409]* \(#,##0.00\);_([$$-409]* &quot;-&quot;??_);_(@_)"/>
    <numFmt numFmtId="172" formatCode="&quot;$&quot;#,##0"/>
    <numFmt numFmtId="173" formatCode="&quot;$&quot;#,##0_);[Red]\(&quot;$&quot;#,##0\)"/>
    <numFmt numFmtId="174" formatCode="&quot;$&quot;#,##0.00"/>
  </numFmts>
  <fonts count="36" x14ac:knownFonts="1">
    <font>
      <sz val="11"/>
      <color theme="1"/>
      <name val="Arial"/>
      <family val="2"/>
      <scheme val="minor"/>
    </font>
    <font>
      <sz val="11"/>
      <color theme="1"/>
      <name val="Arial"/>
      <family val="2"/>
      <scheme val="minor"/>
    </font>
    <font>
      <b/>
      <sz val="18"/>
      <color theme="1"/>
      <name val="Arial"/>
      <family val="2"/>
      <scheme val="minor"/>
    </font>
    <font>
      <b/>
      <sz val="20"/>
      <color theme="1"/>
      <name val="Arial"/>
      <family val="2"/>
      <scheme val="minor"/>
    </font>
    <font>
      <b/>
      <sz val="11"/>
      <color theme="1"/>
      <name val="Arial"/>
      <family val="2"/>
      <scheme val="minor"/>
    </font>
    <font>
      <b/>
      <u/>
      <sz val="12"/>
      <color theme="1"/>
      <name val="Arial"/>
      <family val="2"/>
      <scheme val="minor"/>
    </font>
    <font>
      <b/>
      <i/>
      <sz val="10"/>
      <color theme="1"/>
      <name val="Arial"/>
      <family val="2"/>
      <scheme val="minor"/>
    </font>
    <font>
      <sz val="10"/>
      <color theme="1"/>
      <name val="Arial"/>
      <family val="2"/>
      <scheme val="minor"/>
    </font>
    <font>
      <sz val="10"/>
      <name val="Arial"/>
      <family val="2"/>
      <scheme val="minor"/>
    </font>
    <font>
      <b/>
      <u/>
      <sz val="11"/>
      <color theme="1"/>
      <name val="Arial"/>
      <family val="2"/>
      <scheme val="minor"/>
    </font>
    <font>
      <sz val="11"/>
      <color rgb="FF232526"/>
      <name val="Segoe UI"/>
      <family val="2"/>
    </font>
    <font>
      <sz val="11"/>
      <color rgb="FF232526"/>
      <name val="Segoe UI"/>
      <family val="2"/>
    </font>
    <font>
      <b/>
      <sz val="14"/>
      <color theme="1"/>
      <name val="Arial"/>
      <family val="2"/>
      <scheme val="minor"/>
    </font>
    <font>
      <sz val="11"/>
      <color rgb="FF000000"/>
      <name val="Arial"/>
      <family val="2"/>
      <scheme val="minor"/>
    </font>
    <font>
      <sz val="11"/>
      <name val="Arial"/>
      <family val="2"/>
      <scheme val="minor"/>
    </font>
    <font>
      <sz val="11"/>
      <color theme="0"/>
      <name val="Arial"/>
      <family val="2"/>
      <scheme val="minor"/>
    </font>
    <font>
      <sz val="11"/>
      <color rgb="FF444444"/>
      <name val="Roboto"/>
    </font>
    <font>
      <b/>
      <sz val="11"/>
      <name val="Arial"/>
      <family val="2"/>
      <scheme val="minor"/>
    </font>
    <font>
      <sz val="11"/>
      <color rgb="FFD1D4DC"/>
      <name val="Trebuchet MS"/>
      <family val="2"/>
    </font>
    <font>
      <sz val="11"/>
      <color rgb="FF868993"/>
      <name val="Trebuchet MS"/>
      <family val="2"/>
    </font>
    <font>
      <sz val="11"/>
      <color rgb="FF868993"/>
      <name val="Trebuchet MS"/>
      <family val="2"/>
    </font>
    <font>
      <sz val="11"/>
      <color rgb="FF22AB94"/>
      <name val="Trebuchet MS"/>
      <family val="2"/>
    </font>
    <font>
      <sz val="11"/>
      <color rgb="FFF7525F"/>
      <name val="Trebuchet MS"/>
      <family val="2"/>
    </font>
    <font>
      <sz val="8"/>
      <color rgb="FF868993"/>
      <name val="Trebuchet MS"/>
      <family val="2"/>
    </font>
    <font>
      <u/>
      <sz val="11"/>
      <color theme="10"/>
      <name val="Arial"/>
      <family val="2"/>
      <scheme val="minor"/>
    </font>
    <font>
      <b/>
      <sz val="11"/>
      <color rgb="FF00B050"/>
      <name val="Arial"/>
      <family val="2"/>
      <scheme val="minor"/>
    </font>
    <font>
      <sz val="11"/>
      <color rgb="FF00B050"/>
      <name val="Arial"/>
      <family val="2"/>
      <scheme val="minor"/>
    </font>
    <font>
      <sz val="11"/>
      <color rgb="FF7030A0"/>
      <name val="Arial"/>
      <family val="2"/>
      <scheme val="minor"/>
    </font>
    <font>
      <sz val="11"/>
      <color rgb="FFFF0000"/>
      <name val="Arial"/>
      <family val="2"/>
      <scheme val="minor"/>
    </font>
    <font>
      <i/>
      <sz val="11"/>
      <color theme="1"/>
      <name val="Arial"/>
      <family val="2"/>
      <scheme val="minor"/>
    </font>
    <font>
      <i/>
      <sz val="11"/>
      <color rgb="FF00B050"/>
      <name val="Arial"/>
      <family val="2"/>
      <scheme val="minor"/>
    </font>
    <font>
      <b/>
      <sz val="11"/>
      <color theme="0"/>
      <name val="Arial"/>
      <family val="2"/>
      <scheme val="minor"/>
    </font>
    <font>
      <b/>
      <sz val="11"/>
      <color rgb="FFFF0000"/>
      <name val="Arial"/>
      <family val="2"/>
      <scheme val="minor"/>
    </font>
    <font>
      <b/>
      <sz val="14"/>
      <color rgb="FF00B050"/>
      <name val="Times New Roman"/>
      <family val="1"/>
      <scheme val="major"/>
    </font>
    <font>
      <b/>
      <sz val="16"/>
      <color theme="1"/>
      <name val="Arial"/>
      <family val="2"/>
      <scheme val="minor"/>
    </font>
    <font>
      <b/>
      <sz val="11"/>
      <color rgb="FF0070C0"/>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bgColor theme="0" tint="-0.14999847407452621"/>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theme="7" tint="0.59999389629810485"/>
        <bgColor indexed="64"/>
      </patternFill>
    </fill>
    <fill>
      <patternFill patternType="solid">
        <fgColor theme="3"/>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bgColor indexed="64"/>
      </patternFill>
    </fill>
  </fills>
  <borders count="39">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rgb="FFECEDEF"/>
      </top>
      <bottom/>
      <diagonal/>
    </border>
    <border>
      <left/>
      <right/>
      <top style="medium">
        <color rgb="FFECEDEF"/>
      </top>
      <bottom style="medium">
        <color rgb="FFECEDEF"/>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medium">
        <color indexed="64"/>
      </top>
      <bottom style="medium">
        <color indexed="64"/>
      </bottom>
      <diagonal/>
    </border>
    <border>
      <left/>
      <right/>
      <top style="medium">
        <color rgb="FFDDDDDD"/>
      </top>
      <bottom/>
      <diagonal/>
    </border>
    <border>
      <left style="dotted">
        <color indexed="64"/>
      </left>
      <right style="dotted">
        <color indexed="64"/>
      </right>
      <top style="dotted">
        <color indexed="64"/>
      </top>
      <bottom style="thin">
        <color indexed="64"/>
      </bottom>
      <diagonal/>
    </border>
    <border>
      <left/>
      <right/>
      <top/>
      <bottom style="thin">
        <color indexed="64"/>
      </bottom>
      <diagonal/>
    </border>
    <border>
      <left style="dotted">
        <color indexed="64"/>
      </left>
      <right style="dotted">
        <color indexed="64"/>
      </right>
      <top style="dotted">
        <color indexed="64"/>
      </top>
      <bottom style="dotted">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bottom/>
      <diagonal/>
    </border>
    <border>
      <left/>
      <right/>
      <top style="thin">
        <color indexed="64"/>
      </top>
      <bottom/>
      <diagonal/>
    </border>
    <border>
      <left/>
      <right/>
      <top style="dotted">
        <color indexed="64"/>
      </top>
      <bottom/>
      <diagonal/>
    </border>
    <border>
      <left style="hair">
        <color indexed="64"/>
      </left>
      <right style="hair">
        <color indexed="64"/>
      </right>
      <top style="hair">
        <color indexed="64"/>
      </top>
      <bottom style="hair">
        <color indexed="64"/>
      </bottom>
      <diagonal/>
    </border>
    <border>
      <left style="thin">
        <color indexed="64"/>
      </left>
      <right/>
      <top style="medium">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24" fillId="0" borderId="0" applyNumberFormat="0" applyFill="0" applyBorder="0" applyAlignment="0" applyProtection="0"/>
  </cellStyleXfs>
  <cellXfs count="227">
    <xf numFmtId="0" fontId="0" fillId="0" borderId="0" xfId="0"/>
    <xf numFmtId="0" fontId="4" fillId="0" borderId="0" xfId="0" applyFont="1"/>
    <xf numFmtId="164" fontId="0" fillId="0" borderId="0" xfId="2" applyNumberFormat="1" applyFont="1"/>
    <xf numFmtId="0" fontId="5" fillId="0" borderId="0" xfId="0" applyFont="1"/>
    <xf numFmtId="0" fontId="0" fillId="3" borderId="0" xfId="0" applyFill="1"/>
    <xf numFmtId="10" fontId="0" fillId="3" borderId="0" xfId="0" applyNumberFormat="1" applyFill="1" applyAlignment="1">
      <alignment horizontal="left" vertical="top"/>
    </xf>
    <xf numFmtId="10" fontId="6" fillId="3" borderId="0" xfId="0" applyNumberFormat="1" applyFont="1" applyFill="1" applyAlignment="1">
      <alignment horizontal="center" vertical="center"/>
    </xf>
    <xf numFmtId="0" fontId="0" fillId="4" borderId="0" xfId="0" applyFill="1" applyAlignment="1">
      <alignment horizontal="left" vertical="top"/>
    </xf>
    <xf numFmtId="10" fontId="7" fillId="3" borderId="0" xfId="0" applyNumberFormat="1" applyFont="1" applyFill="1" applyAlignment="1">
      <alignment horizontal="center" vertical="center"/>
    </xf>
    <xf numFmtId="0" fontId="0" fillId="3" borderId="0" xfId="0" applyFill="1" applyAlignment="1">
      <alignment horizontal="left" vertical="top"/>
    </xf>
    <xf numFmtId="10" fontId="7" fillId="4" borderId="0" xfId="0" applyNumberFormat="1" applyFont="1" applyFill="1" applyAlignment="1">
      <alignment horizontal="center" vertical="center"/>
    </xf>
    <xf numFmtId="0" fontId="0" fillId="4" borderId="0" xfId="0" applyFill="1" applyAlignment="1">
      <alignment horizontal="center" vertical="center"/>
    </xf>
    <xf numFmtId="164" fontId="0" fillId="3" borderId="0" xfId="0" applyNumberFormat="1" applyFill="1" applyAlignment="1">
      <alignment horizontal="left" vertical="top"/>
    </xf>
    <xf numFmtId="0" fontId="0" fillId="0" borderId="1" xfId="0" applyBorder="1" applyAlignment="1">
      <alignment horizontal="center" vertical="center"/>
    </xf>
    <xf numFmtId="0" fontId="0" fillId="0" borderId="2" xfId="0" applyBorder="1" applyAlignment="1">
      <alignment horizontal="center" vertical="center"/>
    </xf>
    <xf numFmtId="0" fontId="8" fillId="0" borderId="3" xfId="0" applyFont="1" applyBorder="1" applyAlignment="1">
      <alignment horizontal="center"/>
    </xf>
    <xf numFmtId="10" fontId="8" fillId="5" borderId="4" xfId="0" applyNumberFormat="1" applyFont="1" applyFill="1" applyBorder="1" applyAlignment="1">
      <alignment horizontal="center"/>
    </xf>
    <xf numFmtId="10" fontId="8" fillId="5" borderId="5" xfId="0" applyNumberFormat="1" applyFont="1" applyFill="1" applyBorder="1" applyAlignment="1">
      <alignment horizontal="center"/>
    </xf>
    <xf numFmtId="0" fontId="8" fillId="0" borderId="0" xfId="0" applyFont="1" applyAlignment="1">
      <alignment horizontal="center"/>
    </xf>
    <xf numFmtId="164" fontId="0" fillId="3" borderId="0" xfId="0" applyNumberFormat="1" applyFill="1"/>
    <xf numFmtId="10" fontId="8" fillId="3" borderId="0" xfId="0" applyNumberFormat="1" applyFont="1" applyFill="1" applyAlignment="1">
      <alignment horizontal="center"/>
    </xf>
    <xf numFmtId="0" fontId="8" fillId="0" borderId="6" xfId="0" applyFont="1" applyBorder="1" applyAlignment="1">
      <alignment horizontal="center"/>
    </xf>
    <xf numFmtId="0" fontId="9" fillId="0" borderId="0" xfId="0" applyFont="1"/>
    <xf numFmtId="0" fontId="0" fillId="0" borderId="7" xfId="0" applyBorder="1"/>
    <xf numFmtId="9" fontId="0" fillId="0" borderId="7" xfId="0" applyNumberFormat="1" applyBorder="1"/>
    <xf numFmtId="9" fontId="0" fillId="0" borderId="2" xfId="0" applyNumberFormat="1" applyBorder="1"/>
    <xf numFmtId="0" fontId="0" fillId="0" borderId="6" xfId="0" applyBorder="1"/>
    <xf numFmtId="0" fontId="0" fillId="0" borderId="8" xfId="0" applyBorder="1"/>
    <xf numFmtId="9" fontId="0" fillId="0" borderId="5" xfId="0" applyNumberFormat="1" applyBorder="1"/>
    <xf numFmtId="0" fontId="0" fillId="0" borderId="9" xfId="0" applyBorder="1" applyAlignment="1">
      <alignment horizontal="left"/>
    </xf>
    <xf numFmtId="0" fontId="0" fillId="0" borderId="10" xfId="0" applyBorder="1" applyAlignment="1">
      <alignment horizontal="left"/>
    </xf>
    <xf numFmtId="10" fontId="0" fillId="0" borderId="0" xfId="0" applyNumberFormat="1"/>
    <xf numFmtId="0" fontId="0" fillId="6" borderId="11" xfId="0" applyFill="1" applyBorder="1" applyAlignment="1">
      <alignment vertical="center"/>
    </xf>
    <xf numFmtId="10" fontId="11" fillId="6" borderId="11" xfId="0" applyNumberFormat="1" applyFont="1" applyFill="1" applyBorder="1" applyAlignment="1">
      <alignment horizontal="right" vertical="center" readingOrder="1"/>
    </xf>
    <xf numFmtId="16" fontId="10" fillId="6" borderId="11" xfId="0" applyNumberFormat="1" applyFont="1" applyFill="1" applyBorder="1" applyAlignment="1">
      <alignment vertical="center"/>
    </xf>
    <xf numFmtId="10" fontId="11" fillId="6" borderId="12" xfId="0" applyNumberFormat="1" applyFont="1" applyFill="1" applyBorder="1" applyAlignment="1">
      <alignment horizontal="right" vertical="center" readingOrder="1"/>
    </xf>
    <xf numFmtId="16" fontId="10" fillId="6" borderId="12" xfId="0" applyNumberFormat="1" applyFont="1" applyFill="1" applyBorder="1" applyAlignment="1">
      <alignment vertical="center"/>
    </xf>
    <xf numFmtId="0" fontId="10" fillId="5" borderId="11" xfId="0" applyFont="1" applyFill="1" applyBorder="1" applyAlignment="1">
      <alignment horizontal="right" vertical="center"/>
    </xf>
    <xf numFmtId="0" fontId="10" fillId="5" borderId="12" xfId="0" applyFont="1" applyFill="1" applyBorder="1" applyAlignment="1">
      <alignment horizontal="right" vertical="center"/>
    </xf>
    <xf numFmtId="0" fontId="0" fillId="0" borderId="13" xfId="0" applyBorder="1" applyAlignment="1">
      <alignment horizontal="center" vertical="center"/>
    </xf>
    <xf numFmtId="10" fontId="0" fillId="0" borderId="14" xfId="0" applyNumberFormat="1" applyBorder="1" applyAlignment="1">
      <alignment horizontal="center" vertical="center"/>
    </xf>
    <xf numFmtId="0" fontId="0" fillId="0" borderId="7" xfId="0" applyBorder="1" applyAlignment="1">
      <alignment horizontal="center"/>
    </xf>
    <xf numFmtId="10" fontId="0" fillId="0" borderId="7" xfId="0" applyNumberFormat="1" applyBorder="1"/>
    <xf numFmtId="9" fontId="0" fillId="0" borderId="7" xfId="2" applyFont="1" applyBorder="1"/>
    <xf numFmtId="0" fontId="0" fillId="0" borderId="15" xfId="0" applyBorder="1"/>
    <xf numFmtId="9" fontId="0" fillId="0" borderId="15" xfId="0" applyNumberFormat="1" applyBorder="1"/>
    <xf numFmtId="0" fontId="0" fillId="0" borderId="16" xfId="0" applyBorder="1"/>
    <xf numFmtId="10" fontId="0" fillId="5" borderId="17" xfId="0" applyNumberFormat="1" applyFill="1" applyBorder="1"/>
    <xf numFmtId="10" fontId="0" fillId="5" borderId="18" xfId="0" applyNumberFormat="1" applyFill="1" applyBorder="1"/>
    <xf numFmtId="0" fontId="0" fillId="0" borderId="7" xfId="0" applyBorder="1" applyAlignment="1">
      <alignment horizontal="left" vertical="center"/>
    </xf>
    <xf numFmtId="165" fontId="0" fillId="0" borderId="0" xfId="0" applyNumberFormat="1"/>
    <xf numFmtId="0" fontId="0" fillId="0" borderId="19" xfId="0" applyBorder="1"/>
    <xf numFmtId="9" fontId="0" fillId="0" borderId="19" xfId="2" applyFont="1" applyFill="1" applyBorder="1"/>
    <xf numFmtId="9" fontId="0" fillId="0" borderId="20" xfId="0" applyNumberFormat="1" applyBorder="1"/>
    <xf numFmtId="10" fontId="0" fillId="5" borderId="21" xfId="0" applyNumberFormat="1" applyFill="1" applyBorder="1"/>
    <xf numFmtId="0" fontId="0" fillId="0" borderId="7" xfId="0" applyBorder="1" applyAlignment="1">
      <alignment horizontal="left"/>
    </xf>
    <xf numFmtId="164" fontId="0" fillId="0" borderId="7" xfId="0" applyNumberFormat="1" applyBorder="1"/>
    <xf numFmtId="164" fontId="0" fillId="7" borderId="17" xfId="0" applyNumberFormat="1" applyFill="1" applyBorder="1"/>
    <xf numFmtId="0" fontId="0" fillId="5" borderId="16" xfId="0" applyFill="1" applyBorder="1" applyAlignment="1">
      <alignment horizontal="center" vertical="center"/>
    </xf>
    <xf numFmtId="164" fontId="0" fillId="7" borderId="17" xfId="0" applyNumberFormat="1" applyFill="1" applyBorder="1" applyAlignment="1">
      <alignment horizontal="center" vertical="center"/>
    </xf>
    <xf numFmtId="43" fontId="13" fillId="0" borderId="0" xfId="1" applyFont="1"/>
    <xf numFmtId="165" fontId="0" fillId="7" borderId="0" xfId="0" applyNumberFormat="1" applyFill="1"/>
    <xf numFmtId="164" fontId="0" fillId="0" borderId="7" xfId="2" applyNumberFormat="1" applyFont="1" applyBorder="1"/>
    <xf numFmtId="10" fontId="0" fillId="0" borderId="15" xfId="0" applyNumberFormat="1" applyBorder="1"/>
    <xf numFmtId="0" fontId="14" fillId="5" borderId="16" xfId="0" applyFont="1" applyFill="1" applyBorder="1"/>
    <xf numFmtId="164" fontId="0" fillId="7" borderId="18" xfId="0" applyNumberFormat="1" applyFill="1" applyBorder="1"/>
    <xf numFmtId="10" fontId="0" fillId="0" borderId="0" xfId="2" applyNumberFormat="1" applyFont="1"/>
    <xf numFmtId="165" fontId="15" fillId="0" borderId="0" xfId="0" applyNumberFormat="1" applyFont="1"/>
    <xf numFmtId="165" fontId="15" fillId="3" borderId="0" xfId="0" applyNumberFormat="1" applyFont="1" applyFill="1"/>
    <xf numFmtId="165" fontId="0" fillId="0" borderId="7" xfId="0" applyNumberFormat="1" applyBorder="1"/>
    <xf numFmtId="165" fontId="4" fillId="0" borderId="0" xfId="0" applyNumberFormat="1" applyFont="1"/>
    <xf numFmtId="165" fontId="4" fillId="8" borderId="0" xfId="0" applyNumberFormat="1" applyFont="1" applyFill="1"/>
    <xf numFmtId="0" fontId="0" fillId="0" borderId="0" xfId="0" applyAlignment="1">
      <alignment horizontal="center"/>
    </xf>
    <xf numFmtId="0" fontId="0" fillId="0" borderId="23" xfId="0" applyBorder="1"/>
    <xf numFmtId="0" fontId="16" fillId="6" borderId="25" xfId="0" applyFont="1" applyFill="1" applyBorder="1" applyAlignment="1">
      <alignment horizontal="center" vertical="center" wrapText="1"/>
    </xf>
    <xf numFmtId="166" fontId="0" fillId="0" borderId="0" xfId="0" applyNumberFormat="1"/>
    <xf numFmtId="166" fontId="16" fillId="6" borderId="25" xfId="0" applyNumberFormat="1" applyFont="1" applyFill="1" applyBorder="1" applyAlignment="1">
      <alignment horizontal="center" vertical="center" wrapText="1"/>
    </xf>
    <xf numFmtId="9" fontId="0" fillId="0" borderId="0" xfId="0" applyNumberFormat="1"/>
    <xf numFmtId="10" fontId="16" fillId="6" borderId="25" xfId="0" applyNumberFormat="1" applyFont="1" applyFill="1" applyBorder="1" applyAlignment="1">
      <alignment horizontal="center" vertical="center" wrapText="1"/>
    </xf>
    <xf numFmtId="10" fontId="0" fillId="0" borderId="7" xfId="2" applyNumberFormat="1" applyFont="1" applyBorder="1"/>
    <xf numFmtId="167" fontId="0" fillId="0" borderId="7" xfId="0" applyNumberFormat="1" applyBorder="1"/>
    <xf numFmtId="165" fontId="0" fillId="0" borderId="23" xfId="0" applyNumberFormat="1" applyBorder="1"/>
    <xf numFmtId="0" fontId="17" fillId="8" borderId="22" xfId="0" applyFont="1" applyFill="1" applyBorder="1"/>
    <xf numFmtId="10" fontId="14" fillId="7" borderId="24" xfId="2" applyNumberFormat="1" applyFont="1" applyFill="1" applyBorder="1"/>
    <xf numFmtId="0" fontId="19" fillId="3" borderId="0" xfId="0" applyFont="1" applyFill="1" applyAlignment="1">
      <alignment horizontal="right" vertical="center"/>
    </xf>
    <xf numFmtId="0" fontId="20" fillId="3" borderId="0" xfId="0" applyFont="1" applyFill="1" applyAlignment="1">
      <alignment horizontal="right" vertical="center"/>
    </xf>
    <xf numFmtId="0" fontId="18" fillId="3" borderId="0" xfId="0" applyFont="1" applyFill="1" applyAlignment="1">
      <alignment horizontal="right" vertical="center" indent="1" readingOrder="1"/>
    </xf>
    <xf numFmtId="10" fontId="21" fillId="3" borderId="0" xfId="0" applyNumberFormat="1" applyFont="1" applyFill="1" applyAlignment="1">
      <alignment horizontal="right" vertical="center" indent="1" readingOrder="1"/>
    </xf>
    <xf numFmtId="0" fontId="22" fillId="3" borderId="0" xfId="0" applyFont="1" applyFill="1" applyAlignment="1">
      <alignment horizontal="right" vertical="center" indent="1" readingOrder="1"/>
    </xf>
    <xf numFmtId="165" fontId="21" fillId="3" borderId="0" xfId="0" applyNumberFormat="1" applyFont="1" applyFill="1" applyAlignment="1">
      <alignment horizontal="right" vertical="center" indent="1" readingOrder="1"/>
    </xf>
    <xf numFmtId="0" fontId="19" fillId="3" borderId="0" xfId="0" applyFont="1" applyFill="1" applyAlignment="1">
      <alignment horizontal="left" vertical="center"/>
    </xf>
    <xf numFmtId="0" fontId="24" fillId="3" borderId="0" xfId="3" applyFill="1" applyBorder="1" applyAlignment="1">
      <alignment horizontal="left" vertical="center" indent="1" readingOrder="1"/>
    </xf>
    <xf numFmtId="0" fontId="23" fillId="3" borderId="0" xfId="0" applyFont="1" applyFill="1" applyAlignment="1">
      <alignment horizontal="left" vertical="center" indent="1" readingOrder="1"/>
    </xf>
    <xf numFmtId="169" fontId="0" fillId="0" borderId="0" xfId="2" applyNumberFormat="1" applyFont="1"/>
    <xf numFmtId="0" fontId="15" fillId="0" borderId="0" xfId="0" applyFont="1"/>
    <xf numFmtId="166" fontId="15" fillId="0" borderId="0" xfId="0" applyNumberFormat="1" applyFont="1"/>
    <xf numFmtId="0" fontId="16" fillId="6" borderId="0" xfId="0" applyFont="1" applyFill="1" applyAlignment="1">
      <alignment horizontal="center" vertical="center" wrapText="1"/>
    </xf>
    <xf numFmtId="169" fontId="0" fillId="0" borderId="0" xfId="0" applyNumberFormat="1"/>
    <xf numFmtId="0" fontId="0" fillId="8" borderId="0" xfId="0" applyFill="1"/>
    <xf numFmtId="0" fontId="14" fillId="8" borderId="0" xfId="0" applyFont="1" applyFill="1"/>
    <xf numFmtId="165" fontId="0" fillId="8" borderId="0" xfId="0" applyNumberFormat="1" applyFill="1"/>
    <xf numFmtId="2" fontId="0" fillId="0" borderId="0" xfId="0" applyNumberFormat="1"/>
    <xf numFmtId="170" fontId="0" fillId="0" borderId="0" xfId="1" applyNumberFormat="1" applyFont="1"/>
    <xf numFmtId="170" fontId="0" fillId="0" borderId="0" xfId="0" applyNumberFormat="1"/>
    <xf numFmtId="43" fontId="0" fillId="0" borderId="0" xfId="0" applyNumberFormat="1"/>
    <xf numFmtId="171" fontId="25" fillId="0" borderId="0" xfId="0" applyNumberFormat="1" applyFont="1"/>
    <xf numFmtId="0" fontId="0" fillId="0" borderId="27" xfId="0" applyBorder="1"/>
    <xf numFmtId="37" fontId="17" fillId="0" borderId="0" xfId="0" applyNumberFormat="1" applyFont="1"/>
    <xf numFmtId="172" fontId="0" fillId="0" borderId="26" xfId="0" applyNumberFormat="1" applyBorder="1" applyAlignment="1">
      <alignment horizontal="right"/>
    </xf>
    <xf numFmtId="0" fontId="0" fillId="0" borderId="27" xfId="0" quotePrefix="1" applyBorder="1"/>
    <xf numFmtId="172" fontId="0" fillId="0" borderId="28" xfId="0" applyNumberFormat="1" applyBorder="1" applyAlignment="1">
      <alignment horizontal="right"/>
    </xf>
    <xf numFmtId="0" fontId="0" fillId="0" borderId="0" xfId="0" quotePrefix="1"/>
    <xf numFmtId="165" fontId="17" fillId="0" borderId="0" xfId="0" applyNumberFormat="1" applyFont="1"/>
    <xf numFmtId="165" fontId="14" fillId="0" borderId="27" xfId="0" applyNumberFormat="1" applyFont="1" applyBorder="1"/>
    <xf numFmtId="165" fontId="14" fillId="0" borderId="0" xfId="0" applyNumberFormat="1" applyFont="1"/>
    <xf numFmtId="14" fontId="0" fillId="0" borderId="0" xfId="0" applyNumberFormat="1"/>
    <xf numFmtId="10" fontId="25" fillId="0" borderId="0" xfId="0" applyNumberFormat="1" applyFont="1"/>
    <xf numFmtId="165" fontId="26" fillId="0" borderId="30" xfId="0" applyNumberFormat="1" applyFont="1" applyBorder="1"/>
    <xf numFmtId="165" fontId="27" fillId="0" borderId="0" xfId="0" applyNumberFormat="1" applyFont="1"/>
    <xf numFmtId="165" fontId="26" fillId="0" borderId="0" xfId="0" applyNumberFormat="1" applyFont="1"/>
    <xf numFmtId="0" fontId="14" fillId="0" borderId="0" xfId="0" applyFont="1" applyAlignment="1">
      <alignment horizontal="center" vertical="center"/>
    </xf>
    <xf numFmtId="165" fontId="27" fillId="0" borderId="31" xfId="0" applyNumberFormat="1" applyFont="1" applyBorder="1"/>
    <xf numFmtId="165" fontId="28" fillId="0" borderId="0" xfId="0" applyNumberFormat="1" applyFont="1"/>
    <xf numFmtId="165" fontId="0" fillId="0" borderId="31" xfId="0" applyNumberFormat="1" applyBorder="1"/>
    <xf numFmtId="165" fontId="29" fillId="0" borderId="0" xfId="0" applyNumberFormat="1" applyFont="1"/>
    <xf numFmtId="165" fontId="26" fillId="0" borderId="31" xfId="0" applyNumberFormat="1" applyFont="1" applyBorder="1"/>
    <xf numFmtId="0" fontId="0" fillId="0" borderId="31" xfId="0" applyBorder="1"/>
    <xf numFmtId="9" fontId="0" fillId="0" borderId="31" xfId="0" applyNumberFormat="1" applyBorder="1"/>
    <xf numFmtId="165" fontId="30" fillId="0" borderId="0" xfId="2" applyNumberFormat="1" applyFont="1" applyFill="1" applyBorder="1"/>
    <xf numFmtId="165" fontId="30" fillId="0" borderId="31" xfId="2" applyNumberFormat="1" applyFont="1" applyBorder="1"/>
    <xf numFmtId="169" fontId="29" fillId="0" borderId="0" xfId="2" applyNumberFormat="1" applyFont="1"/>
    <xf numFmtId="0" fontId="29" fillId="0" borderId="0" xfId="0" applyFont="1"/>
    <xf numFmtId="165" fontId="26" fillId="0" borderId="20" xfId="0" applyNumberFormat="1" applyFont="1" applyBorder="1"/>
    <xf numFmtId="3" fontId="27" fillId="0" borderId="0" xfId="0" applyNumberFormat="1" applyFont="1"/>
    <xf numFmtId="0" fontId="26" fillId="0" borderId="0" xfId="0" applyFont="1"/>
    <xf numFmtId="10" fontId="26" fillId="0" borderId="0" xfId="2" applyNumberFormat="1" applyFont="1"/>
    <xf numFmtId="10" fontId="26" fillId="0" borderId="31" xfId="2" applyNumberFormat="1" applyFont="1" applyBorder="1"/>
    <xf numFmtId="168" fontId="26" fillId="0" borderId="0" xfId="0" applyNumberFormat="1" applyFont="1"/>
    <xf numFmtId="10" fontId="29" fillId="0" borderId="0" xfId="2" applyNumberFormat="1" applyFont="1" applyFill="1" applyBorder="1"/>
    <xf numFmtId="10" fontId="29" fillId="0" borderId="31" xfId="2" applyNumberFormat="1" applyFont="1" applyBorder="1"/>
    <xf numFmtId="3" fontId="14" fillId="0" borderId="0" xfId="0" applyNumberFormat="1" applyFont="1"/>
    <xf numFmtId="3" fontId="27" fillId="0" borderId="31" xfId="0" applyNumberFormat="1" applyFont="1" applyBorder="1"/>
    <xf numFmtId="0" fontId="31" fillId="10" borderId="0" xfId="0" applyFont="1" applyFill="1" applyAlignment="1">
      <alignment horizontal="center" vertical="center"/>
    </xf>
    <xf numFmtId="0" fontId="31" fillId="10" borderId="0" xfId="0" applyFont="1" applyFill="1"/>
    <xf numFmtId="0" fontId="0" fillId="10" borderId="0" xfId="0" applyFill="1"/>
    <xf numFmtId="0" fontId="0" fillId="9" borderId="0" xfId="0" applyFill="1"/>
    <xf numFmtId="0" fontId="4" fillId="9" borderId="0" xfId="0" applyFont="1" applyFill="1"/>
    <xf numFmtId="0" fontId="0" fillId="0" borderId="32" xfId="0" applyBorder="1"/>
    <xf numFmtId="10" fontId="32" fillId="0" borderId="22" xfId="2" applyNumberFormat="1" applyFont="1" applyBorder="1"/>
    <xf numFmtId="10" fontId="4" fillId="0" borderId="7" xfId="2" applyNumberFormat="1" applyFont="1" applyBorder="1" applyAlignment="1"/>
    <xf numFmtId="0" fontId="14" fillId="3" borderId="0" xfId="0" applyFont="1" applyFill="1"/>
    <xf numFmtId="169" fontId="14" fillId="3" borderId="0" xfId="2" applyNumberFormat="1" applyFont="1" applyFill="1"/>
    <xf numFmtId="173" fontId="14" fillId="3" borderId="0" xfId="0" applyNumberFormat="1" applyFont="1" applyFill="1"/>
    <xf numFmtId="3" fontId="14" fillId="3" borderId="0" xfId="0" applyNumberFormat="1" applyFont="1" applyFill="1"/>
    <xf numFmtId="3" fontId="0" fillId="0" borderId="0" xfId="0" applyNumberFormat="1"/>
    <xf numFmtId="1" fontId="0" fillId="0" borderId="0" xfId="0" applyNumberFormat="1"/>
    <xf numFmtId="169" fontId="0" fillId="11" borderId="28" xfId="0" applyNumberFormat="1" applyFill="1" applyBorder="1" applyAlignment="1">
      <alignment horizontal="center"/>
    </xf>
    <xf numFmtId="171" fontId="0" fillId="0" borderId="0" xfId="0" applyNumberFormat="1"/>
    <xf numFmtId="0" fontId="0" fillId="3" borderId="33" xfId="0" applyFill="1" applyBorder="1" applyAlignment="1">
      <alignment horizontal="center"/>
    </xf>
    <xf numFmtId="174" fontId="0" fillId="0" borderId="28" xfId="0" applyNumberFormat="1" applyBorder="1" applyAlignment="1">
      <alignment horizontal="center"/>
    </xf>
    <xf numFmtId="14" fontId="0" fillId="11" borderId="34" xfId="0" applyNumberFormat="1" applyFill="1" applyBorder="1" applyAlignment="1">
      <alignment horizontal="center"/>
    </xf>
    <xf numFmtId="0" fontId="0" fillId="0" borderId="28" xfId="0" applyBorder="1" applyAlignment="1">
      <alignment horizontal="center"/>
    </xf>
    <xf numFmtId="0" fontId="0" fillId="11" borderId="34" xfId="0" applyFill="1" applyBorder="1" applyAlignment="1">
      <alignment horizontal="center"/>
    </xf>
    <xf numFmtId="0" fontId="34" fillId="0" borderId="27" xfId="0" applyFont="1" applyBorder="1"/>
    <xf numFmtId="0" fontId="4" fillId="3" borderId="0" xfId="0" applyFont="1" applyFill="1"/>
    <xf numFmtId="0" fontId="31" fillId="3" borderId="0" xfId="0" applyFont="1" applyFill="1" applyAlignment="1">
      <alignment horizontal="center" vertical="center"/>
    </xf>
    <xf numFmtId="0" fontId="0" fillId="3" borderId="0" xfId="0" applyFill="1" applyAlignment="1">
      <alignment horizontal="center"/>
    </xf>
    <xf numFmtId="10" fontId="29" fillId="3" borderId="0" xfId="2" applyNumberFormat="1" applyFont="1" applyFill="1" applyBorder="1"/>
    <xf numFmtId="168" fontId="26" fillId="3" borderId="0" xfId="0" applyNumberFormat="1" applyFont="1" applyFill="1"/>
    <xf numFmtId="165" fontId="30" fillId="3" borderId="0" xfId="2" applyNumberFormat="1" applyFont="1" applyFill="1" applyBorder="1"/>
    <xf numFmtId="165" fontId="26" fillId="3" borderId="0" xfId="0" applyNumberFormat="1" applyFont="1" applyFill="1"/>
    <xf numFmtId="10" fontId="26" fillId="3" borderId="0" xfId="2" applyNumberFormat="1" applyFont="1" applyFill="1"/>
    <xf numFmtId="9" fontId="0" fillId="3" borderId="0" xfId="0" applyNumberFormat="1" applyFill="1"/>
    <xf numFmtId="165" fontId="0" fillId="3" borderId="0" xfId="0" applyNumberFormat="1" applyFill="1"/>
    <xf numFmtId="165" fontId="28" fillId="3" borderId="0" xfId="0" applyNumberFormat="1" applyFont="1" applyFill="1"/>
    <xf numFmtId="0" fontId="0" fillId="3" borderId="32" xfId="0" applyFill="1" applyBorder="1"/>
    <xf numFmtId="10" fontId="26" fillId="3" borderId="0" xfId="2" applyNumberFormat="1" applyFont="1" applyFill="1" applyBorder="1"/>
    <xf numFmtId="3" fontId="27" fillId="3" borderId="0" xfId="0" applyNumberFormat="1" applyFont="1" applyFill="1"/>
    <xf numFmtId="169" fontId="29" fillId="3" borderId="0" xfId="2" applyNumberFormat="1" applyFont="1" applyFill="1" applyBorder="1"/>
    <xf numFmtId="165" fontId="4" fillId="3" borderId="0" xfId="0" applyNumberFormat="1" applyFont="1" applyFill="1"/>
    <xf numFmtId="165" fontId="27" fillId="3" borderId="0" xfId="0" applyNumberFormat="1" applyFont="1" applyFill="1"/>
    <xf numFmtId="0" fontId="14" fillId="3" borderId="0" xfId="0" applyFont="1" applyFill="1" applyAlignment="1">
      <alignment horizontal="center" vertical="center"/>
    </xf>
    <xf numFmtId="10" fontId="4" fillId="3" borderId="0" xfId="2" applyNumberFormat="1" applyFont="1" applyFill="1" applyBorder="1" applyAlignment="1"/>
    <xf numFmtId="14" fontId="0" fillId="3" borderId="0" xfId="0" applyNumberFormat="1" applyFill="1"/>
    <xf numFmtId="165" fontId="14" fillId="3" borderId="0" xfId="0" applyNumberFormat="1" applyFont="1" applyFill="1"/>
    <xf numFmtId="165" fontId="17" fillId="3" borderId="0" xfId="0" applyNumberFormat="1" applyFont="1" applyFill="1"/>
    <xf numFmtId="172" fontId="0" fillId="3" borderId="0" xfId="0" applyNumberFormat="1" applyFill="1" applyAlignment="1">
      <alignment horizontal="right"/>
    </xf>
    <xf numFmtId="37" fontId="17" fillId="3" borderId="0" xfId="0" applyNumberFormat="1" applyFont="1" applyFill="1"/>
    <xf numFmtId="3" fontId="0" fillId="3" borderId="0" xfId="0" applyNumberFormat="1" applyFill="1" applyAlignment="1">
      <alignment horizontal="right"/>
    </xf>
    <xf numFmtId="171" fontId="25" fillId="3" borderId="0" xfId="0" applyNumberFormat="1" applyFont="1" applyFill="1"/>
    <xf numFmtId="10" fontId="25" fillId="3" borderId="0" xfId="2" applyNumberFormat="1" applyFont="1" applyFill="1" applyBorder="1"/>
    <xf numFmtId="0" fontId="31" fillId="3" borderId="0" xfId="0" applyFont="1" applyFill="1"/>
    <xf numFmtId="0" fontId="29" fillId="3" borderId="0" xfId="0" applyFont="1" applyFill="1"/>
    <xf numFmtId="0" fontId="26" fillId="3" borderId="0" xfId="0" applyFont="1" applyFill="1"/>
    <xf numFmtId="165" fontId="29" fillId="3" borderId="0" xfId="0" applyNumberFormat="1" applyFont="1" applyFill="1"/>
    <xf numFmtId="10" fontId="25" fillId="3" borderId="0" xfId="0" applyNumberFormat="1" applyFont="1" applyFill="1"/>
    <xf numFmtId="0" fontId="0" fillId="3" borderId="0" xfId="0" quotePrefix="1" applyFill="1"/>
    <xf numFmtId="10" fontId="4" fillId="3" borderId="7" xfId="2" applyNumberFormat="1" applyFont="1" applyFill="1" applyBorder="1" applyAlignment="1"/>
    <xf numFmtId="165" fontId="26" fillId="0" borderId="35" xfId="0" applyNumberFormat="1" applyFont="1" applyBorder="1"/>
    <xf numFmtId="10" fontId="4" fillId="0" borderId="15" xfId="2" applyNumberFormat="1" applyFont="1" applyBorder="1" applyAlignment="1"/>
    <xf numFmtId="0" fontId="17" fillId="12" borderId="0" xfId="0" applyFont="1" applyFill="1" applyAlignment="1">
      <alignment horizontal="center" vertical="center"/>
    </xf>
    <xf numFmtId="0" fontId="4" fillId="0" borderId="36" xfId="0" applyFont="1" applyBorder="1"/>
    <xf numFmtId="165" fontId="0" fillId="0" borderId="29" xfId="0" applyNumberFormat="1" applyBorder="1"/>
    <xf numFmtId="0" fontId="4" fillId="0" borderId="6" xfId="0" applyFont="1" applyBorder="1"/>
    <xf numFmtId="165" fontId="26" fillId="0" borderId="8" xfId="0" applyNumberFormat="1" applyFont="1" applyBorder="1"/>
    <xf numFmtId="165" fontId="26" fillId="0" borderId="38" xfId="0" applyNumberFormat="1" applyFont="1" applyBorder="1"/>
    <xf numFmtId="10" fontId="4" fillId="12" borderId="17" xfId="2" applyNumberFormat="1" applyFont="1" applyFill="1" applyBorder="1" applyAlignment="1"/>
    <xf numFmtId="169" fontId="0" fillId="3" borderId="0" xfId="2" applyNumberFormat="1" applyFont="1" applyFill="1"/>
    <xf numFmtId="0" fontId="4" fillId="0" borderId="1" xfId="0" applyFont="1" applyBorder="1"/>
    <xf numFmtId="0" fontId="4" fillId="0" borderId="30" xfId="0" applyFont="1" applyBorder="1"/>
    <xf numFmtId="0" fontId="4" fillId="0" borderId="37" xfId="0" applyFont="1" applyBorder="1"/>
    <xf numFmtId="0" fontId="4" fillId="0" borderId="7" xfId="0" applyFont="1" applyBorder="1"/>
    <xf numFmtId="10" fontId="4" fillId="13" borderId="7" xfId="2" applyNumberFormat="1" applyFont="1" applyFill="1" applyBorder="1" applyAlignment="1"/>
    <xf numFmtId="165" fontId="14" fillId="12" borderId="16" xfId="0" applyNumberFormat="1" applyFont="1" applyFill="1" applyBorder="1"/>
    <xf numFmtId="165" fontId="14" fillId="12" borderId="18" xfId="0" applyNumberFormat="1" applyFont="1" applyFill="1" applyBorder="1"/>
    <xf numFmtId="10" fontId="35" fillId="0" borderId="22" xfId="2" applyNumberFormat="1" applyFont="1" applyBorder="1"/>
    <xf numFmtId="0" fontId="2" fillId="2" borderId="0" xfId="0" applyFont="1" applyFill="1" applyAlignment="1">
      <alignment horizontal="center" vertical="center"/>
    </xf>
    <xf numFmtId="0" fontId="2" fillId="0" borderId="0" xfId="0" applyFont="1" applyAlignment="1">
      <alignment horizontal="center" vertical="center"/>
    </xf>
    <xf numFmtId="0" fontId="12" fillId="0" borderId="0" xfId="0" applyFont="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xf>
    <xf numFmtId="0" fontId="0" fillId="0" borderId="0" xfId="0" applyAlignment="1">
      <alignment horizontal="center" vertical="center"/>
    </xf>
    <xf numFmtId="0" fontId="12" fillId="2" borderId="0" xfId="0" applyFont="1" applyFill="1" applyAlignment="1">
      <alignment horizontal="center" vertical="center"/>
    </xf>
    <xf numFmtId="0" fontId="18" fillId="3" borderId="0" xfId="0" applyFont="1" applyFill="1" applyAlignment="1">
      <alignment horizontal="right" vertical="center" indent="1" readingOrder="1"/>
    </xf>
    <xf numFmtId="0" fontId="33" fillId="0" borderId="0" xfId="0" applyFont="1" applyAlignment="1">
      <alignment horizontal="center" vertical="center"/>
    </xf>
    <xf numFmtId="0" fontId="4" fillId="3" borderId="0" xfId="0" applyFont="1" applyFill="1" applyAlignment="1">
      <alignment horizontal="center"/>
    </xf>
    <xf numFmtId="0" fontId="12" fillId="8" borderId="0" xfId="0" applyFont="1" applyFill="1" applyAlignment="1">
      <alignment horizontal="center" vertic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0" i="1" u="none" strike="noStrike" baseline="0">
                <a:solidFill>
                  <a:srgbClr val="000000"/>
                </a:solidFill>
                <a:latin typeface="Times"/>
                <a:ea typeface="Times"/>
                <a:cs typeface="Times"/>
              </a:defRPr>
            </a:pPr>
            <a:r>
              <a:rPr lang="en-US"/>
              <a:t>Implied Equity Risk Premium for US Equity Market: 1960-2022</a:t>
            </a:r>
          </a:p>
        </c:rich>
      </c:tx>
      <c:layout>
        <c:manualLayout>
          <c:xMode val="edge"/>
          <c:yMode val="edge"/>
          <c:x val="0.22017021425734248"/>
          <c:y val="4.0488773510298115E-2"/>
        </c:manualLayout>
      </c:layout>
      <c:overlay val="0"/>
      <c:spPr>
        <a:noFill/>
        <a:ln w="25400">
          <a:noFill/>
        </a:ln>
      </c:spPr>
    </c:title>
    <c:autoTitleDeleted val="0"/>
    <c:plotArea>
      <c:layout>
        <c:manualLayout>
          <c:layoutTarget val="inner"/>
          <c:xMode val="edge"/>
          <c:yMode val="edge"/>
          <c:x val="8.0989876265466818E-2"/>
          <c:y val="0.10695555832044698"/>
          <c:w val="0.89333333333333331"/>
          <c:h val="0.77559912854030499"/>
        </c:manualLayout>
      </c:layout>
      <c:lineChart>
        <c:grouping val="standard"/>
        <c:varyColors val="0"/>
        <c:ser>
          <c:idx val="12"/>
          <c:order val="0"/>
          <c:tx>
            <c:strRef>
              <c:f>'[1]Historical Impl Premiums'!$N$7</c:f>
              <c:strCache>
                <c:ptCount val="1"/>
                <c:pt idx="0">
                  <c:v>Implied Premium (DDM)</c:v>
                </c:pt>
              </c:strCache>
            </c:strRef>
          </c:tx>
          <c:spPr>
            <a:ln w="25400">
              <a:solidFill>
                <a:srgbClr val="000000"/>
              </a:solidFill>
              <a:prstDash val="solid"/>
            </a:ln>
          </c:spPr>
          <c:marker>
            <c:symbol val="circle"/>
            <c:size val="6"/>
            <c:spPr>
              <a:solidFill>
                <a:srgbClr val="003300"/>
              </a:solidFill>
              <a:ln>
                <a:solidFill>
                  <a:srgbClr val="000000"/>
                </a:solidFill>
                <a:prstDash val="solid"/>
              </a:ln>
            </c:spPr>
          </c:marker>
          <c:cat>
            <c:numRef>
              <c:f>'[1]Historical Impl Premiums'!$A$8:$A$71</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'[1]Historical Impl Premiums'!$Q$8:$Q$71</c:f>
              <c:numCache>
                <c:formatCode>General</c:formatCode>
                <c:ptCount val="64"/>
                <c:pt idx="1">
                  <c:v>2.92E-2</c:v>
                </c:pt>
                <c:pt idx="2">
                  <c:v>3.56E-2</c:v>
                </c:pt>
                <c:pt idx="3">
                  <c:v>3.3799999999999997E-2</c:v>
                </c:pt>
                <c:pt idx="4">
                  <c:v>3.3099999999999997E-2</c:v>
                </c:pt>
                <c:pt idx="5">
                  <c:v>3.32E-2</c:v>
                </c:pt>
                <c:pt idx="6">
                  <c:v>3.6799999999999999E-2</c:v>
                </c:pt>
                <c:pt idx="7">
                  <c:v>3.2000000000000001E-2</c:v>
                </c:pt>
                <c:pt idx="8">
                  <c:v>0.03</c:v>
                </c:pt>
                <c:pt idx="9">
                  <c:v>3.7400000000000003E-2</c:v>
                </c:pt>
                <c:pt idx="10">
                  <c:v>3.4099999999999998E-2</c:v>
                </c:pt>
                <c:pt idx="11">
                  <c:v>3.09E-2</c:v>
                </c:pt>
                <c:pt idx="12">
                  <c:v>2.7199999999999998E-2</c:v>
                </c:pt>
                <c:pt idx="13">
                  <c:v>4.2999999999999997E-2</c:v>
                </c:pt>
                <c:pt idx="14">
                  <c:v>5.5899999999999998E-2</c:v>
                </c:pt>
                <c:pt idx="15">
                  <c:v>4.1300000000000003E-2</c:v>
                </c:pt>
                <c:pt idx="16">
                  <c:v>4.5499999999999999E-2</c:v>
                </c:pt>
                <c:pt idx="17">
                  <c:v>5.9200000000000003E-2</c:v>
                </c:pt>
                <c:pt idx="18">
                  <c:v>5.7200000000000001E-2</c:v>
                </c:pt>
                <c:pt idx="19">
                  <c:v>6.4500000000000002E-2</c:v>
                </c:pt>
                <c:pt idx="20">
                  <c:v>5.0299999999999997E-2</c:v>
                </c:pt>
                <c:pt idx="21">
                  <c:v>5.7299999999999997E-2</c:v>
                </c:pt>
                <c:pt idx="22">
                  <c:v>4.9000000000000002E-2</c:v>
                </c:pt>
                <c:pt idx="23">
                  <c:v>4.3099999999999999E-2</c:v>
                </c:pt>
                <c:pt idx="24">
                  <c:v>5.11E-2</c:v>
                </c:pt>
                <c:pt idx="25">
                  <c:v>3.8399999999999997E-2</c:v>
                </c:pt>
                <c:pt idx="26">
                  <c:v>3.5799999999999998E-2</c:v>
                </c:pt>
                <c:pt idx="27">
                  <c:v>3.9899999999999998E-2</c:v>
                </c:pt>
                <c:pt idx="28">
                  <c:v>3.7699999999999997E-2</c:v>
                </c:pt>
                <c:pt idx="29">
                  <c:v>3.5099999999999999E-2</c:v>
                </c:pt>
                <c:pt idx="30">
                  <c:v>3.8899999999999997E-2</c:v>
                </c:pt>
                <c:pt idx="31">
                  <c:v>3.4799999999999998E-2</c:v>
                </c:pt>
                <c:pt idx="32">
                  <c:v>3.5499999999999997E-2</c:v>
                </c:pt>
                <c:pt idx="33">
                  <c:v>3.1699999999999999E-2</c:v>
                </c:pt>
                <c:pt idx="34">
                  <c:v>3.5499999999999997E-2</c:v>
                </c:pt>
                <c:pt idx="35">
                  <c:v>3.2899999999999999E-2</c:v>
                </c:pt>
                <c:pt idx="36">
                  <c:v>3.2000000000000001E-2</c:v>
                </c:pt>
                <c:pt idx="37">
                  <c:v>2.7300000000000001E-2</c:v>
                </c:pt>
                <c:pt idx="38">
                  <c:v>2.2599999999999999E-2</c:v>
                </c:pt>
                <c:pt idx="39">
                  <c:v>2.0500000000000001E-2</c:v>
                </c:pt>
                <c:pt idx="40">
                  <c:v>2.87E-2</c:v>
                </c:pt>
                <c:pt idx="41">
                  <c:v>3.6200000000000003E-2</c:v>
                </c:pt>
                <c:pt idx="42">
                  <c:v>4.1000000000000002E-2</c:v>
                </c:pt>
                <c:pt idx="43">
                  <c:v>3.6900000000000002E-2</c:v>
                </c:pt>
                <c:pt idx="44">
                  <c:v>3.6499999999999998E-2</c:v>
                </c:pt>
                <c:pt idx="45">
                  <c:v>4.0800000000000003E-2</c:v>
                </c:pt>
                <c:pt idx="46">
                  <c:v>4.1599999999999998E-2</c:v>
                </c:pt>
                <c:pt idx="47">
                  <c:v>4.3700000000000003E-2</c:v>
                </c:pt>
                <c:pt idx="48">
                  <c:v>6.4299999999999996E-2</c:v>
                </c:pt>
                <c:pt idx="49">
                  <c:v>4.36E-2</c:v>
                </c:pt>
                <c:pt idx="50">
                  <c:v>5.1999999999999998E-2</c:v>
                </c:pt>
                <c:pt idx="51">
                  <c:v>6.0100000000000001E-2</c:v>
                </c:pt>
                <c:pt idx="52">
                  <c:v>5.7799999999999997E-2</c:v>
                </c:pt>
                <c:pt idx="53">
                  <c:v>4.9599999999999998E-2</c:v>
                </c:pt>
                <c:pt idx="54">
                  <c:v>5.7799999999999997E-2</c:v>
                </c:pt>
                <c:pt idx="55">
                  <c:v>6.1199999999999997E-2</c:v>
                </c:pt>
                <c:pt idx="56">
                  <c:v>5.6899999999999999E-2</c:v>
                </c:pt>
                <c:pt idx="57">
                  <c:v>5.0799999999999998E-2</c:v>
                </c:pt>
                <c:pt idx="58">
                  <c:v>5.96E-2</c:v>
                </c:pt>
                <c:pt idx="59">
                  <c:v>5.1999999999999998E-2</c:v>
                </c:pt>
                <c:pt idx="60">
                  <c:v>4.7199999999999999E-2</c:v>
                </c:pt>
                <c:pt idx="61">
                  <c:v>4.24E-2</c:v>
                </c:pt>
                <c:pt idx="62">
                  <c:v>5.9400000000000001E-2</c:v>
                </c:pt>
                <c:pt idx="63">
                  <c:v>4.5999999999999999E-2</c:v>
                </c:pt>
              </c:numCache>
            </c:numRef>
          </c:val>
          <c:smooth val="0"/>
          <c:extLst>
            <c:ext xmlns:c16="http://schemas.microsoft.com/office/drawing/2014/chart" uri="{C3380CC4-5D6E-409C-BE32-E72D297353CC}">
              <c16:uniqueId val="{00000000-DD5B-4A01-BC2B-B43FBB4656F2}"/>
            </c:ext>
          </c:extLst>
        </c:ser>
        <c:dLbls>
          <c:showLegendKey val="0"/>
          <c:showVal val="0"/>
          <c:showCatName val="0"/>
          <c:showSerName val="0"/>
          <c:showPercent val="0"/>
          <c:showBubbleSize val="0"/>
        </c:dLbls>
        <c:marker val="1"/>
        <c:smooth val="0"/>
        <c:axId val="1138378911"/>
        <c:axId val="1"/>
      </c:lineChart>
      <c:catAx>
        <c:axId val="1138378911"/>
        <c:scaling>
          <c:orientation val="minMax"/>
        </c:scaling>
        <c:delete val="0"/>
        <c:axPos val="b"/>
        <c:majorGridlines>
          <c:spPr>
            <a:ln w="3175">
              <a:solidFill>
                <a:srgbClr val="808080"/>
              </a:solidFill>
              <a:prstDash val="solid"/>
            </a:ln>
          </c:spPr>
        </c:majorGridlines>
        <c:title>
          <c:tx>
            <c:rich>
              <a:bodyPr/>
              <a:lstStyle/>
              <a:p>
                <a:pPr>
                  <a:defRPr sz="1000" b="0" i="0" u="none" strike="noStrike" baseline="0">
                    <a:solidFill>
                      <a:srgbClr val="000000"/>
                    </a:solidFill>
                    <a:latin typeface="Times"/>
                    <a:ea typeface="Times"/>
                    <a:cs typeface="Times"/>
                  </a:defRPr>
                </a:pPr>
                <a:r>
                  <a:rPr lang="en-US"/>
                  <a:t>Year</a:t>
                </a:r>
              </a:p>
            </c:rich>
          </c:tx>
          <c:layout>
            <c:manualLayout>
              <c:xMode val="edge"/>
              <c:yMode val="edge"/>
              <c:x val="0.5229630365195449"/>
              <c:y val="0.94771240931128153"/>
            </c:manualLayout>
          </c:layout>
          <c:overlay val="0"/>
          <c:spPr>
            <a:noFill/>
            <a:ln w="25400">
              <a:noFill/>
            </a:ln>
          </c:spPr>
        </c:title>
        <c:numFmt formatCode="General" sourceLinked="1"/>
        <c:majorTickMark val="out"/>
        <c:minorTickMark val="in"/>
        <c:tickLblPos val="nextTo"/>
        <c:spPr>
          <a:ln w="3175">
            <a:solidFill>
              <a:srgbClr val="000000"/>
            </a:solidFill>
            <a:prstDash val="solid"/>
          </a:ln>
        </c:spPr>
        <c:txPr>
          <a:bodyPr rot="5400000" vert="horz"/>
          <a:lstStyle/>
          <a:p>
            <a:pPr rtl="0">
              <a:defRPr sz="1000" b="0" i="0" u="none" strike="noStrike" baseline="0">
                <a:solidFill>
                  <a:srgbClr val="000000"/>
                </a:solidFill>
                <a:latin typeface="Times"/>
                <a:ea typeface="Times"/>
                <a:cs typeface="Times"/>
              </a:defRPr>
            </a:pPr>
            <a:endParaRPr lang="he-IL"/>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0" i="0" u="none" strike="noStrike" baseline="0">
                    <a:solidFill>
                      <a:srgbClr val="000000"/>
                    </a:solidFill>
                    <a:latin typeface="Times"/>
                    <a:ea typeface="Times"/>
                    <a:cs typeface="Times"/>
                  </a:defRPr>
                </a:pPr>
                <a:r>
                  <a:rPr lang="en-US"/>
                  <a:t>Implied Premium</a:t>
                </a:r>
              </a:p>
            </c:rich>
          </c:tx>
          <c:layout>
            <c:manualLayout>
              <c:xMode val="edge"/>
              <c:yMode val="edge"/>
              <c:x val="1.0370452580667773E-2"/>
              <c:y val="0.4270154385723618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rtl="0">
              <a:defRPr sz="1000" b="0" i="0" u="none" strike="noStrike" baseline="0">
                <a:solidFill>
                  <a:srgbClr val="000000"/>
                </a:solidFill>
                <a:latin typeface="Times"/>
                <a:ea typeface="Times"/>
                <a:cs typeface="Times"/>
              </a:defRPr>
            </a:pPr>
            <a:endParaRPr lang="he-IL"/>
          </a:p>
        </c:txPr>
        <c:crossAx val="1138378911"/>
        <c:crosses val="autoZero"/>
        <c:crossBetween val="between"/>
      </c:valAx>
      <c:spPr>
        <a:solidFill>
          <a:srgbClr val="FFFFFF"/>
        </a:solid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Times"/>
          <a:ea typeface="Times"/>
          <a:cs typeface="Times"/>
        </a:defRPr>
      </a:pPr>
      <a:endParaRPr lang="he-IL"/>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6421766814643688E-2"/>
          <c:y val="9.2230561880202566E-2"/>
          <c:w val="0.85461504194087379"/>
          <c:h val="0.77370074419106916"/>
        </c:manualLayout>
      </c:layout>
      <c:barChart>
        <c:barDir val="col"/>
        <c:grouping val="clustered"/>
        <c:varyColors val="0"/>
        <c:ser>
          <c:idx val="0"/>
          <c:order val="0"/>
          <c:tx>
            <c:strRef>
              <c:f>'5.Story&amp;Estimations'!$C$144</c:f>
              <c:strCache>
                <c:ptCount val="1"/>
                <c:pt idx="0">
                  <c:v>revenues</c:v>
                </c:pt>
              </c:strCache>
            </c:strRef>
          </c:tx>
          <c:spPr>
            <a:solidFill>
              <a:schemeClr val="accent1"/>
            </a:solidFill>
            <a:ln>
              <a:noFill/>
            </a:ln>
            <a:effectLst/>
          </c:spPr>
          <c:invertIfNegative val="0"/>
          <c:cat>
            <c:numRef>
              <c:f>'5.Story&amp;Estimations'!$B$145:$B$159</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'5.Story&amp;Estimations'!$C$145:$C$159</c:f>
              <c:numCache>
                <c:formatCode>_-[$$-409]* #,##0_ ;_-[$$-409]* \-#,##0\ ;_-[$$-409]* "-"??_ ;_-@_ </c:formatCode>
                <c:ptCount val="15"/>
                <c:pt idx="0">
                  <c:v>22745</c:v>
                </c:pt>
                <c:pt idx="1">
                  <c:v>24075</c:v>
                </c:pt>
                <c:pt idx="2">
                  <c:v>27006</c:v>
                </c:pt>
                <c:pt idx="3">
                  <c:v>27567</c:v>
                </c:pt>
                <c:pt idx="4">
                  <c:v>28106</c:v>
                </c:pt>
                <c:pt idx="5">
                  <c:v>27441</c:v>
                </c:pt>
                <c:pt idx="6">
                  <c:v>25413</c:v>
                </c:pt>
                <c:pt idx="7">
                  <c:v>24622</c:v>
                </c:pt>
                <c:pt idx="8">
                  <c:v>22820</c:v>
                </c:pt>
                <c:pt idx="9">
                  <c:v>21258</c:v>
                </c:pt>
                <c:pt idx="10">
                  <c:v>21364</c:v>
                </c:pt>
                <c:pt idx="11">
                  <c:v>19208</c:v>
                </c:pt>
                <c:pt idx="12">
                  <c:v>23223</c:v>
                </c:pt>
                <c:pt idx="13">
                  <c:v>23183</c:v>
                </c:pt>
                <c:pt idx="14">
                  <c:v>25494</c:v>
                </c:pt>
              </c:numCache>
            </c:numRef>
          </c:val>
          <c:extLst>
            <c:ext xmlns:c16="http://schemas.microsoft.com/office/drawing/2014/chart" uri="{C3380CC4-5D6E-409C-BE32-E72D297353CC}">
              <c16:uniqueId val="{00000000-3D3F-471C-8701-214063D631CF}"/>
            </c:ext>
          </c:extLst>
        </c:ser>
        <c:ser>
          <c:idx val="2"/>
          <c:order val="2"/>
          <c:tx>
            <c:strRef>
              <c:f>'5.Story&amp;Estimations'!$E$144</c:f>
              <c:strCache>
                <c:ptCount val="1"/>
                <c:pt idx="0">
                  <c:v>operating income</c:v>
                </c:pt>
              </c:strCache>
            </c:strRef>
          </c:tx>
          <c:spPr>
            <a:solidFill>
              <a:schemeClr val="accent3"/>
            </a:solidFill>
            <a:ln>
              <a:noFill/>
            </a:ln>
            <a:effectLst/>
          </c:spPr>
          <c:invertIfNegative val="0"/>
          <c:cat>
            <c:numRef>
              <c:f>'5.Story&amp;Estimations'!$B$145:$B$159</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'5.Story&amp;Estimations'!$E$145:$E$159</c:f>
              <c:numCache>
                <c:formatCode>_-[$$-409]* #,##0_ ;_-[$$-409]* \-#,##0\ ;_-[$$-409]* "-"??_ ;_-@_ </c:formatCode>
                <c:ptCount val="15"/>
                <c:pt idx="0">
                  <c:v>6841</c:v>
                </c:pt>
                <c:pt idx="1">
                  <c:v>7473</c:v>
                </c:pt>
                <c:pt idx="2">
                  <c:v>8530</c:v>
                </c:pt>
                <c:pt idx="3">
                  <c:v>8605</c:v>
                </c:pt>
                <c:pt idx="4">
                  <c:v>8764</c:v>
                </c:pt>
                <c:pt idx="5">
                  <c:v>7949</c:v>
                </c:pt>
                <c:pt idx="6">
                  <c:v>7146</c:v>
                </c:pt>
                <c:pt idx="7">
                  <c:v>7745</c:v>
                </c:pt>
                <c:pt idx="8">
                  <c:v>9553</c:v>
                </c:pt>
                <c:pt idx="9">
                  <c:v>8823</c:v>
                </c:pt>
                <c:pt idx="10">
                  <c:v>9070</c:v>
                </c:pt>
                <c:pt idx="11">
                  <c:v>7324</c:v>
                </c:pt>
                <c:pt idx="12">
                  <c:v>10356</c:v>
                </c:pt>
                <c:pt idx="13">
                  <c:v>9371</c:v>
                </c:pt>
                <c:pt idx="14">
                  <c:v>11647</c:v>
                </c:pt>
              </c:numCache>
            </c:numRef>
          </c:val>
          <c:extLst>
            <c:ext xmlns:c16="http://schemas.microsoft.com/office/drawing/2014/chart" uri="{C3380CC4-5D6E-409C-BE32-E72D297353CC}">
              <c16:uniqueId val="{00000002-3D3F-471C-8701-214063D631CF}"/>
            </c:ext>
          </c:extLst>
        </c:ser>
        <c:dLbls>
          <c:showLegendKey val="0"/>
          <c:showVal val="0"/>
          <c:showCatName val="0"/>
          <c:showSerName val="0"/>
          <c:showPercent val="0"/>
          <c:showBubbleSize val="0"/>
        </c:dLbls>
        <c:gapWidth val="219"/>
        <c:overlap val="-27"/>
        <c:axId val="1816645968"/>
        <c:axId val="1816647408"/>
        <c:extLst>
          <c:ext xmlns:c15="http://schemas.microsoft.com/office/drawing/2012/chart" uri="{02D57815-91ED-43cb-92C2-25804820EDAC}">
            <c15:filteredBarSeries>
              <c15:ser>
                <c:idx val="1"/>
                <c:order val="1"/>
                <c:tx>
                  <c:strRef>
                    <c:extLst>
                      <c:ext uri="{02D57815-91ED-43cb-92C2-25804820EDAC}">
                        <c15:formulaRef>
                          <c15:sqref>'5.Story&amp;Estimations'!$D$144</c15:sqref>
                        </c15:formulaRef>
                      </c:ext>
                    </c:extLst>
                    <c:strCache>
                      <c:ptCount val="1"/>
                    </c:strCache>
                  </c:strRef>
                </c:tx>
                <c:spPr>
                  <a:solidFill>
                    <a:schemeClr val="accent2"/>
                  </a:solidFill>
                  <a:ln>
                    <a:noFill/>
                  </a:ln>
                  <a:effectLst/>
                </c:spPr>
                <c:invertIfNegative val="0"/>
                <c:cat>
                  <c:numRef>
                    <c:extLst>
                      <c:ext uri="{02D57815-91ED-43cb-92C2-25804820EDAC}">
                        <c15:formulaRef>
                          <c15:sqref>'5.Story&amp;Estimations'!$B$145:$B$159</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c:ext uri="{02D57815-91ED-43cb-92C2-25804820EDAC}">
                        <c15:formulaRef>
                          <c15:sqref>'5.Story&amp;Estimations'!$D$145:$D$159</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val>
                <c:extLst>
                  <c:ext xmlns:c16="http://schemas.microsoft.com/office/drawing/2014/chart" uri="{C3380CC4-5D6E-409C-BE32-E72D297353CC}">
                    <c16:uniqueId val="{00000001-3D3F-471C-8701-214063D631C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'5.Story&amp;Estimations'!$F$144</c15:sqref>
                        </c15:formulaRef>
                      </c:ext>
                    </c:extLst>
                    <c:strCache>
                      <c:ptCount val="1"/>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'5.Story&amp;Estimations'!$B$145:$B$159</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xmlns:c15="http://schemas.microsoft.com/office/drawing/2012/chart">
                      <c:ext xmlns:c15="http://schemas.microsoft.com/office/drawing/2012/chart" uri="{02D57815-91ED-43cb-92C2-25804820EDAC}">
                        <c15:formulaRef>
                          <c15:sqref>'5.Story&amp;Estimations'!$F$145:$F$159</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val>
                <c:extLst xmlns:c15="http://schemas.microsoft.com/office/drawing/2012/chart">
                  <c:ext xmlns:c16="http://schemas.microsoft.com/office/drawing/2014/chart" uri="{C3380CC4-5D6E-409C-BE32-E72D297353CC}">
                    <c16:uniqueId val="{00000003-3D3F-471C-8701-214063D631CF}"/>
                  </c:ext>
                </c:extLst>
              </c15:ser>
            </c15:filteredBarSeries>
          </c:ext>
        </c:extLst>
      </c:barChart>
      <c:lineChart>
        <c:grouping val="standard"/>
        <c:varyColors val="0"/>
        <c:ser>
          <c:idx val="4"/>
          <c:order val="4"/>
          <c:tx>
            <c:strRef>
              <c:f>'5.Story&amp;Estimations'!$G$144</c:f>
              <c:strCache>
                <c:ptCount val="1"/>
                <c:pt idx="0">
                  <c:v>operating margins</c:v>
                </c:pt>
              </c:strCache>
            </c:strRef>
          </c:tx>
          <c:spPr>
            <a:ln w="28575" cap="rnd">
              <a:solidFill>
                <a:schemeClr val="accent5"/>
              </a:solidFill>
              <a:round/>
            </a:ln>
            <a:effectLst/>
          </c:spPr>
          <c:marker>
            <c:symbol val="none"/>
          </c:marker>
          <c:cat>
            <c:numRef>
              <c:f>'5.Story&amp;Estimations'!$B$145:$B$159</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'5.Story&amp;Estimations'!$G$145:$G$159</c:f>
              <c:numCache>
                <c:formatCode>0.00%</c:formatCode>
                <c:ptCount val="15"/>
                <c:pt idx="0">
                  <c:v>0.30076939986810286</c:v>
                </c:pt>
                <c:pt idx="1">
                  <c:v>0.31040498442367603</c:v>
                </c:pt>
                <c:pt idx="2">
                  <c:v>0.31585573576242315</c:v>
                </c:pt>
                <c:pt idx="3">
                  <c:v>0.31214858345122792</c:v>
                </c:pt>
                <c:pt idx="4">
                  <c:v>0.31181954031167725</c:v>
                </c:pt>
                <c:pt idx="5">
                  <c:v>0.28967603221456945</c:v>
                </c:pt>
                <c:pt idx="6">
                  <c:v>0.28119466414827055</c:v>
                </c:pt>
                <c:pt idx="7">
                  <c:v>0.31455608805133622</c:v>
                </c:pt>
                <c:pt idx="8">
                  <c:v>0.41862401402278704</c:v>
                </c:pt>
                <c:pt idx="9">
                  <c:v>0.41504374823595824</c:v>
                </c:pt>
                <c:pt idx="10">
                  <c:v>0.42454596517506082</c:v>
                </c:pt>
                <c:pt idx="11">
                  <c:v>0.38129945855893377</c:v>
                </c:pt>
                <c:pt idx="12">
                  <c:v>0.44593721741377085</c:v>
                </c:pt>
                <c:pt idx="13">
                  <c:v>0.40421860846309798</c:v>
                </c:pt>
                <c:pt idx="14">
                  <c:v>0.45685259276692552</c:v>
                </c:pt>
              </c:numCache>
            </c:numRef>
          </c:val>
          <c:smooth val="0"/>
          <c:extLst>
            <c:ext xmlns:c16="http://schemas.microsoft.com/office/drawing/2014/chart" uri="{C3380CC4-5D6E-409C-BE32-E72D297353CC}">
              <c16:uniqueId val="{00000004-3D3F-471C-8701-214063D631CF}"/>
            </c:ext>
          </c:extLst>
        </c:ser>
        <c:dLbls>
          <c:showLegendKey val="0"/>
          <c:showVal val="0"/>
          <c:showCatName val="0"/>
          <c:showSerName val="0"/>
          <c:showPercent val="0"/>
          <c:showBubbleSize val="0"/>
        </c:dLbls>
        <c:marker val="1"/>
        <c:smooth val="0"/>
        <c:axId val="1810050256"/>
        <c:axId val="1810045456"/>
      </c:lineChart>
      <c:catAx>
        <c:axId val="181664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16647408"/>
        <c:crosses val="autoZero"/>
        <c:auto val="1"/>
        <c:lblAlgn val="ctr"/>
        <c:lblOffset val="100"/>
        <c:noMultiLvlLbl val="0"/>
      </c:catAx>
      <c:valAx>
        <c:axId val="1816647408"/>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16645968"/>
        <c:crosses val="autoZero"/>
        <c:crossBetween val="between"/>
      </c:valAx>
      <c:valAx>
        <c:axId val="181004545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10050256"/>
        <c:crosses val="max"/>
        <c:crossBetween val="between"/>
      </c:valAx>
      <c:catAx>
        <c:axId val="1810050256"/>
        <c:scaling>
          <c:orientation val="minMax"/>
        </c:scaling>
        <c:delete val="1"/>
        <c:axPos val="b"/>
        <c:numFmt formatCode="General" sourceLinked="1"/>
        <c:majorTickMark val="none"/>
        <c:minorTickMark val="none"/>
        <c:tickLblPos val="nextTo"/>
        <c:crossAx val="18100454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0"/>
          <c:order val="0"/>
          <c:tx>
            <c:strRef>
              <c:f>'5.Story&amp;Estimations'!$H$182</c:f>
              <c:strCache>
                <c:ptCount val="1"/>
                <c:pt idx="0">
                  <c:v>operating income</c:v>
                </c:pt>
              </c:strCache>
            </c:strRef>
          </c:tx>
          <c:spPr>
            <a:solidFill>
              <a:schemeClr val="accent1"/>
            </a:solidFill>
            <a:ln>
              <a:noFill/>
            </a:ln>
            <a:effectLst/>
          </c:spPr>
          <c:invertIfNegative val="0"/>
          <c:cat>
            <c:numRef>
              <c:f>'5.Story&amp;Estimations'!$G$183:$G$202</c:f>
              <c:numCache>
                <c:formatCode>General</c:formatCode>
                <c:ptCount val="20"/>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pt idx="16">
                  <c:v>2025</c:v>
                </c:pt>
                <c:pt idx="17">
                  <c:v>2026</c:v>
                </c:pt>
                <c:pt idx="18">
                  <c:v>2027</c:v>
                </c:pt>
                <c:pt idx="19">
                  <c:v>2028</c:v>
                </c:pt>
              </c:numCache>
            </c:numRef>
          </c:cat>
          <c:val>
            <c:numRef>
              <c:f>'5.Story&amp;Estimations'!$H$183:$H$202</c:f>
              <c:numCache>
                <c:formatCode>_-[$$-409]* #,##0_ ;_-[$$-409]* \-#,##0\ ;_-[$$-409]* "-"??_ ;_-@_ </c:formatCode>
                <c:ptCount val="20"/>
                <c:pt idx="0">
                  <c:v>6841</c:v>
                </c:pt>
                <c:pt idx="1">
                  <c:v>7473</c:v>
                </c:pt>
                <c:pt idx="2">
                  <c:v>8530</c:v>
                </c:pt>
                <c:pt idx="3">
                  <c:v>8605</c:v>
                </c:pt>
                <c:pt idx="4">
                  <c:v>8764</c:v>
                </c:pt>
                <c:pt idx="5">
                  <c:v>7949</c:v>
                </c:pt>
                <c:pt idx="6">
                  <c:v>7146</c:v>
                </c:pt>
                <c:pt idx="7">
                  <c:v>7745</c:v>
                </c:pt>
                <c:pt idx="8">
                  <c:v>9553</c:v>
                </c:pt>
                <c:pt idx="9">
                  <c:v>8823</c:v>
                </c:pt>
                <c:pt idx="10">
                  <c:v>9070</c:v>
                </c:pt>
                <c:pt idx="11">
                  <c:v>7324</c:v>
                </c:pt>
                <c:pt idx="12">
                  <c:v>10356</c:v>
                </c:pt>
                <c:pt idx="13">
                  <c:v>9371</c:v>
                </c:pt>
                <c:pt idx="14">
                  <c:v>11647</c:v>
                </c:pt>
                <c:pt idx="15" formatCode="_-[$$-409]* #,##0.00_ ;_-[$$-409]* \-#,##0.00\ ;_-[$$-409]* &quot;-&quot;??_ ;_-@_ ">
                  <c:v>12351.740999999998</c:v>
                </c:pt>
                <c:pt idx="16" formatCode="_-[$$-409]* #,##0.00_ ;_-[$$-409]* \-#,##0.00\ ;_-[$$-409]* &quot;-&quot;??_ ;_-@_ ">
                  <c:v>12121.788375</c:v>
                </c:pt>
                <c:pt idx="17" formatCode="_-[$$-409]* #,##0.00_ ;_-[$$-409]* \-#,##0.00\ ;_-[$$-409]* &quot;-&quot;??_ ;_-@_ ">
                  <c:v>12148.7256825</c:v>
                </c:pt>
                <c:pt idx="18" formatCode="_-[$$-409]* #,##0.00_ ;_-[$$-409]* \-#,##0.00\ ;_-[$$-409]* &quot;-&quot;??_ ;_-@_ ">
                  <c:v>12169.433737640626</c:v>
                </c:pt>
                <c:pt idx="19" formatCode="_-[$$-409]* #,##0.00_ ;_-[$$-409]* \-#,##0.00\ ;_-[$$-409]* &quot;-&quot;??_ ;_-@_ ">
                  <c:v>12473.66958108164</c:v>
                </c:pt>
              </c:numCache>
            </c:numRef>
          </c:val>
          <c:extLst>
            <c:ext xmlns:c16="http://schemas.microsoft.com/office/drawing/2014/chart" uri="{C3380CC4-5D6E-409C-BE32-E72D297353CC}">
              <c16:uniqueId val="{00000000-EC36-4B2A-AD0E-E9E189101802}"/>
            </c:ext>
          </c:extLst>
        </c:ser>
        <c:dLbls>
          <c:showLegendKey val="0"/>
          <c:showVal val="0"/>
          <c:showCatName val="0"/>
          <c:showSerName val="0"/>
          <c:showPercent val="0"/>
          <c:showBubbleSize val="0"/>
        </c:dLbls>
        <c:gapWidth val="219"/>
        <c:overlap val="-27"/>
        <c:axId val="1813496672"/>
        <c:axId val="1813497632"/>
      </c:barChart>
      <c:catAx>
        <c:axId val="181349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13497632"/>
        <c:crosses val="autoZero"/>
        <c:auto val="1"/>
        <c:lblAlgn val="ctr"/>
        <c:lblOffset val="100"/>
        <c:noMultiLvlLbl val="0"/>
      </c:catAx>
      <c:valAx>
        <c:axId val="1813497632"/>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13496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manualLayout>
          <c:layoutTarget val="inner"/>
          <c:xMode val="edge"/>
          <c:yMode val="edge"/>
          <c:x val="5.0489024794023278E-2"/>
          <c:y val="0.11529321365386942"/>
          <c:w val="0.93628783547498839"/>
          <c:h val="0.75021301250809447"/>
        </c:manualLayout>
      </c:layout>
      <c:barChart>
        <c:barDir val="col"/>
        <c:grouping val="clustered"/>
        <c:varyColors val="0"/>
        <c:ser>
          <c:idx val="4"/>
          <c:order val="4"/>
          <c:tx>
            <c:strRef>
              <c:f>'5.Story&amp;Estimations'!$H$207</c:f>
              <c:strCache>
                <c:ptCount val="1"/>
                <c:pt idx="0">
                  <c:v>sales to capital ratio</c:v>
                </c:pt>
              </c:strCache>
            </c:strRef>
          </c:tx>
          <c:spPr>
            <a:solidFill>
              <a:schemeClr val="accent5"/>
            </a:solidFill>
            <a:ln>
              <a:noFill/>
            </a:ln>
            <a:effectLst/>
          </c:spPr>
          <c:invertIfNegative val="0"/>
          <c:cat>
            <c:numRef>
              <c:f>'5.Story&amp;Estimations'!$B$208:$B$222</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'5.Story&amp;Estimations'!$H$208:$H$222</c:f>
              <c:numCache>
                <c:formatCode>0.00</c:formatCode>
                <c:ptCount val="15"/>
                <c:pt idx="0">
                  <c:v>0.99767523466970787</c:v>
                </c:pt>
                <c:pt idx="1">
                  <c:v>1.0139403638814015</c:v>
                </c:pt>
                <c:pt idx="2">
                  <c:v>1.1165040515958327</c:v>
                </c:pt>
                <c:pt idx="3">
                  <c:v>1.0367041480200068</c:v>
                </c:pt>
                <c:pt idx="4">
                  <c:v>1.0279799568413737</c:v>
                </c:pt>
                <c:pt idx="5">
                  <c:v>1.0672863754813116</c:v>
                </c:pt>
                <c:pt idx="6">
                  <c:v>1.0803009692229213</c:v>
                </c:pt>
                <c:pt idx="7">
                  <c:v>1.09665063246036</c:v>
                </c:pt>
                <c:pt idx="8">
                  <c:v>0.95866240967904559</c:v>
                </c:pt>
                <c:pt idx="9">
                  <c:v>0.88756210596634799</c:v>
                </c:pt>
                <c:pt idx="10">
                  <c:v>0.85425246911111996</c:v>
                </c:pt>
                <c:pt idx="11">
                  <c:v>0.80290933411361454</c:v>
                </c:pt>
                <c:pt idx="12">
                  <c:v>0.88256755216052907</c:v>
                </c:pt>
                <c:pt idx="13">
                  <c:v>0.84866566606874838</c:v>
                </c:pt>
                <c:pt idx="14">
                  <c:v>0.91484551620195931</c:v>
                </c:pt>
              </c:numCache>
            </c:numRef>
          </c:val>
          <c:extLst>
            <c:ext xmlns:c16="http://schemas.microsoft.com/office/drawing/2014/chart" uri="{C3380CC4-5D6E-409C-BE32-E72D297353CC}">
              <c16:uniqueId val="{00000004-5764-4FE4-A689-92C17695EFD9}"/>
            </c:ext>
          </c:extLst>
        </c:ser>
        <c:dLbls>
          <c:showLegendKey val="0"/>
          <c:showVal val="0"/>
          <c:showCatName val="0"/>
          <c:showSerName val="0"/>
          <c:showPercent val="0"/>
          <c:showBubbleSize val="0"/>
        </c:dLbls>
        <c:gapWidth val="219"/>
        <c:overlap val="-27"/>
        <c:axId val="1470446288"/>
        <c:axId val="1470439568"/>
        <c:extLst>
          <c:ext xmlns:c15="http://schemas.microsoft.com/office/drawing/2012/chart" uri="{02D57815-91ED-43cb-92C2-25804820EDAC}">
            <c15:filteredBarSeries>
              <c15:ser>
                <c:idx val="0"/>
                <c:order val="0"/>
                <c:tx>
                  <c:strRef>
                    <c:extLst>
                      <c:ext uri="{02D57815-91ED-43cb-92C2-25804820EDAC}">
                        <c15:formulaRef>
                          <c15:sqref>'5.Story&amp;Estimations'!$C$207</c15:sqref>
                        </c15:formulaRef>
                      </c:ext>
                    </c:extLst>
                    <c:strCache>
                      <c:ptCount val="1"/>
                      <c:pt idx="0">
                        <c:v>revenues</c:v>
                      </c:pt>
                    </c:strCache>
                  </c:strRef>
                </c:tx>
                <c:spPr>
                  <a:solidFill>
                    <a:schemeClr val="accent1"/>
                  </a:solidFill>
                  <a:ln>
                    <a:noFill/>
                  </a:ln>
                  <a:effectLst/>
                </c:spPr>
                <c:invertIfNegative val="0"/>
                <c:cat>
                  <c:numRef>
                    <c:extLst>
                      <c:ext uri="{02D57815-91ED-43cb-92C2-25804820EDAC}">
                        <c15:formulaRef>
                          <c15:sqref>'5.Story&amp;Estimations'!$B$208:$B$222</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c:ext uri="{02D57815-91ED-43cb-92C2-25804820EDAC}">
                        <c15:formulaRef>
                          <c15:sqref>'5.Story&amp;Estimations'!$C$208:$C$222</c15:sqref>
                        </c15:formulaRef>
                      </c:ext>
                    </c:extLst>
                    <c:numCache>
                      <c:formatCode>_-[$$-409]* #,##0_ ;_-[$$-409]* \-#,##0\ ;_-[$$-409]* "-"??_ ;_-@_ </c:formatCode>
                      <c:ptCount val="15"/>
                      <c:pt idx="0">
                        <c:v>22745</c:v>
                      </c:pt>
                      <c:pt idx="1">
                        <c:v>24075</c:v>
                      </c:pt>
                      <c:pt idx="2">
                        <c:v>27006</c:v>
                      </c:pt>
                      <c:pt idx="3">
                        <c:v>27567</c:v>
                      </c:pt>
                      <c:pt idx="4">
                        <c:v>28106</c:v>
                      </c:pt>
                      <c:pt idx="5">
                        <c:v>27441</c:v>
                      </c:pt>
                      <c:pt idx="6">
                        <c:v>25413</c:v>
                      </c:pt>
                      <c:pt idx="7">
                        <c:v>24622</c:v>
                      </c:pt>
                      <c:pt idx="8">
                        <c:v>22820</c:v>
                      </c:pt>
                      <c:pt idx="9">
                        <c:v>21258</c:v>
                      </c:pt>
                      <c:pt idx="10">
                        <c:v>21364</c:v>
                      </c:pt>
                      <c:pt idx="11">
                        <c:v>19208</c:v>
                      </c:pt>
                      <c:pt idx="12">
                        <c:v>23223</c:v>
                      </c:pt>
                      <c:pt idx="13">
                        <c:v>23183</c:v>
                      </c:pt>
                      <c:pt idx="14">
                        <c:v>25494</c:v>
                      </c:pt>
                    </c:numCache>
                  </c:numRef>
                </c:val>
                <c:extLst>
                  <c:ext xmlns:c16="http://schemas.microsoft.com/office/drawing/2014/chart" uri="{C3380CC4-5D6E-409C-BE32-E72D297353CC}">
                    <c16:uniqueId val="{00000000-5764-4FE4-A689-92C17695EFD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'5.Story&amp;Estimations'!$D$207</c15:sqref>
                        </c15:formulaRef>
                      </c:ext>
                    </c:extLst>
                    <c:strCache>
                      <c:ptCount val="1"/>
                      <c:pt idx="0">
                        <c:v>bv of equity</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'5.Story&amp;Estimations'!$B$208:$B$222</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xmlns:c15="http://schemas.microsoft.com/office/drawing/2012/chart">
                      <c:ext xmlns:c15="http://schemas.microsoft.com/office/drawing/2012/chart" uri="{02D57815-91ED-43cb-92C2-25804820EDAC}">
                        <c15:formulaRef>
                          <c15:sqref>'5.Story&amp;Estimations'!$D$208:$D$222</c15:sqref>
                        </c15:formulaRef>
                      </c:ext>
                    </c:extLst>
                    <c:numCache>
                      <c:formatCode>_-[$$-409]* #,##0_ ;_-[$$-409]* \-#,##0\ ;_-[$$-409]* "-"??_ ;_-@_ </c:formatCode>
                      <c:ptCount val="15"/>
                      <c:pt idx="0">
                        <c:v>14034</c:v>
                      </c:pt>
                      <c:pt idx="1">
                        <c:v>14634</c:v>
                      </c:pt>
                      <c:pt idx="2">
                        <c:v>14390</c:v>
                      </c:pt>
                      <c:pt idx="3">
                        <c:v>15294</c:v>
                      </c:pt>
                      <c:pt idx="4">
                        <c:v>16010</c:v>
                      </c:pt>
                      <c:pt idx="5">
                        <c:v>12853</c:v>
                      </c:pt>
                      <c:pt idx="6">
                        <c:v>7088</c:v>
                      </c:pt>
                      <c:pt idx="7">
                        <c:v>-2204</c:v>
                      </c:pt>
                      <c:pt idx="8">
                        <c:v>-3268</c:v>
                      </c:pt>
                      <c:pt idx="9">
                        <c:v>-6258</c:v>
                      </c:pt>
                      <c:pt idx="10">
                        <c:v>-8210</c:v>
                      </c:pt>
                      <c:pt idx="11">
                        <c:v>-7825</c:v>
                      </c:pt>
                      <c:pt idx="12">
                        <c:v>-4601</c:v>
                      </c:pt>
                      <c:pt idx="13">
                        <c:v>-6003</c:v>
                      </c:pt>
                      <c:pt idx="14">
                        <c:v>-4707</c:v>
                      </c:pt>
                    </c:numCache>
                  </c:numRef>
                </c:val>
                <c:extLst xmlns:c15="http://schemas.microsoft.com/office/drawing/2012/chart">
                  <c:ext xmlns:c16="http://schemas.microsoft.com/office/drawing/2014/chart" uri="{C3380CC4-5D6E-409C-BE32-E72D297353CC}">
                    <c16:uniqueId val="{00000001-5764-4FE4-A689-92C17695EFD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'5.Story&amp;Estimations'!$E$207</c15:sqref>
                        </c15:formulaRef>
                      </c:ext>
                    </c:extLst>
                    <c:strCache>
                      <c:ptCount val="1"/>
                      <c:pt idx="0">
                        <c:v>bv of debt</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'5.Story&amp;Estimations'!$B$208:$B$222</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xmlns:c15="http://schemas.microsoft.com/office/drawing/2012/chart">
                      <c:ext xmlns:c15="http://schemas.microsoft.com/office/drawing/2012/chart" uri="{02D57815-91ED-43cb-92C2-25804820EDAC}">
                        <c15:formulaRef>
                          <c15:sqref>'5.Story&amp;Estimations'!$E$208:$E$222</c15:sqref>
                        </c15:formulaRef>
                      </c:ext>
                    </c:extLst>
                    <c:numCache>
                      <c:formatCode>_-[$$-409]* #,##0_ ;_-[$$-409]* \-#,##0\ ;_-[$$-409]* "-"??_ ;_-@_ </c:formatCode>
                      <c:ptCount val="15"/>
                      <c:pt idx="0">
                        <c:v>10560</c:v>
                      </c:pt>
                      <c:pt idx="1">
                        <c:v>11497</c:v>
                      </c:pt>
                      <c:pt idx="2">
                        <c:v>12134</c:v>
                      </c:pt>
                      <c:pt idx="3">
                        <c:v>13633</c:v>
                      </c:pt>
                      <c:pt idx="4">
                        <c:v>14130</c:v>
                      </c:pt>
                      <c:pt idx="5">
                        <c:v>14936</c:v>
                      </c:pt>
                      <c:pt idx="6">
                        <c:v>24122</c:v>
                      </c:pt>
                      <c:pt idx="7">
                        <c:v>25879</c:v>
                      </c:pt>
                      <c:pt idx="8">
                        <c:v>29536</c:v>
                      </c:pt>
                      <c:pt idx="9">
                        <c:v>31075</c:v>
                      </c:pt>
                      <c:pt idx="10">
                        <c:v>34118</c:v>
                      </c:pt>
                      <c:pt idx="11">
                        <c:v>35197</c:v>
                      </c:pt>
                      <c:pt idx="12">
                        <c:v>35623</c:v>
                      </c:pt>
                      <c:pt idx="13">
                        <c:v>35904</c:v>
                      </c:pt>
                      <c:pt idx="14">
                        <c:v>37153</c:v>
                      </c:pt>
                    </c:numCache>
                  </c:numRef>
                </c:val>
                <c:extLst xmlns:c15="http://schemas.microsoft.com/office/drawing/2012/chart">
                  <c:ext xmlns:c16="http://schemas.microsoft.com/office/drawing/2014/chart" uri="{C3380CC4-5D6E-409C-BE32-E72D297353CC}">
                    <c16:uniqueId val="{00000002-5764-4FE4-A689-92C17695EFD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'5.Story&amp;Estimations'!$F$207</c15:sqref>
                        </c15:formulaRef>
                      </c:ext>
                    </c:extLst>
                    <c:strCache>
                      <c:ptCount val="1"/>
                      <c:pt idx="0">
                        <c:v>cash</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'5.Story&amp;Estimations'!$B$208:$B$222</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xmlns:c15="http://schemas.microsoft.com/office/drawing/2012/chart">
                      <c:ext xmlns:c15="http://schemas.microsoft.com/office/drawing/2012/chart" uri="{02D57815-91ED-43cb-92C2-25804820EDAC}">
                        <c15:formulaRef>
                          <c15:sqref>'5.Story&amp;Estimations'!$F$208:$F$222</c15:sqref>
                        </c15:formulaRef>
                      </c:ext>
                    </c:extLst>
                    <c:numCache>
                      <c:formatCode>_-[$$-409]* #,##0_ ;_-[$$-409]* \-#,##0\ ;_-[$$-409]* "-"??_ ;_-@_ </c:formatCode>
                      <c:ptCount val="15"/>
                      <c:pt idx="0">
                        <c:v>1796</c:v>
                      </c:pt>
                      <c:pt idx="1">
                        <c:v>2387</c:v>
                      </c:pt>
                      <c:pt idx="2">
                        <c:v>2336</c:v>
                      </c:pt>
                      <c:pt idx="3">
                        <c:v>2336</c:v>
                      </c:pt>
                      <c:pt idx="4">
                        <c:v>2799</c:v>
                      </c:pt>
                      <c:pt idx="5">
                        <c:v>2078</c:v>
                      </c:pt>
                      <c:pt idx="6">
                        <c:v>7686</c:v>
                      </c:pt>
                      <c:pt idx="7">
                        <c:v>1223</c:v>
                      </c:pt>
                      <c:pt idx="8">
                        <c:v>2464</c:v>
                      </c:pt>
                      <c:pt idx="9">
                        <c:v>866</c:v>
                      </c:pt>
                      <c:pt idx="10">
                        <c:v>899</c:v>
                      </c:pt>
                      <c:pt idx="11">
                        <c:v>3449</c:v>
                      </c:pt>
                      <c:pt idx="12">
                        <c:v>4709</c:v>
                      </c:pt>
                      <c:pt idx="13">
                        <c:v>2584</c:v>
                      </c:pt>
                      <c:pt idx="14">
                        <c:v>4579</c:v>
                      </c:pt>
                    </c:numCache>
                  </c:numRef>
                </c:val>
                <c:extLst xmlns:c15="http://schemas.microsoft.com/office/drawing/2012/chart">
                  <c:ext xmlns:c16="http://schemas.microsoft.com/office/drawing/2014/chart" uri="{C3380CC4-5D6E-409C-BE32-E72D297353CC}">
                    <c16:uniqueId val="{00000003-5764-4FE4-A689-92C17695EFD9}"/>
                  </c:ext>
                </c:extLst>
              </c15:ser>
            </c15:filteredBarSeries>
          </c:ext>
        </c:extLst>
      </c:barChart>
      <c:catAx>
        <c:axId val="147044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470439568"/>
        <c:crosses val="autoZero"/>
        <c:auto val="1"/>
        <c:lblAlgn val="ctr"/>
        <c:lblOffset val="100"/>
        <c:noMultiLvlLbl val="0"/>
      </c:catAx>
      <c:valAx>
        <c:axId val="14704395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470446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revenues and</a:t>
            </a:r>
            <a:r>
              <a:rPr lang="en-US" baseline="0"/>
              <a:t> capital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0"/>
          <c:order val="0"/>
          <c:tx>
            <c:strRef>
              <c:f>'5.Story&amp;Estimations'!$C$207</c:f>
              <c:strCache>
                <c:ptCount val="1"/>
                <c:pt idx="0">
                  <c:v>revenues</c:v>
                </c:pt>
              </c:strCache>
            </c:strRef>
          </c:tx>
          <c:spPr>
            <a:solidFill>
              <a:schemeClr val="accent1"/>
            </a:solidFill>
            <a:ln>
              <a:noFill/>
            </a:ln>
            <a:effectLst/>
          </c:spPr>
          <c:invertIfNegative val="0"/>
          <c:cat>
            <c:numRef>
              <c:f>'5.Story&amp;Estimations'!$B$208:$B$222</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'5.Story&amp;Estimations'!$C$208:$C$222</c:f>
              <c:numCache>
                <c:formatCode>_-[$$-409]* #,##0_ ;_-[$$-409]* \-#,##0\ ;_-[$$-409]* "-"??_ ;_-@_ </c:formatCode>
                <c:ptCount val="15"/>
                <c:pt idx="0">
                  <c:v>22745</c:v>
                </c:pt>
                <c:pt idx="1">
                  <c:v>24075</c:v>
                </c:pt>
                <c:pt idx="2">
                  <c:v>27006</c:v>
                </c:pt>
                <c:pt idx="3">
                  <c:v>27567</c:v>
                </c:pt>
                <c:pt idx="4">
                  <c:v>28106</c:v>
                </c:pt>
                <c:pt idx="5">
                  <c:v>27441</c:v>
                </c:pt>
                <c:pt idx="6">
                  <c:v>25413</c:v>
                </c:pt>
                <c:pt idx="7">
                  <c:v>24622</c:v>
                </c:pt>
                <c:pt idx="8">
                  <c:v>22820</c:v>
                </c:pt>
                <c:pt idx="9">
                  <c:v>21258</c:v>
                </c:pt>
                <c:pt idx="10">
                  <c:v>21364</c:v>
                </c:pt>
                <c:pt idx="11">
                  <c:v>19208</c:v>
                </c:pt>
                <c:pt idx="12">
                  <c:v>23223</c:v>
                </c:pt>
                <c:pt idx="13">
                  <c:v>23183</c:v>
                </c:pt>
                <c:pt idx="14">
                  <c:v>25494</c:v>
                </c:pt>
              </c:numCache>
            </c:numRef>
          </c:val>
          <c:extLst>
            <c:ext xmlns:c16="http://schemas.microsoft.com/office/drawing/2014/chart" uri="{C3380CC4-5D6E-409C-BE32-E72D297353CC}">
              <c16:uniqueId val="{00000000-E796-4422-8E04-014CD4FC3233}"/>
            </c:ext>
          </c:extLst>
        </c:ser>
        <c:ser>
          <c:idx val="4"/>
          <c:order val="4"/>
          <c:tx>
            <c:strRef>
              <c:f>'5.Story&amp;Estimations'!$G$207</c:f>
              <c:strCache>
                <c:ptCount val="1"/>
                <c:pt idx="0">
                  <c:v>capital</c:v>
                </c:pt>
              </c:strCache>
            </c:strRef>
          </c:tx>
          <c:spPr>
            <a:solidFill>
              <a:schemeClr val="accent5"/>
            </a:solidFill>
            <a:ln>
              <a:noFill/>
            </a:ln>
            <a:effectLst/>
          </c:spPr>
          <c:invertIfNegative val="0"/>
          <c:cat>
            <c:numRef>
              <c:f>'5.Story&amp;Estimations'!$B$208:$B$222</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'5.Story&amp;Estimations'!$G$208:$G$222</c:f>
              <c:numCache>
                <c:formatCode>_-[$$-409]* #,##0_ ;_-[$$-409]* \-#,##0\ ;_-[$$-409]* "-"??_ ;_-@_ </c:formatCode>
                <c:ptCount val="15"/>
                <c:pt idx="0">
                  <c:v>22798</c:v>
                </c:pt>
                <c:pt idx="1">
                  <c:v>23744</c:v>
                </c:pt>
                <c:pt idx="2">
                  <c:v>24188</c:v>
                </c:pt>
                <c:pt idx="3">
                  <c:v>26591</c:v>
                </c:pt>
                <c:pt idx="4">
                  <c:v>27341</c:v>
                </c:pt>
                <c:pt idx="5">
                  <c:v>25711</c:v>
                </c:pt>
                <c:pt idx="6">
                  <c:v>23524</c:v>
                </c:pt>
                <c:pt idx="7">
                  <c:v>22452</c:v>
                </c:pt>
                <c:pt idx="8">
                  <c:v>23804</c:v>
                </c:pt>
                <c:pt idx="9">
                  <c:v>23951</c:v>
                </c:pt>
                <c:pt idx="10">
                  <c:v>25009</c:v>
                </c:pt>
                <c:pt idx="11">
                  <c:v>23923</c:v>
                </c:pt>
                <c:pt idx="12">
                  <c:v>26313</c:v>
                </c:pt>
                <c:pt idx="13">
                  <c:v>27317</c:v>
                </c:pt>
                <c:pt idx="14">
                  <c:v>27867</c:v>
                </c:pt>
              </c:numCache>
            </c:numRef>
          </c:val>
          <c:extLst>
            <c:ext xmlns:c16="http://schemas.microsoft.com/office/drawing/2014/chart" uri="{C3380CC4-5D6E-409C-BE32-E72D297353CC}">
              <c16:uniqueId val="{00000004-E796-4422-8E04-014CD4FC3233}"/>
            </c:ext>
          </c:extLst>
        </c:ser>
        <c:dLbls>
          <c:showLegendKey val="0"/>
          <c:showVal val="0"/>
          <c:showCatName val="0"/>
          <c:showSerName val="0"/>
          <c:showPercent val="0"/>
          <c:showBubbleSize val="0"/>
        </c:dLbls>
        <c:gapWidth val="219"/>
        <c:overlap val="-27"/>
        <c:axId val="1668143552"/>
        <c:axId val="1668145472"/>
        <c:extLst>
          <c:ext xmlns:c15="http://schemas.microsoft.com/office/drawing/2012/chart" uri="{02D57815-91ED-43cb-92C2-25804820EDAC}">
            <c15:filteredBarSeries>
              <c15:ser>
                <c:idx val="1"/>
                <c:order val="1"/>
                <c:tx>
                  <c:strRef>
                    <c:extLst>
                      <c:ext uri="{02D57815-91ED-43cb-92C2-25804820EDAC}">
                        <c15:formulaRef>
                          <c15:sqref>'5.Story&amp;Estimations'!$D$207</c15:sqref>
                        </c15:formulaRef>
                      </c:ext>
                    </c:extLst>
                    <c:strCache>
                      <c:ptCount val="1"/>
                      <c:pt idx="0">
                        <c:v>bv of equity</c:v>
                      </c:pt>
                    </c:strCache>
                  </c:strRef>
                </c:tx>
                <c:spPr>
                  <a:solidFill>
                    <a:schemeClr val="accent2"/>
                  </a:solidFill>
                  <a:ln>
                    <a:noFill/>
                  </a:ln>
                  <a:effectLst/>
                </c:spPr>
                <c:invertIfNegative val="0"/>
                <c:cat>
                  <c:numRef>
                    <c:extLst>
                      <c:ext uri="{02D57815-91ED-43cb-92C2-25804820EDAC}">
                        <c15:formulaRef>
                          <c15:sqref>'5.Story&amp;Estimations'!$B$208:$B$222</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c:ext uri="{02D57815-91ED-43cb-92C2-25804820EDAC}">
                        <c15:formulaRef>
                          <c15:sqref>'5.Story&amp;Estimations'!$D$208:$D$222</c15:sqref>
                        </c15:formulaRef>
                      </c:ext>
                    </c:extLst>
                    <c:numCache>
                      <c:formatCode>_-[$$-409]* #,##0_ ;_-[$$-409]* \-#,##0\ ;_-[$$-409]* "-"??_ ;_-@_ </c:formatCode>
                      <c:ptCount val="15"/>
                      <c:pt idx="0">
                        <c:v>14034</c:v>
                      </c:pt>
                      <c:pt idx="1">
                        <c:v>14634</c:v>
                      </c:pt>
                      <c:pt idx="2">
                        <c:v>14390</c:v>
                      </c:pt>
                      <c:pt idx="3">
                        <c:v>15294</c:v>
                      </c:pt>
                      <c:pt idx="4">
                        <c:v>16010</c:v>
                      </c:pt>
                      <c:pt idx="5">
                        <c:v>12853</c:v>
                      </c:pt>
                      <c:pt idx="6">
                        <c:v>7088</c:v>
                      </c:pt>
                      <c:pt idx="7">
                        <c:v>-2204</c:v>
                      </c:pt>
                      <c:pt idx="8">
                        <c:v>-3268</c:v>
                      </c:pt>
                      <c:pt idx="9">
                        <c:v>-6258</c:v>
                      </c:pt>
                      <c:pt idx="10">
                        <c:v>-8210</c:v>
                      </c:pt>
                      <c:pt idx="11">
                        <c:v>-7825</c:v>
                      </c:pt>
                      <c:pt idx="12">
                        <c:v>-4601</c:v>
                      </c:pt>
                      <c:pt idx="13">
                        <c:v>-6003</c:v>
                      </c:pt>
                      <c:pt idx="14">
                        <c:v>-4707</c:v>
                      </c:pt>
                    </c:numCache>
                  </c:numRef>
                </c:val>
                <c:extLst>
                  <c:ext xmlns:c16="http://schemas.microsoft.com/office/drawing/2014/chart" uri="{C3380CC4-5D6E-409C-BE32-E72D297353CC}">
                    <c16:uniqueId val="{00000001-E796-4422-8E04-014CD4FC323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'5.Story&amp;Estimations'!$E$207</c15:sqref>
                        </c15:formulaRef>
                      </c:ext>
                    </c:extLst>
                    <c:strCache>
                      <c:ptCount val="1"/>
                      <c:pt idx="0">
                        <c:v>bv of debt</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'5.Story&amp;Estimations'!$B$208:$B$222</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xmlns:c15="http://schemas.microsoft.com/office/drawing/2012/chart">
                      <c:ext xmlns:c15="http://schemas.microsoft.com/office/drawing/2012/chart" uri="{02D57815-91ED-43cb-92C2-25804820EDAC}">
                        <c15:formulaRef>
                          <c15:sqref>'5.Story&amp;Estimations'!$E$208:$E$222</c15:sqref>
                        </c15:formulaRef>
                      </c:ext>
                    </c:extLst>
                    <c:numCache>
                      <c:formatCode>_-[$$-409]* #,##0_ ;_-[$$-409]* \-#,##0\ ;_-[$$-409]* "-"??_ ;_-@_ </c:formatCode>
                      <c:ptCount val="15"/>
                      <c:pt idx="0">
                        <c:v>10560</c:v>
                      </c:pt>
                      <c:pt idx="1">
                        <c:v>11497</c:v>
                      </c:pt>
                      <c:pt idx="2">
                        <c:v>12134</c:v>
                      </c:pt>
                      <c:pt idx="3">
                        <c:v>13633</c:v>
                      </c:pt>
                      <c:pt idx="4">
                        <c:v>14130</c:v>
                      </c:pt>
                      <c:pt idx="5">
                        <c:v>14936</c:v>
                      </c:pt>
                      <c:pt idx="6">
                        <c:v>24122</c:v>
                      </c:pt>
                      <c:pt idx="7">
                        <c:v>25879</c:v>
                      </c:pt>
                      <c:pt idx="8">
                        <c:v>29536</c:v>
                      </c:pt>
                      <c:pt idx="9">
                        <c:v>31075</c:v>
                      </c:pt>
                      <c:pt idx="10">
                        <c:v>34118</c:v>
                      </c:pt>
                      <c:pt idx="11">
                        <c:v>35197</c:v>
                      </c:pt>
                      <c:pt idx="12">
                        <c:v>35623</c:v>
                      </c:pt>
                      <c:pt idx="13">
                        <c:v>35904</c:v>
                      </c:pt>
                      <c:pt idx="14">
                        <c:v>37153</c:v>
                      </c:pt>
                    </c:numCache>
                  </c:numRef>
                </c:val>
                <c:extLst xmlns:c15="http://schemas.microsoft.com/office/drawing/2012/chart">
                  <c:ext xmlns:c16="http://schemas.microsoft.com/office/drawing/2014/chart" uri="{C3380CC4-5D6E-409C-BE32-E72D297353CC}">
                    <c16:uniqueId val="{00000002-E796-4422-8E04-014CD4FC323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'5.Story&amp;Estimations'!$F$207</c15:sqref>
                        </c15:formulaRef>
                      </c:ext>
                    </c:extLst>
                    <c:strCache>
                      <c:ptCount val="1"/>
                      <c:pt idx="0">
                        <c:v>cash</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'5.Story&amp;Estimations'!$B$208:$B$222</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xmlns:c15="http://schemas.microsoft.com/office/drawing/2012/chart">
                      <c:ext xmlns:c15="http://schemas.microsoft.com/office/drawing/2012/chart" uri="{02D57815-91ED-43cb-92C2-25804820EDAC}">
                        <c15:formulaRef>
                          <c15:sqref>'5.Story&amp;Estimations'!$F$208:$F$222</c15:sqref>
                        </c15:formulaRef>
                      </c:ext>
                    </c:extLst>
                    <c:numCache>
                      <c:formatCode>_-[$$-409]* #,##0_ ;_-[$$-409]* \-#,##0\ ;_-[$$-409]* "-"??_ ;_-@_ </c:formatCode>
                      <c:ptCount val="15"/>
                      <c:pt idx="0">
                        <c:v>1796</c:v>
                      </c:pt>
                      <c:pt idx="1">
                        <c:v>2387</c:v>
                      </c:pt>
                      <c:pt idx="2">
                        <c:v>2336</c:v>
                      </c:pt>
                      <c:pt idx="3">
                        <c:v>2336</c:v>
                      </c:pt>
                      <c:pt idx="4">
                        <c:v>2799</c:v>
                      </c:pt>
                      <c:pt idx="5">
                        <c:v>2078</c:v>
                      </c:pt>
                      <c:pt idx="6">
                        <c:v>7686</c:v>
                      </c:pt>
                      <c:pt idx="7">
                        <c:v>1223</c:v>
                      </c:pt>
                      <c:pt idx="8">
                        <c:v>2464</c:v>
                      </c:pt>
                      <c:pt idx="9">
                        <c:v>866</c:v>
                      </c:pt>
                      <c:pt idx="10">
                        <c:v>899</c:v>
                      </c:pt>
                      <c:pt idx="11">
                        <c:v>3449</c:v>
                      </c:pt>
                      <c:pt idx="12">
                        <c:v>4709</c:v>
                      </c:pt>
                      <c:pt idx="13">
                        <c:v>2584</c:v>
                      </c:pt>
                      <c:pt idx="14">
                        <c:v>4579</c:v>
                      </c:pt>
                    </c:numCache>
                  </c:numRef>
                </c:val>
                <c:extLst xmlns:c15="http://schemas.microsoft.com/office/drawing/2012/chart">
                  <c:ext xmlns:c16="http://schemas.microsoft.com/office/drawing/2014/chart" uri="{C3380CC4-5D6E-409C-BE32-E72D297353CC}">
                    <c16:uniqueId val="{00000003-E796-4422-8E04-014CD4FC323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'5.Story&amp;Estimations'!$H$207</c15:sqref>
                        </c15:formulaRef>
                      </c:ext>
                    </c:extLst>
                    <c:strCache>
                      <c:ptCount val="1"/>
                      <c:pt idx="0">
                        <c:v>sales to capital ratio</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'5.Story&amp;Estimations'!$B$208:$B$222</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xmlns:c15="http://schemas.microsoft.com/office/drawing/2012/chart">
                      <c:ext xmlns:c15="http://schemas.microsoft.com/office/drawing/2012/chart" uri="{02D57815-91ED-43cb-92C2-25804820EDAC}">
                        <c15:formulaRef>
                          <c15:sqref>'5.Story&amp;Estimations'!$H$208:$H$222</c15:sqref>
                        </c15:formulaRef>
                      </c:ext>
                    </c:extLst>
                    <c:numCache>
                      <c:formatCode>0.00</c:formatCode>
                      <c:ptCount val="15"/>
                      <c:pt idx="0">
                        <c:v>0.99767523466970787</c:v>
                      </c:pt>
                      <c:pt idx="1">
                        <c:v>1.0139403638814015</c:v>
                      </c:pt>
                      <c:pt idx="2">
                        <c:v>1.1165040515958327</c:v>
                      </c:pt>
                      <c:pt idx="3">
                        <c:v>1.0367041480200068</c:v>
                      </c:pt>
                      <c:pt idx="4">
                        <c:v>1.0279799568413737</c:v>
                      </c:pt>
                      <c:pt idx="5">
                        <c:v>1.0672863754813116</c:v>
                      </c:pt>
                      <c:pt idx="6">
                        <c:v>1.0803009692229213</c:v>
                      </c:pt>
                      <c:pt idx="7">
                        <c:v>1.09665063246036</c:v>
                      </c:pt>
                      <c:pt idx="8">
                        <c:v>0.95866240967904559</c:v>
                      </c:pt>
                      <c:pt idx="9">
                        <c:v>0.88756210596634799</c:v>
                      </c:pt>
                      <c:pt idx="10">
                        <c:v>0.85425246911111996</c:v>
                      </c:pt>
                      <c:pt idx="11">
                        <c:v>0.80290933411361454</c:v>
                      </c:pt>
                      <c:pt idx="12">
                        <c:v>0.88256755216052907</c:v>
                      </c:pt>
                      <c:pt idx="13">
                        <c:v>0.84866566606874838</c:v>
                      </c:pt>
                      <c:pt idx="14">
                        <c:v>0.91484551620195931</c:v>
                      </c:pt>
                    </c:numCache>
                  </c:numRef>
                </c:val>
                <c:extLst xmlns:c15="http://schemas.microsoft.com/office/drawing/2012/chart">
                  <c:ext xmlns:c16="http://schemas.microsoft.com/office/drawing/2014/chart" uri="{C3380CC4-5D6E-409C-BE32-E72D297353CC}">
                    <c16:uniqueId val="{00000005-E796-4422-8E04-014CD4FC3233}"/>
                  </c:ext>
                </c:extLst>
              </c15:ser>
            </c15:filteredBarSeries>
          </c:ext>
        </c:extLst>
      </c:barChart>
      <c:catAx>
        <c:axId val="166814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68145472"/>
        <c:crosses val="autoZero"/>
        <c:auto val="1"/>
        <c:lblAlgn val="ctr"/>
        <c:lblOffset val="100"/>
        <c:noMultiLvlLbl val="0"/>
      </c:catAx>
      <c:valAx>
        <c:axId val="1668145472"/>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6814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'5.Story&amp;Estimations'!$D$207</c:f>
              <c:strCache>
                <c:ptCount val="1"/>
                <c:pt idx="0">
                  <c:v>bv of equity</c:v>
                </c:pt>
              </c:strCache>
              <c:extLst xmlns:c15="http://schemas.microsoft.com/office/drawing/2012/chart"/>
            </c:strRef>
          </c:tx>
          <c:spPr>
            <a:solidFill>
              <a:schemeClr val="accent2"/>
            </a:solidFill>
            <a:ln>
              <a:noFill/>
            </a:ln>
            <a:effectLst/>
          </c:spPr>
          <c:invertIfNegative val="0"/>
          <c:cat>
            <c:numRef>
              <c:f>'5.Story&amp;Estimations'!$B$208:$B$222</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extLst xmlns:c15="http://schemas.microsoft.com/office/drawing/2012/chart"/>
            </c:numRef>
          </c:cat>
          <c:val>
            <c:numRef>
              <c:f>'5.Story&amp;Estimations'!$D$208:$D$222</c:f>
              <c:numCache>
                <c:formatCode>_-[$$-409]* #,##0_ ;_-[$$-409]* \-#,##0\ ;_-[$$-409]* "-"??_ ;_-@_ </c:formatCode>
                <c:ptCount val="15"/>
                <c:pt idx="0">
                  <c:v>14034</c:v>
                </c:pt>
                <c:pt idx="1">
                  <c:v>14634</c:v>
                </c:pt>
                <c:pt idx="2">
                  <c:v>14390</c:v>
                </c:pt>
                <c:pt idx="3">
                  <c:v>15294</c:v>
                </c:pt>
                <c:pt idx="4">
                  <c:v>16010</c:v>
                </c:pt>
                <c:pt idx="5">
                  <c:v>12853</c:v>
                </c:pt>
                <c:pt idx="6">
                  <c:v>7088</c:v>
                </c:pt>
                <c:pt idx="7">
                  <c:v>-2204</c:v>
                </c:pt>
                <c:pt idx="8">
                  <c:v>-3268</c:v>
                </c:pt>
                <c:pt idx="9">
                  <c:v>-6258</c:v>
                </c:pt>
                <c:pt idx="10">
                  <c:v>-8210</c:v>
                </c:pt>
                <c:pt idx="11">
                  <c:v>-7825</c:v>
                </c:pt>
                <c:pt idx="12">
                  <c:v>-4601</c:v>
                </c:pt>
                <c:pt idx="13">
                  <c:v>-6003</c:v>
                </c:pt>
                <c:pt idx="14">
                  <c:v>-4707</c:v>
                </c:pt>
              </c:numCache>
              <c:extLst xmlns:c15="http://schemas.microsoft.com/office/drawing/2012/chart"/>
            </c:numRef>
          </c:val>
          <c:extLst>
            <c:ext xmlns:c16="http://schemas.microsoft.com/office/drawing/2014/chart" uri="{C3380CC4-5D6E-409C-BE32-E72D297353CC}">
              <c16:uniqueId val="{00000002-01E8-4FC0-9DA3-177AA10E5709}"/>
            </c:ext>
          </c:extLst>
        </c:ser>
        <c:ser>
          <c:idx val="2"/>
          <c:order val="2"/>
          <c:tx>
            <c:strRef>
              <c:f>'5.Story&amp;Estimations'!$E$207</c:f>
              <c:strCache>
                <c:ptCount val="1"/>
                <c:pt idx="0">
                  <c:v>bv of debt</c:v>
                </c:pt>
              </c:strCache>
              <c:extLst xmlns:c15="http://schemas.microsoft.com/office/drawing/2012/chart"/>
            </c:strRef>
          </c:tx>
          <c:spPr>
            <a:solidFill>
              <a:schemeClr val="accent3"/>
            </a:solidFill>
            <a:ln>
              <a:noFill/>
            </a:ln>
            <a:effectLst/>
          </c:spPr>
          <c:invertIfNegative val="0"/>
          <c:cat>
            <c:numRef>
              <c:f>'5.Story&amp;Estimations'!$B$208:$B$222</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extLst xmlns:c15="http://schemas.microsoft.com/office/drawing/2012/chart"/>
            </c:numRef>
          </c:cat>
          <c:val>
            <c:numRef>
              <c:f>'5.Story&amp;Estimations'!$E$208:$E$222</c:f>
              <c:numCache>
                <c:formatCode>_-[$$-409]* #,##0_ ;_-[$$-409]* \-#,##0\ ;_-[$$-409]* "-"??_ ;_-@_ </c:formatCode>
                <c:ptCount val="15"/>
                <c:pt idx="0">
                  <c:v>10560</c:v>
                </c:pt>
                <c:pt idx="1">
                  <c:v>11497</c:v>
                </c:pt>
                <c:pt idx="2">
                  <c:v>12134</c:v>
                </c:pt>
                <c:pt idx="3">
                  <c:v>13633</c:v>
                </c:pt>
                <c:pt idx="4">
                  <c:v>14130</c:v>
                </c:pt>
                <c:pt idx="5">
                  <c:v>14936</c:v>
                </c:pt>
                <c:pt idx="6">
                  <c:v>24122</c:v>
                </c:pt>
                <c:pt idx="7">
                  <c:v>25879</c:v>
                </c:pt>
                <c:pt idx="8">
                  <c:v>29536</c:v>
                </c:pt>
                <c:pt idx="9">
                  <c:v>31075</c:v>
                </c:pt>
                <c:pt idx="10">
                  <c:v>34118</c:v>
                </c:pt>
                <c:pt idx="11">
                  <c:v>35197</c:v>
                </c:pt>
                <c:pt idx="12">
                  <c:v>35623</c:v>
                </c:pt>
                <c:pt idx="13">
                  <c:v>35904</c:v>
                </c:pt>
                <c:pt idx="14">
                  <c:v>37153</c:v>
                </c:pt>
              </c:numCache>
              <c:extLst xmlns:c15="http://schemas.microsoft.com/office/drawing/2012/chart"/>
            </c:numRef>
          </c:val>
          <c:extLst>
            <c:ext xmlns:c16="http://schemas.microsoft.com/office/drawing/2014/chart" uri="{C3380CC4-5D6E-409C-BE32-E72D297353CC}">
              <c16:uniqueId val="{00000003-01E8-4FC0-9DA3-177AA10E5709}"/>
            </c:ext>
          </c:extLst>
        </c:ser>
        <c:ser>
          <c:idx val="3"/>
          <c:order val="3"/>
          <c:tx>
            <c:strRef>
              <c:f>'5.Story&amp;Estimations'!$F$207</c:f>
              <c:strCache>
                <c:ptCount val="1"/>
                <c:pt idx="0">
                  <c:v>cash</c:v>
                </c:pt>
              </c:strCache>
              <c:extLst xmlns:c15="http://schemas.microsoft.com/office/drawing/2012/chart"/>
            </c:strRef>
          </c:tx>
          <c:spPr>
            <a:solidFill>
              <a:schemeClr val="accent4"/>
            </a:solidFill>
            <a:ln>
              <a:noFill/>
            </a:ln>
            <a:effectLst/>
          </c:spPr>
          <c:invertIfNegative val="0"/>
          <c:cat>
            <c:numRef>
              <c:f>'5.Story&amp;Estimations'!$B$208:$B$222</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extLst xmlns:c15="http://schemas.microsoft.com/office/drawing/2012/chart"/>
            </c:numRef>
          </c:cat>
          <c:val>
            <c:numRef>
              <c:f>'5.Story&amp;Estimations'!$F$208:$F$222</c:f>
              <c:numCache>
                <c:formatCode>_-[$$-409]* #,##0_ ;_-[$$-409]* \-#,##0\ ;_-[$$-409]* "-"??_ ;_-@_ </c:formatCode>
                <c:ptCount val="15"/>
                <c:pt idx="0">
                  <c:v>1796</c:v>
                </c:pt>
                <c:pt idx="1">
                  <c:v>2387</c:v>
                </c:pt>
                <c:pt idx="2">
                  <c:v>2336</c:v>
                </c:pt>
                <c:pt idx="3">
                  <c:v>2336</c:v>
                </c:pt>
                <c:pt idx="4">
                  <c:v>2799</c:v>
                </c:pt>
                <c:pt idx="5">
                  <c:v>2078</c:v>
                </c:pt>
                <c:pt idx="6">
                  <c:v>7686</c:v>
                </c:pt>
                <c:pt idx="7">
                  <c:v>1223</c:v>
                </c:pt>
                <c:pt idx="8">
                  <c:v>2464</c:v>
                </c:pt>
                <c:pt idx="9">
                  <c:v>866</c:v>
                </c:pt>
                <c:pt idx="10">
                  <c:v>899</c:v>
                </c:pt>
                <c:pt idx="11">
                  <c:v>3449</c:v>
                </c:pt>
                <c:pt idx="12">
                  <c:v>4709</c:v>
                </c:pt>
                <c:pt idx="13">
                  <c:v>2584</c:v>
                </c:pt>
                <c:pt idx="14">
                  <c:v>4579</c:v>
                </c:pt>
              </c:numCache>
              <c:extLst xmlns:c15="http://schemas.microsoft.com/office/drawing/2012/chart"/>
            </c:numRef>
          </c:val>
          <c:extLst>
            <c:ext xmlns:c16="http://schemas.microsoft.com/office/drawing/2014/chart" uri="{C3380CC4-5D6E-409C-BE32-E72D297353CC}">
              <c16:uniqueId val="{00000004-01E8-4FC0-9DA3-177AA10E5709}"/>
            </c:ext>
          </c:extLst>
        </c:ser>
        <c:dLbls>
          <c:showLegendKey val="0"/>
          <c:showVal val="0"/>
          <c:showCatName val="0"/>
          <c:showSerName val="0"/>
          <c:showPercent val="0"/>
          <c:showBubbleSize val="0"/>
        </c:dLbls>
        <c:gapWidth val="219"/>
        <c:overlap val="-27"/>
        <c:axId val="1668143552"/>
        <c:axId val="1668145472"/>
        <c:extLst>
          <c:ext xmlns:c15="http://schemas.microsoft.com/office/drawing/2012/chart" uri="{02D57815-91ED-43cb-92C2-25804820EDAC}">
            <c15:filteredBarSeries>
              <c15:ser>
                <c:idx val="0"/>
                <c:order val="0"/>
                <c:tx>
                  <c:strRef>
                    <c:extLst>
                      <c:ext uri="{02D57815-91ED-43cb-92C2-25804820EDAC}">
                        <c15:formulaRef>
                          <c15:sqref>'5.Story&amp;Estimations'!$C$207</c15:sqref>
                        </c15:formulaRef>
                      </c:ext>
                    </c:extLst>
                    <c:strCache>
                      <c:ptCount val="1"/>
                      <c:pt idx="0">
                        <c:v>revenues</c:v>
                      </c:pt>
                    </c:strCache>
                  </c:strRef>
                </c:tx>
                <c:spPr>
                  <a:solidFill>
                    <a:schemeClr val="accent1"/>
                  </a:solidFill>
                  <a:ln>
                    <a:noFill/>
                  </a:ln>
                  <a:effectLst/>
                </c:spPr>
                <c:invertIfNegative val="0"/>
                <c:cat>
                  <c:numRef>
                    <c:extLst>
                      <c:ext uri="{02D57815-91ED-43cb-92C2-25804820EDAC}">
                        <c15:formulaRef>
                          <c15:sqref>'5.Story&amp;Estimations'!$B$208:$B$222</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c:ext uri="{02D57815-91ED-43cb-92C2-25804820EDAC}">
                        <c15:formulaRef>
                          <c15:sqref>'5.Story&amp;Estimations'!$C$208:$C$222</c15:sqref>
                        </c15:formulaRef>
                      </c:ext>
                    </c:extLst>
                    <c:numCache>
                      <c:formatCode>_-[$$-409]* #,##0_ ;_-[$$-409]* \-#,##0\ ;_-[$$-409]* "-"??_ ;_-@_ </c:formatCode>
                      <c:ptCount val="15"/>
                      <c:pt idx="0">
                        <c:v>22745</c:v>
                      </c:pt>
                      <c:pt idx="1">
                        <c:v>24075</c:v>
                      </c:pt>
                      <c:pt idx="2">
                        <c:v>27006</c:v>
                      </c:pt>
                      <c:pt idx="3">
                        <c:v>27567</c:v>
                      </c:pt>
                      <c:pt idx="4">
                        <c:v>28106</c:v>
                      </c:pt>
                      <c:pt idx="5">
                        <c:v>27441</c:v>
                      </c:pt>
                      <c:pt idx="6">
                        <c:v>25413</c:v>
                      </c:pt>
                      <c:pt idx="7">
                        <c:v>24622</c:v>
                      </c:pt>
                      <c:pt idx="8">
                        <c:v>22820</c:v>
                      </c:pt>
                      <c:pt idx="9">
                        <c:v>21258</c:v>
                      </c:pt>
                      <c:pt idx="10">
                        <c:v>21364</c:v>
                      </c:pt>
                      <c:pt idx="11">
                        <c:v>19208</c:v>
                      </c:pt>
                      <c:pt idx="12">
                        <c:v>23223</c:v>
                      </c:pt>
                      <c:pt idx="13">
                        <c:v>23183</c:v>
                      </c:pt>
                      <c:pt idx="14">
                        <c:v>25494</c:v>
                      </c:pt>
                    </c:numCache>
                  </c:numRef>
                </c:val>
                <c:extLst>
                  <c:ext xmlns:c16="http://schemas.microsoft.com/office/drawing/2014/chart" uri="{C3380CC4-5D6E-409C-BE32-E72D297353CC}">
                    <c16:uniqueId val="{00000000-01E8-4FC0-9DA3-177AA10E570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'5.Story&amp;Estimations'!$G$207</c15:sqref>
                        </c15:formulaRef>
                      </c:ext>
                    </c:extLst>
                    <c:strCache>
                      <c:ptCount val="1"/>
                      <c:pt idx="0">
                        <c:v>capital</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'5.Story&amp;Estimations'!$B$208:$B$222</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xmlns:c15="http://schemas.microsoft.com/office/drawing/2012/chart">
                      <c:ext xmlns:c15="http://schemas.microsoft.com/office/drawing/2012/chart" uri="{02D57815-91ED-43cb-92C2-25804820EDAC}">
                        <c15:formulaRef>
                          <c15:sqref>'5.Story&amp;Estimations'!$G$208:$G$222</c15:sqref>
                        </c15:formulaRef>
                      </c:ext>
                    </c:extLst>
                    <c:numCache>
                      <c:formatCode>_-[$$-409]* #,##0_ ;_-[$$-409]* \-#,##0\ ;_-[$$-409]* "-"??_ ;_-@_ </c:formatCode>
                      <c:ptCount val="15"/>
                      <c:pt idx="0">
                        <c:v>22798</c:v>
                      </c:pt>
                      <c:pt idx="1">
                        <c:v>23744</c:v>
                      </c:pt>
                      <c:pt idx="2">
                        <c:v>24188</c:v>
                      </c:pt>
                      <c:pt idx="3">
                        <c:v>26591</c:v>
                      </c:pt>
                      <c:pt idx="4">
                        <c:v>27341</c:v>
                      </c:pt>
                      <c:pt idx="5">
                        <c:v>25711</c:v>
                      </c:pt>
                      <c:pt idx="6">
                        <c:v>23524</c:v>
                      </c:pt>
                      <c:pt idx="7">
                        <c:v>22452</c:v>
                      </c:pt>
                      <c:pt idx="8">
                        <c:v>23804</c:v>
                      </c:pt>
                      <c:pt idx="9">
                        <c:v>23951</c:v>
                      </c:pt>
                      <c:pt idx="10">
                        <c:v>25009</c:v>
                      </c:pt>
                      <c:pt idx="11">
                        <c:v>23923</c:v>
                      </c:pt>
                      <c:pt idx="12">
                        <c:v>26313</c:v>
                      </c:pt>
                      <c:pt idx="13">
                        <c:v>27317</c:v>
                      </c:pt>
                      <c:pt idx="14">
                        <c:v>27867</c:v>
                      </c:pt>
                    </c:numCache>
                  </c:numRef>
                </c:val>
                <c:extLst xmlns:c15="http://schemas.microsoft.com/office/drawing/2012/chart">
                  <c:ext xmlns:c16="http://schemas.microsoft.com/office/drawing/2014/chart" uri="{C3380CC4-5D6E-409C-BE32-E72D297353CC}">
                    <c16:uniqueId val="{00000001-01E8-4FC0-9DA3-177AA10E570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'5.Story&amp;Estimations'!$H$207</c15:sqref>
                        </c15:formulaRef>
                      </c:ext>
                    </c:extLst>
                    <c:strCache>
                      <c:ptCount val="1"/>
                      <c:pt idx="0">
                        <c:v>sales to capital ratio</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'5.Story&amp;Estimations'!$B$208:$B$222</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xmlns:c15="http://schemas.microsoft.com/office/drawing/2012/chart">
                      <c:ext xmlns:c15="http://schemas.microsoft.com/office/drawing/2012/chart" uri="{02D57815-91ED-43cb-92C2-25804820EDAC}">
                        <c15:formulaRef>
                          <c15:sqref>'5.Story&amp;Estimations'!$H$208:$H$222</c15:sqref>
                        </c15:formulaRef>
                      </c:ext>
                    </c:extLst>
                    <c:numCache>
                      <c:formatCode>0.00</c:formatCode>
                      <c:ptCount val="15"/>
                      <c:pt idx="0">
                        <c:v>0.99767523466970787</c:v>
                      </c:pt>
                      <c:pt idx="1">
                        <c:v>1.0139403638814015</c:v>
                      </c:pt>
                      <c:pt idx="2">
                        <c:v>1.1165040515958327</c:v>
                      </c:pt>
                      <c:pt idx="3">
                        <c:v>1.0367041480200068</c:v>
                      </c:pt>
                      <c:pt idx="4">
                        <c:v>1.0279799568413737</c:v>
                      </c:pt>
                      <c:pt idx="5">
                        <c:v>1.0672863754813116</c:v>
                      </c:pt>
                      <c:pt idx="6">
                        <c:v>1.0803009692229213</c:v>
                      </c:pt>
                      <c:pt idx="7">
                        <c:v>1.09665063246036</c:v>
                      </c:pt>
                      <c:pt idx="8">
                        <c:v>0.95866240967904559</c:v>
                      </c:pt>
                      <c:pt idx="9">
                        <c:v>0.88756210596634799</c:v>
                      </c:pt>
                      <c:pt idx="10">
                        <c:v>0.85425246911111996</c:v>
                      </c:pt>
                      <c:pt idx="11">
                        <c:v>0.80290933411361454</c:v>
                      </c:pt>
                      <c:pt idx="12">
                        <c:v>0.88256755216052907</c:v>
                      </c:pt>
                      <c:pt idx="13">
                        <c:v>0.84866566606874838</c:v>
                      </c:pt>
                      <c:pt idx="14">
                        <c:v>0.91484551620195931</c:v>
                      </c:pt>
                    </c:numCache>
                  </c:numRef>
                </c:val>
                <c:extLst xmlns:c15="http://schemas.microsoft.com/office/drawing/2012/chart">
                  <c:ext xmlns:c16="http://schemas.microsoft.com/office/drawing/2014/chart" uri="{C3380CC4-5D6E-409C-BE32-E72D297353CC}">
                    <c16:uniqueId val="{00000005-01E8-4FC0-9DA3-177AA10E5709}"/>
                  </c:ext>
                </c:extLst>
              </c15:ser>
            </c15:filteredBarSeries>
          </c:ext>
        </c:extLst>
      </c:barChart>
      <c:catAx>
        <c:axId val="166814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68145472"/>
        <c:crosses val="autoZero"/>
        <c:auto val="1"/>
        <c:lblAlgn val="ctr"/>
        <c:lblOffset val="100"/>
        <c:noMultiLvlLbl val="0"/>
      </c:catAx>
      <c:valAx>
        <c:axId val="1668145472"/>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6814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0"/>
          <c:order val="0"/>
          <c:tx>
            <c:strRef>
              <c:f>'5.Story&amp;Estimations'!$C$251</c:f>
              <c:strCache>
                <c:ptCount val="1"/>
                <c:pt idx="0">
                  <c:v>num resterunts</c:v>
                </c:pt>
              </c:strCache>
            </c:strRef>
          </c:tx>
          <c:spPr>
            <a:solidFill>
              <a:schemeClr val="accent1"/>
            </a:solidFill>
            <a:ln>
              <a:noFill/>
            </a:ln>
            <a:effectLst/>
          </c:spPr>
          <c:invertIfNegative val="0"/>
          <c:cat>
            <c:numRef>
              <c:f>'5.Story&amp;Estimations'!$B$252:$B$266</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'5.Story&amp;Estimations'!$C$252:$C$266</c:f>
              <c:numCache>
                <c:formatCode>_ * #,##0_ ;_ * \-#,##0_ ;_ * "-"??_ ;_ @_ </c:formatCode>
                <c:ptCount val="15"/>
                <c:pt idx="0">
                  <c:v>32478</c:v>
                </c:pt>
                <c:pt idx="1">
                  <c:v>32737</c:v>
                </c:pt>
                <c:pt idx="2">
                  <c:v>33510</c:v>
                </c:pt>
                <c:pt idx="3">
                  <c:v>34480</c:v>
                </c:pt>
                <c:pt idx="4">
                  <c:v>35429</c:v>
                </c:pt>
                <c:pt idx="5">
                  <c:v>36258</c:v>
                </c:pt>
                <c:pt idx="6">
                  <c:v>36525</c:v>
                </c:pt>
                <c:pt idx="7">
                  <c:v>36899</c:v>
                </c:pt>
                <c:pt idx="8">
                  <c:v>37241</c:v>
                </c:pt>
                <c:pt idx="9">
                  <c:v>37855</c:v>
                </c:pt>
                <c:pt idx="10">
                  <c:v>38695</c:v>
                </c:pt>
                <c:pt idx="11">
                  <c:v>39198</c:v>
                </c:pt>
                <c:pt idx="12">
                  <c:v>40031</c:v>
                </c:pt>
                <c:pt idx="13">
                  <c:v>40275</c:v>
                </c:pt>
                <c:pt idx="14">
                  <c:v>41822</c:v>
                </c:pt>
              </c:numCache>
            </c:numRef>
          </c:val>
          <c:extLst>
            <c:ext xmlns:c16="http://schemas.microsoft.com/office/drawing/2014/chart" uri="{C3380CC4-5D6E-409C-BE32-E72D297353CC}">
              <c16:uniqueId val="{00000000-D57B-4E8D-88A6-35AAC49BD850}"/>
            </c:ext>
          </c:extLst>
        </c:ser>
        <c:dLbls>
          <c:showLegendKey val="0"/>
          <c:showVal val="0"/>
          <c:showCatName val="0"/>
          <c:showSerName val="0"/>
          <c:showPercent val="0"/>
          <c:showBubbleSize val="0"/>
        </c:dLbls>
        <c:gapWidth val="219"/>
        <c:overlap val="-27"/>
        <c:axId val="1427692431"/>
        <c:axId val="1427689551"/>
      </c:barChart>
      <c:catAx>
        <c:axId val="142769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427689551"/>
        <c:crosses val="autoZero"/>
        <c:auto val="1"/>
        <c:lblAlgn val="ctr"/>
        <c:lblOffset val="100"/>
        <c:noMultiLvlLbl val="0"/>
      </c:catAx>
      <c:valAx>
        <c:axId val="1427689551"/>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42769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2"/>
          <c:order val="2"/>
          <c:tx>
            <c:strRef>
              <c:f>'5.Story&amp;Estimations'!$E$251</c:f>
              <c:strCache>
                <c:ptCount val="1"/>
                <c:pt idx="0">
                  <c:v>chg</c:v>
                </c:pt>
              </c:strCache>
            </c:strRef>
          </c:tx>
          <c:spPr>
            <a:solidFill>
              <a:schemeClr val="accent3"/>
            </a:solidFill>
            <a:ln>
              <a:noFill/>
            </a:ln>
            <a:effectLst/>
          </c:spPr>
          <c:invertIfNegative val="0"/>
          <c:cat>
            <c:numRef>
              <c:f>'5.Story&amp;Estimations'!$B$252:$B$266</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'5.Story&amp;Estimations'!$E$252:$E$266</c:f>
              <c:numCache>
                <c:formatCode>_ * #,##0_ ;_ * \-#,##0_ ;_ * "-"??_ ;_ @_ </c:formatCode>
                <c:ptCount val="15"/>
                <c:pt idx="1">
                  <c:v>259</c:v>
                </c:pt>
                <c:pt idx="2">
                  <c:v>773</c:v>
                </c:pt>
                <c:pt idx="3">
                  <c:v>970</c:v>
                </c:pt>
                <c:pt idx="4">
                  <c:v>949</c:v>
                </c:pt>
                <c:pt idx="5">
                  <c:v>829</c:v>
                </c:pt>
                <c:pt idx="6">
                  <c:v>267</c:v>
                </c:pt>
                <c:pt idx="7">
                  <c:v>374</c:v>
                </c:pt>
                <c:pt idx="8">
                  <c:v>342</c:v>
                </c:pt>
                <c:pt idx="9">
                  <c:v>614</c:v>
                </c:pt>
                <c:pt idx="10">
                  <c:v>840</c:v>
                </c:pt>
                <c:pt idx="11">
                  <c:v>503</c:v>
                </c:pt>
                <c:pt idx="12">
                  <c:v>833</c:v>
                </c:pt>
                <c:pt idx="13">
                  <c:v>244</c:v>
                </c:pt>
                <c:pt idx="14">
                  <c:v>1547</c:v>
                </c:pt>
              </c:numCache>
            </c:numRef>
          </c:val>
          <c:extLst>
            <c:ext xmlns:c16="http://schemas.microsoft.com/office/drawing/2014/chart" uri="{C3380CC4-5D6E-409C-BE32-E72D297353CC}">
              <c16:uniqueId val="{00000002-8B84-44C6-BDD8-2A1DF1D4ABD9}"/>
            </c:ext>
          </c:extLst>
        </c:ser>
        <c:dLbls>
          <c:showLegendKey val="0"/>
          <c:showVal val="0"/>
          <c:showCatName val="0"/>
          <c:showSerName val="0"/>
          <c:showPercent val="0"/>
          <c:showBubbleSize val="0"/>
        </c:dLbls>
        <c:gapWidth val="219"/>
        <c:overlap val="-27"/>
        <c:axId val="1816639728"/>
        <c:axId val="1816646448"/>
        <c:extLst>
          <c:ext xmlns:c15="http://schemas.microsoft.com/office/drawing/2012/chart" uri="{02D57815-91ED-43cb-92C2-25804820EDAC}">
            <c15:filteredBarSeries>
              <c15:ser>
                <c:idx val="0"/>
                <c:order val="0"/>
                <c:tx>
                  <c:strRef>
                    <c:extLst>
                      <c:ext uri="{02D57815-91ED-43cb-92C2-25804820EDAC}">
                        <c15:formulaRef>
                          <c15:sqref>'5.Story&amp;Estimations'!$C$251</c15:sqref>
                        </c15:formulaRef>
                      </c:ext>
                    </c:extLst>
                    <c:strCache>
                      <c:ptCount val="1"/>
                      <c:pt idx="0">
                        <c:v>num resterunts</c:v>
                      </c:pt>
                    </c:strCache>
                  </c:strRef>
                </c:tx>
                <c:spPr>
                  <a:solidFill>
                    <a:schemeClr val="accent1"/>
                  </a:solidFill>
                  <a:ln>
                    <a:noFill/>
                  </a:ln>
                  <a:effectLst/>
                </c:spPr>
                <c:invertIfNegative val="0"/>
                <c:cat>
                  <c:numRef>
                    <c:extLst>
                      <c:ext uri="{02D57815-91ED-43cb-92C2-25804820EDAC}">
                        <c15:formulaRef>
                          <c15:sqref>'5.Story&amp;Estimations'!$B$252:$B$266</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c:ext uri="{02D57815-91ED-43cb-92C2-25804820EDAC}">
                        <c15:formulaRef>
                          <c15:sqref>'5.Story&amp;Estimations'!$C$252:$C$266</c15:sqref>
                        </c15:formulaRef>
                      </c:ext>
                    </c:extLst>
                    <c:numCache>
                      <c:formatCode>_ * #,##0_ ;_ * \-#,##0_ ;_ * "-"??_ ;_ @_ </c:formatCode>
                      <c:ptCount val="15"/>
                      <c:pt idx="0">
                        <c:v>32478</c:v>
                      </c:pt>
                      <c:pt idx="1">
                        <c:v>32737</c:v>
                      </c:pt>
                      <c:pt idx="2">
                        <c:v>33510</c:v>
                      </c:pt>
                      <c:pt idx="3">
                        <c:v>34480</c:v>
                      </c:pt>
                      <c:pt idx="4">
                        <c:v>35429</c:v>
                      </c:pt>
                      <c:pt idx="5">
                        <c:v>36258</c:v>
                      </c:pt>
                      <c:pt idx="6">
                        <c:v>36525</c:v>
                      </c:pt>
                      <c:pt idx="7">
                        <c:v>36899</c:v>
                      </c:pt>
                      <c:pt idx="8">
                        <c:v>37241</c:v>
                      </c:pt>
                      <c:pt idx="9">
                        <c:v>37855</c:v>
                      </c:pt>
                      <c:pt idx="10">
                        <c:v>38695</c:v>
                      </c:pt>
                      <c:pt idx="11">
                        <c:v>39198</c:v>
                      </c:pt>
                      <c:pt idx="12">
                        <c:v>40031</c:v>
                      </c:pt>
                      <c:pt idx="13">
                        <c:v>40275</c:v>
                      </c:pt>
                      <c:pt idx="14">
                        <c:v>41822</c:v>
                      </c:pt>
                    </c:numCache>
                  </c:numRef>
                </c:val>
                <c:extLst>
                  <c:ext xmlns:c16="http://schemas.microsoft.com/office/drawing/2014/chart" uri="{C3380CC4-5D6E-409C-BE32-E72D297353CC}">
                    <c16:uniqueId val="{00000000-8B84-44C6-BDD8-2A1DF1D4ABD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'5.Story&amp;Estimations'!$D$251</c15:sqref>
                        </c15:formulaRef>
                      </c:ext>
                    </c:extLst>
                    <c:strCache>
                      <c:ptCount val="1"/>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'5.Story&amp;Estimations'!$B$252:$B$266</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xmlns:c15="http://schemas.microsoft.com/office/drawing/2012/chart">
                      <c:ext xmlns:c15="http://schemas.microsoft.com/office/drawing/2012/chart" uri="{02D57815-91ED-43cb-92C2-25804820EDAC}">
                        <c15:formulaRef>
                          <c15:sqref>'5.Story&amp;Estimations'!$D$252:$D$266</c15:sqref>
                        </c15:formulaRef>
                      </c:ext>
                    </c:extLst>
                    <c:numCache>
                      <c:formatCode>General</c:formatCode>
                      <c:ptCount val="15"/>
                    </c:numCache>
                  </c:numRef>
                </c:val>
                <c:extLst xmlns:c15="http://schemas.microsoft.com/office/drawing/2012/chart">
                  <c:ext xmlns:c16="http://schemas.microsoft.com/office/drawing/2014/chart" uri="{C3380CC4-5D6E-409C-BE32-E72D297353CC}">
                    <c16:uniqueId val="{00000001-8B84-44C6-BDD8-2A1DF1D4ABD9}"/>
                  </c:ext>
                </c:extLst>
              </c15:ser>
            </c15:filteredBarSeries>
          </c:ext>
        </c:extLst>
      </c:barChart>
      <c:catAx>
        <c:axId val="181663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16646448"/>
        <c:crosses val="autoZero"/>
        <c:auto val="1"/>
        <c:lblAlgn val="ctr"/>
        <c:lblOffset val="100"/>
        <c:noMultiLvlLbl val="0"/>
      </c:catAx>
      <c:valAx>
        <c:axId val="181664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1663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4"/>
          <c:order val="4"/>
          <c:tx>
            <c:strRef>
              <c:f>'5.Story&amp;Estimations'!$G$270</c:f>
              <c:strCache>
                <c:ptCount val="1"/>
                <c:pt idx="0">
                  <c:v>sales to capital ratio to num of resterunts</c:v>
                </c:pt>
              </c:strCache>
            </c:strRef>
          </c:tx>
          <c:spPr>
            <a:solidFill>
              <a:schemeClr val="accent5"/>
            </a:solidFill>
            <a:ln>
              <a:noFill/>
            </a:ln>
            <a:effectLst/>
          </c:spPr>
          <c:invertIfNegative val="0"/>
          <c:cat>
            <c:numRef>
              <c:f>'5.Story&amp;Estimations'!$B$271:$B$285</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'5.Story&amp;Estimations'!$G$271:$G$285</c:f>
              <c:numCache>
                <c:formatCode>_(* #,##0.00_);_(* \(#,##0.00\);_(* "-"??_);_(@_)</c:formatCode>
                <c:ptCount val="15"/>
                <c:pt idx="0">
                  <c:v>32553.679665860629</c:v>
                </c:pt>
                <c:pt idx="1">
                  <c:v>32286.90874350987</c:v>
                </c:pt>
                <c:pt idx="2">
                  <c:v>30013.325927571652</c:v>
                </c:pt>
                <c:pt idx="3">
                  <c:v>33259.247651177131</c:v>
                </c:pt>
                <c:pt idx="4">
                  <c:v>34464.679748096496</c:v>
                </c:pt>
                <c:pt idx="5">
                  <c:v>33972.137968732917</c:v>
                </c:pt>
                <c:pt idx="6">
                  <c:v>33810.022429465236</c:v>
                </c:pt>
                <c:pt idx="7">
                  <c:v>33646.996507188691</c:v>
                </c:pt>
                <c:pt idx="8">
                  <c:v>38846.834531113054</c:v>
                </c:pt>
                <c:pt idx="9">
                  <c:v>42650.536503904412</c:v>
                </c:pt>
                <c:pt idx="10">
                  <c:v>45296.913265306124</c:v>
                </c:pt>
                <c:pt idx="11">
                  <c:v>48819.958038317367</c:v>
                </c:pt>
                <c:pt idx="12">
                  <c:v>45357.434569177109</c:v>
                </c:pt>
                <c:pt idx="13">
                  <c:v>47456.850925246952</c:v>
                </c:pt>
                <c:pt idx="14">
                  <c:v>45714.82207578254</c:v>
                </c:pt>
              </c:numCache>
            </c:numRef>
          </c:val>
          <c:extLst>
            <c:ext xmlns:c16="http://schemas.microsoft.com/office/drawing/2014/chart" uri="{C3380CC4-5D6E-409C-BE32-E72D297353CC}">
              <c16:uniqueId val="{00000004-802B-41B6-8A17-15917AF3DE72}"/>
            </c:ext>
          </c:extLst>
        </c:ser>
        <c:dLbls>
          <c:showLegendKey val="0"/>
          <c:showVal val="0"/>
          <c:showCatName val="0"/>
          <c:showSerName val="0"/>
          <c:showPercent val="0"/>
          <c:showBubbleSize val="0"/>
        </c:dLbls>
        <c:gapWidth val="219"/>
        <c:overlap val="-27"/>
        <c:axId val="1816634928"/>
        <c:axId val="1816637328"/>
        <c:extLst>
          <c:ext xmlns:c15="http://schemas.microsoft.com/office/drawing/2012/chart" uri="{02D57815-91ED-43cb-92C2-25804820EDAC}">
            <c15:filteredBarSeries>
              <c15:ser>
                <c:idx val="0"/>
                <c:order val="0"/>
                <c:tx>
                  <c:strRef>
                    <c:extLst>
                      <c:ext uri="{02D57815-91ED-43cb-92C2-25804820EDAC}">
                        <c15:formulaRef>
                          <c15:sqref>'5.Story&amp;Estimations'!$C$270</c15:sqref>
                        </c15:formulaRef>
                      </c:ext>
                    </c:extLst>
                    <c:strCache>
                      <c:ptCount val="1"/>
                      <c:pt idx="0">
                        <c:v>num resterunts</c:v>
                      </c:pt>
                    </c:strCache>
                  </c:strRef>
                </c:tx>
                <c:spPr>
                  <a:solidFill>
                    <a:schemeClr val="accent1"/>
                  </a:solidFill>
                  <a:ln>
                    <a:noFill/>
                  </a:ln>
                  <a:effectLst/>
                </c:spPr>
                <c:invertIfNegative val="0"/>
                <c:cat>
                  <c:numRef>
                    <c:extLst>
                      <c:ext uri="{02D57815-91ED-43cb-92C2-25804820EDAC}">
                        <c15:formulaRef>
                          <c15:sqref>'5.Story&amp;Estimations'!$B$271:$B$285</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c:ext uri="{02D57815-91ED-43cb-92C2-25804820EDAC}">
                        <c15:formulaRef>
                          <c15:sqref>'5.Story&amp;Estimations'!$C$271:$C$285</c15:sqref>
                        </c15:formulaRef>
                      </c:ext>
                    </c:extLst>
                    <c:numCache>
                      <c:formatCode>_ * #,##0_ ;_ * \-#,##0_ ;_ * "-"??_ ;_ @_ </c:formatCode>
                      <c:ptCount val="15"/>
                      <c:pt idx="0">
                        <c:v>32478</c:v>
                      </c:pt>
                      <c:pt idx="1">
                        <c:v>32737</c:v>
                      </c:pt>
                      <c:pt idx="2">
                        <c:v>33510</c:v>
                      </c:pt>
                      <c:pt idx="3">
                        <c:v>34480</c:v>
                      </c:pt>
                      <c:pt idx="4">
                        <c:v>35429</c:v>
                      </c:pt>
                      <c:pt idx="5">
                        <c:v>36258</c:v>
                      </c:pt>
                      <c:pt idx="6">
                        <c:v>36525</c:v>
                      </c:pt>
                      <c:pt idx="7">
                        <c:v>36899</c:v>
                      </c:pt>
                      <c:pt idx="8">
                        <c:v>37241</c:v>
                      </c:pt>
                      <c:pt idx="9">
                        <c:v>37855</c:v>
                      </c:pt>
                      <c:pt idx="10">
                        <c:v>38695</c:v>
                      </c:pt>
                      <c:pt idx="11">
                        <c:v>39198</c:v>
                      </c:pt>
                      <c:pt idx="12">
                        <c:v>40031</c:v>
                      </c:pt>
                      <c:pt idx="13">
                        <c:v>40275</c:v>
                      </c:pt>
                      <c:pt idx="14">
                        <c:v>41822</c:v>
                      </c:pt>
                    </c:numCache>
                  </c:numRef>
                </c:val>
                <c:extLst>
                  <c:ext xmlns:c16="http://schemas.microsoft.com/office/drawing/2014/chart" uri="{C3380CC4-5D6E-409C-BE32-E72D297353CC}">
                    <c16:uniqueId val="{00000000-802B-41B6-8A17-15917AF3DE7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'5.Story&amp;Estimations'!$D$270</c15:sqref>
                        </c15:formulaRef>
                      </c:ext>
                    </c:extLst>
                    <c:strCache>
                      <c:ptCount val="1"/>
                      <c:pt idx="0">
                        <c:v>chg</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'5.Story&amp;Estimations'!$B$271:$B$285</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xmlns:c15="http://schemas.microsoft.com/office/drawing/2012/chart">
                      <c:ext xmlns:c15="http://schemas.microsoft.com/office/drawing/2012/chart" uri="{02D57815-91ED-43cb-92C2-25804820EDAC}">
                        <c15:formulaRef>
                          <c15:sqref>'5.Story&amp;Estimations'!$D$271:$D$285</c15:sqref>
                        </c15:formulaRef>
                      </c:ext>
                    </c:extLst>
                    <c:numCache>
                      <c:formatCode>_ * #,##0_ ;_ * \-#,##0_ ;_ * "-"??_ ;_ @_ </c:formatCode>
                      <c:ptCount val="15"/>
                      <c:pt idx="1">
                        <c:v>259</c:v>
                      </c:pt>
                      <c:pt idx="2">
                        <c:v>773</c:v>
                      </c:pt>
                      <c:pt idx="3">
                        <c:v>970</c:v>
                      </c:pt>
                      <c:pt idx="4">
                        <c:v>949</c:v>
                      </c:pt>
                      <c:pt idx="5">
                        <c:v>829</c:v>
                      </c:pt>
                      <c:pt idx="6">
                        <c:v>267</c:v>
                      </c:pt>
                      <c:pt idx="7">
                        <c:v>374</c:v>
                      </c:pt>
                      <c:pt idx="8">
                        <c:v>342</c:v>
                      </c:pt>
                      <c:pt idx="9">
                        <c:v>614</c:v>
                      </c:pt>
                      <c:pt idx="10">
                        <c:v>840</c:v>
                      </c:pt>
                      <c:pt idx="11">
                        <c:v>503</c:v>
                      </c:pt>
                      <c:pt idx="12">
                        <c:v>833</c:v>
                      </c:pt>
                      <c:pt idx="13">
                        <c:v>244</c:v>
                      </c:pt>
                      <c:pt idx="14">
                        <c:v>1547</c:v>
                      </c:pt>
                    </c:numCache>
                  </c:numRef>
                </c:val>
                <c:extLst xmlns:c15="http://schemas.microsoft.com/office/drawing/2012/chart">
                  <c:ext xmlns:c16="http://schemas.microsoft.com/office/drawing/2014/chart" uri="{C3380CC4-5D6E-409C-BE32-E72D297353CC}">
                    <c16:uniqueId val="{00000001-802B-41B6-8A17-15917AF3DE72}"/>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'5.Story&amp;Estimations'!$E$270</c15:sqref>
                        </c15:formulaRef>
                      </c:ext>
                    </c:extLst>
                    <c:strCache>
                      <c:ptCount val="1"/>
                      <c:pt idx="0">
                        <c:v>sales to capital ratio</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'5.Story&amp;Estimations'!$B$271:$B$285</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xmlns:c15="http://schemas.microsoft.com/office/drawing/2012/chart">
                      <c:ext xmlns:c15="http://schemas.microsoft.com/office/drawing/2012/chart" uri="{02D57815-91ED-43cb-92C2-25804820EDAC}">
                        <c15:formulaRef>
                          <c15:sqref>'5.Story&amp;Estimations'!$E$271:$E$285</c15:sqref>
                        </c15:formulaRef>
                      </c:ext>
                    </c:extLst>
                    <c:numCache>
                      <c:formatCode>0.00</c:formatCode>
                      <c:ptCount val="15"/>
                      <c:pt idx="0">
                        <c:v>0.99767523466970787</c:v>
                      </c:pt>
                      <c:pt idx="1">
                        <c:v>1.0139403638814015</c:v>
                      </c:pt>
                      <c:pt idx="2">
                        <c:v>1.1165040515958327</c:v>
                      </c:pt>
                      <c:pt idx="3">
                        <c:v>1.0367041480200068</c:v>
                      </c:pt>
                      <c:pt idx="4">
                        <c:v>1.0279799568413737</c:v>
                      </c:pt>
                      <c:pt idx="5">
                        <c:v>1.0672863754813116</c:v>
                      </c:pt>
                      <c:pt idx="6">
                        <c:v>1.0803009692229213</c:v>
                      </c:pt>
                      <c:pt idx="7">
                        <c:v>1.09665063246036</c:v>
                      </c:pt>
                      <c:pt idx="8">
                        <c:v>0.95866240967904559</c:v>
                      </c:pt>
                      <c:pt idx="9">
                        <c:v>0.88756210596634799</c:v>
                      </c:pt>
                      <c:pt idx="10">
                        <c:v>0.85425246911111996</c:v>
                      </c:pt>
                      <c:pt idx="11">
                        <c:v>0.80290933411361454</c:v>
                      </c:pt>
                      <c:pt idx="12">
                        <c:v>0.88256755216052907</c:v>
                      </c:pt>
                      <c:pt idx="13">
                        <c:v>0.84866566606874838</c:v>
                      </c:pt>
                      <c:pt idx="14">
                        <c:v>0.91484551620195931</c:v>
                      </c:pt>
                    </c:numCache>
                  </c:numRef>
                </c:val>
                <c:extLst xmlns:c15="http://schemas.microsoft.com/office/drawing/2012/chart">
                  <c:ext xmlns:c16="http://schemas.microsoft.com/office/drawing/2014/chart" uri="{C3380CC4-5D6E-409C-BE32-E72D297353CC}">
                    <c16:uniqueId val="{00000002-802B-41B6-8A17-15917AF3DE72}"/>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'5.Story&amp;Estimations'!$F$270</c15:sqref>
                        </c15:formulaRef>
                      </c:ext>
                    </c:extLst>
                    <c:strCache>
                      <c:ptCount val="1"/>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'5.Story&amp;Estimations'!$B$271:$B$285</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xmlns:c15="http://schemas.microsoft.com/office/drawing/2012/chart">
                      <c:ext xmlns:c15="http://schemas.microsoft.com/office/drawing/2012/chart" uri="{02D57815-91ED-43cb-92C2-25804820EDAC}">
                        <c15:formulaRef>
                          <c15:sqref>'5.Story&amp;Estimations'!$F$271:$F$285</c15:sqref>
                        </c15:formulaRef>
                      </c:ext>
                    </c:extLst>
                    <c:numCache>
                      <c:formatCode>General</c:formatCode>
                      <c:ptCount val="15"/>
                    </c:numCache>
                  </c:numRef>
                </c:val>
                <c:extLst xmlns:c15="http://schemas.microsoft.com/office/drawing/2012/chart">
                  <c:ext xmlns:c16="http://schemas.microsoft.com/office/drawing/2014/chart" uri="{C3380CC4-5D6E-409C-BE32-E72D297353CC}">
                    <c16:uniqueId val="{00000003-802B-41B6-8A17-15917AF3DE72}"/>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'5.Story&amp;Estimations'!$H$270</c15:sqref>
                        </c15:formulaRef>
                      </c:ext>
                    </c:extLst>
                    <c:strCache>
                      <c:ptCount val="1"/>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'5.Story&amp;Estimations'!$B$271:$B$285</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xmlns:c15="http://schemas.microsoft.com/office/drawing/2012/chart">
                      <c:ext xmlns:c15="http://schemas.microsoft.com/office/drawing/2012/chart" uri="{02D57815-91ED-43cb-92C2-25804820EDAC}">
                        <c15:formulaRef>
                          <c15:sqref>'5.Story&amp;Estimations'!$H$271:$H$285</c15:sqref>
                        </c15:formulaRef>
                      </c:ext>
                    </c:extLst>
                    <c:numCache>
                      <c:formatCode>General</c:formatCode>
                      <c:ptCount val="15"/>
                    </c:numCache>
                  </c:numRef>
                </c:val>
                <c:extLst xmlns:c15="http://schemas.microsoft.com/office/drawing/2012/chart">
                  <c:ext xmlns:c16="http://schemas.microsoft.com/office/drawing/2014/chart" uri="{C3380CC4-5D6E-409C-BE32-E72D297353CC}">
                    <c16:uniqueId val="{00000005-802B-41B6-8A17-15917AF3DE72}"/>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'5.Story&amp;Estimations'!$I$270</c15:sqref>
                        </c15:formulaRef>
                      </c:ext>
                    </c:extLst>
                    <c:strCache>
                      <c:ptCount val="1"/>
                    </c:strCache>
                  </c:strRef>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'5.Story&amp;Estimations'!$B$271:$B$285</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xmlns:c15="http://schemas.microsoft.com/office/drawing/2012/chart">
                      <c:ext xmlns:c15="http://schemas.microsoft.com/office/drawing/2012/chart" uri="{02D57815-91ED-43cb-92C2-25804820EDAC}">
                        <c15:formulaRef>
                          <c15:sqref>'5.Story&amp;Estimations'!$I$271:$I$285</c15:sqref>
                        </c15:formulaRef>
                      </c:ext>
                    </c:extLst>
                    <c:numCache>
                      <c:formatCode>General</c:formatCode>
                      <c:ptCount val="15"/>
                    </c:numCache>
                  </c:numRef>
                </c:val>
                <c:extLst xmlns:c15="http://schemas.microsoft.com/office/drawing/2012/chart">
                  <c:ext xmlns:c16="http://schemas.microsoft.com/office/drawing/2014/chart" uri="{C3380CC4-5D6E-409C-BE32-E72D297353CC}">
                    <c16:uniqueId val="{00000006-802B-41B6-8A17-15917AF3DE72}"/>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'5.Story&amp;Estimations'!$J$270</c15:sqref>
                        </c15:formulaRef>
                      </c:ext>
                    </c:extLst>
                    <c:strCache>
                      <c:ptCount val="1"/>
                    </c:strCache>
                  </c:strRef>
                </c:tx>
                <c:spPr>
                  <a:solidFill>
                    <a:schemeClr val="accent2">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'5.Story&amp;Estimations'!$B$271:$B$285</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xmlns:c15="http://schemas.microsoft.com/office/drawing/2012/chart">
                      <c:ext xmlns:c15="http://schemas.microsoft.com/office/drawing/2012/chart" uri="{02D57815-91ED-43cb-92C2-25804820EDAC}">
                        <c15:formulaRef>
                          <c15:sqref>'5.Story&amp;Estimations'!$J$271:$J$285</c15:sqref>
                        </c15:formulaRef>
                      </c:ext>
                    </c:extLst>
                    <c:numCache>
                      <c:formatCode>General</c:formatCode>
                      <c:ptCount val="15"/>
                    </c:numCache>
                  </c:numRef>
                </c:val>
                <c:extLst xmlns:c15="http://schemas.microsoft.com/office/drawing/2012/chart">
                  <c:ext xmlns:c16="http://schemas.microsoft.com/office/drawing/2014/chart" uri="{C3380CC4-5D6E-409C-BE32-E72D297353CC}">
                    <c16:uniqueId val="{00000007-802B-41B6-8A17-15917AF3DE72}"/>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'5.Story&amp;Estimations'!$K$270</c15:sqref>
                        </c15:formulaRef>
                      </c:ext>
                    </c:extLst>
                    <c:strCache>
                      <c:ptCount val="1"/>
                      <c:pt idx="0">
                        <c:v>chg in resterunts to sale to capital ratio</c:v>
                      </c:pt>
                    </c:strCache>
                  </c:strRef>
                </c:tx>
                <c:spPr>
                  <a:solidFill>
                    <a:schemeClr val="accent3">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'5.Story&amp;Estimations'!$B$271:$B$285</c15:sqref>
                        </c15:formulaRef>
                      </c:ext>
                    </c:extLst>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extLst xmlns:c15="http://schemas.microsoft.com/office/drawing/2012/chart">
                      <c:ext xmlns:c15="http://schemas.microsoft.com/office/drawing/2012/chart" uri="{02D57815-91ED-43cb-92C2-25804820EDAC}">
                        <c15:formulaRef>
                          <c15:sqref>'5.Story&amp;Estimations'!$K$271:$K$285</c15:sqref>
                        </c15:formulaRef>
                      </c:ext>
                    </c:extLst>
                    <c:numCache>
                      <c:formatCode>_(* #,##0.00_);_(* \(#,##0.00\);_(* "-"??_);_(@_)</c:formatCode>
                      <c:ptCount val="15"/>
                      <c:pt idx="1">
                        <c:v>255.43908618899275</c:v>
                      </c:pt>
                      <c:pt idx="2">
                        <c:v>692.33962823076354</c:v>
                      </c:pt>
                      <c:pt idx="3">
                        <c:v>935.65748902673488</c:v>
                      </c:pt>
                      <c:pt idx="4">
                        <c:v>923.16975023126747</c:v>
                      </c:pt>
                      <c:pt idx="5">
                        <c:v>776.73623410225571</c:v>
                      </c:pt>
                      <c:pt idx="6">
                        <c:v>247.15334671231258</c:v>
                      </c:pt>
                      <c:pt idx="7">
                        <c:v>341.03842092437657</c:v>
                      </c:pt>
                      <c:pt idx="8">
                        <c:v>356.7470639789658</c:v>
                      </c:pt>
                      <c:pt idx="9">
                        <c:v>691.78257597139896</c:v>
                      </c:pt>
                      <c:pt idx="10">
                        <c:v>983.3158584534732</c:v>
                      </c:pt>
                      <c:pt idx="11">
                        <c:v>626.4717305289463</c:v>
                      </c:pt>
                      <c:pt idx="12">
                        <c:v>943.83710114972223</c:v>
                      </c:pt>
                      <c:pt idx="13">
                        <c:v>287.51015830565501</c:v>
                      </c:pt>
                      <c:pt idx="14">
                        <c:v>1690.995881383855</c:v>
                      </c:pt>
                    </c:numCache>
                  </c:numRef>
                </c:val>
                <c:extLst xmlns:c15="http://schemas.microsoft.com/office/drawing/2012/chart">
                  <c:ext xmlns:c16="http://schemas.microsoft.com/office/drawing/2014/chart" uri="{C3380CC4-5D6E-409C-BE32-E72D297353CC}">
                    <c16:uniqueId val="{00000008-802B-41B6-8A17-15917AF3DE72}"/>
                  </c:ext>
                </c:extLst>
              </c15:ser>
            </c15:filteredBarSeries>
          </c:ext>
        </c:extLst>
      </c:barChart>
      <c:catAx>
        <c:axId val="181663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16637328"/>
        <c:crosses val="autoZero"/>
        <c:auto val="1"/>
        <c:lblAlgn val="ctr"/>
        <c:lblOffset val="100"/>
        <c:noMultiLvlLbl val="0"/>
      </c:catAx>
      <c:valAx>
        <c:axId val="181663732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16634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mcd equity risk premium</a:t>
            </a:r>
          </a:p>
        </c:rich>
      </c:tx>
      <c:layout>
        <c:manualLayout>
          <c:xMode val="edge"/>
          <c:yMode val="edge"/>
          <c:x val="0.29755555555555557"/>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0"/>
          <c:order val="0"/>
          <c:spPr>
            <a:solidFill>
              <a:schemeClr val="accent1"/>
            </a:solidFill>
            <a:ln>
              <a:noFill/>
            </a:ln>
            <a:effectLst/>
          </c:spPr>
          <c:invertIfNegative val="0"/>
          <c:cat>
            <c:strRef>
              <c:f>'2.Equity'!$B$106:$B$111</c:f>
              <c:strCache>
                <c:ptCount val="6"/>
                <c:pt idx="0">
                  <c:v>current</c:v>
                </c:pt>
                <c:pt idx="1">
                  <c:v>1</c:v>
                </c:pt>
                <c:pt idx="2">
                  <c:v>2</c:v>
                </c:pt>
                <c:pt idx="3">
                  <c:v>3</c:v>
                </c:pt>
                <c:pt idx="4">
                  <c:v>4</c:v>
                </c:pt>
                <c:pt idx="5">
                  <c:v>5</c:v>
                </c:pt>
              </c:strCache>
            </c:strRef>
          </c:cat>
          <c:val>
            <c:numRef>
              <c:f>'2.Equity'!$H$106:$H$111</c:f>
              <c:numCache>
                <c:formatCode>0.00%</c:formatCode>
                <c:ptCount val="6"/>
                <c:pt idx="0">
                  <c:v>4.7067770999999994E-2</c:v>
                </c:pt>
                <c:pt idx="1">
                  <c:v>5.5567771000000002E-2</c:v>
                </c:pt>
                <c:pt idx="2">
                  <c:v>5.8662140000000002E-2</c:v>
                </c:pt>
                <c:pt idx="3">
                  <c:v>6.5756508999999991E-2</c:v>
                </c:pt>
                <c:pt idx="4">
                  <c:v>5.8850877999999995E-2</c:v>
                </c:pt>
                <c:pt idx="5">
                  <c:v>5.5945247000000004E-2</c:v>
                </c:pt>
              </c:numCache>
            </c:numRef>
          </c:val>
          <c:extLst>
            <c:ext xmlns:c16="http://schemas.microsoft.com/office/drawing/2014/chart" uri="{C3380CC4-5D6E-409C-BE32-E72D297353CC}">
              <c16:uniqueId val="{00000000-6779-4FF8-80FA-B6B6CEFBEA63}"/>
            </c:ext>
          </c:extLst>
        </c:ser>
        <c:dLbls>
          <c:showLegendKey val="0"/>
          <c:showVal val="0"/>
          <c:showCatName val="0"/>
          <c:showSerName val="0"/>
          <c:showPercent val="0"/>
          <c:showBubbleSize val="0"/>
        </c:dLbls>
        <c:gapWidth val="219"/>
        <c:overlap val="-27"/>
        <c:axId val="1696041424"/>
        <c:axId val="1696060624"/>
      </c:barChart>
      <c:catAx>
        <c:axId val="169604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96060624"/>
        <c:crosses val="autoZero"/>
        <c:auto val="1"/>
        <c:lblAlgn val="ctr"/>
        <c:lblOffset val="100"/>
        <c:noMultiLvlLbl val="0"/>
      </c:catAx>
      <c:valAx>
        <c:axId val="1696060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96041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0"/>
          <c:order val="0"/>
          <c:tx>
            <c:strRef>
              <c:f>'2.Equity'!$F$157</c:f>
              <c:strCache>
                <c:ptCount val="1"/>
                <c:pt idx="0">
                  <c:v>cost of equity</c:v>
                </c:pt>
              </c:strCache>
            </c:strRef>
          </c:tx>
          <c:spPr>
            <a:solidFill>
              <a:srgbClr val="FF0000"/>
            </a:solidFill>
            <a:ln>
              <a:noFill/>
            </a:ln>
            <a:effectLst/>
          </c:spPr>
          <c:invertIfNegative val="0"/>
          <c:cat>
            <c:strRef>
              <c:f>'2.Equity'!$B$158:$B$164</c:f>
              <c:strCache>
                <c:ptCount val="7"/>
                <c:pt idx="0">
                  <c:v>current</c:v>
                </c:pt>
                <c:pt idx="1">
                  <c:v>1</c:v>
                </c:pt>
                <c:pt idx="2">
                  <c:v>2</c:v>
                </c:pt>
                <c:pt idx="3">
                  <c:v>3</c:v>
                </c:pt>
                <c:pt idx="4">
                  <c:v>4</c:v>
                </c:pt>
                <c:pt idx="5">
                  <c:v>5</c:v>
                </c:pt>
                <c:pt idx="6">
                  <c:v>terminal</c:v>
                </c:pt>
              </c:strCache>
            </c:strRef>
          </c:cat>
          <c:val>
            <c:numRef>
              <c:f>'2.Equity'!$F$158:$F$164</c:f>
              <c:numCache>
                <c:formatCode>0.000%</c:formatCode>
                <c:ptCount val="7"/>
                <c:pt idx="0">
                  <c:v>9.7515903520000002E-2</c:v>
                </c:pt>
                <c:pt idx="1">
                  <c:v>0.11112454810000001</c:v>
                </c:pt>
                <c:pt idx="2">
                  <c:v>0.106595247</c:v>
                </c:pt>
                <c:pt idx="3">
                  <c:v>0.10707163917999998</c:v>
                </c:pt>
                <c:pt idx="4">
                  <c:v>9.3850877999999999E-2</c:v>
                </c:pt>
                <c:pt idx="5">
                  <c:v>8.5945247000000002E-2</c:v>
                </c:pt>
                <c:pt idx="6">
                  <c:v>0.08</c:v>
                </c:pt>
              </c:numCache>
            </c:numRef>
          </c:val>
          <c:extLst>
            <c:ext xmlns:c16="http://schemas.microsoft.com/office/drawing/2014/chart" uri="{C3380CC4-5D6E-409C-BE32-E72D297353CC}">
              <c16:uniqueId val="{00000000-2346-4782-A7D3-4A4994CEB37F}"/>
            </c:ext>
          </c:extLst>
        </c:ser>
        <c:dLbls>
          <c:showLegendKey val="0"/>
          <c:showVal val="0"/>
          <c:showCatName val="0"/>
          <c:showSerName val="0"/>
          <c:showPercent val="0"/>
          <c:showBubbleSize val="0"/>
        </c:dLbls>
        <c:gapWidth val="219"/>
        <c:overlap val="-27"/>
        <c:axId val="1698596864"/>
        <c:axId val="1698596384"/>
      </c:barChart>
      <c:catAx>
        <c:axId val="169859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98596384"/>
        <c:crosses val="autoZero"/>
        <c:auto val="1"/>
        <c:lblAlgn val="ctr"/>
        <c:lblOffset val="100"/>
        <c:noMultiLvlLbl val="0"/>
      </c:catAx>
      <c:valAx>
        <c:axId val="169859638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98596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0"/>
          <c:order val="0"/>
          <c:tx>
            <c:strRef>
              <c:f>'3.Debt'!$E$65</c:f>
              <c:strCache>
                <c:ptCount val="1"/>
                <c:pt idx="0">
                  <c:v>cost of debt</c:v>
                </c:pt>
              </c:strCache>
            </c:strRef>
          </c:tx>
          <c:spPr>
            <a:solidFill>
              <a:srgbClr val="FF0000"/>
            </a:solidFill>
            <a:ln>
              <a:noFill/>
            </a:ln>
            <a:effectLst/>
          </c:spPr>
          <c:invertIfNegative val="0"/>
          <c:cat>
            <c:strRef>
              <c:f>'3.Debt'!$B$66:$B$72</c:f>
              <c:strCache>
                <c:ptCount val="7"/>
                <c:pt idx="0">
                  <c:v>current</c:v>
                </c:pt>
                <c:pt idx="1">
                  <c:v>1</c:v>
                </c:pt>
                <c:pt idx="2">
                  <c:v>2</c:v>
                </c:pt>
                <c:pt idx="3">
                  <c:v>3</c:v>
                </c:pt>
                <c:pt idx="4">
                  <c:v>4</c:v>
                </c:pt>
                <c:pt idx="5">
                  <c:v>5</c:v>
                </c:pt>
                <c:pt idx="6">
                  <c:v>terminal</c:v>
                </c:pt>
              </c:strCache>
            </c:strRef>
          </c:cat>
          <c:val>
            <c:numRef>
              <c:f>'3.Debt'!$E$66:$E$72</c:f>
              <c:numCache>
                <c:formatCode>0.000%</c:formatCode>
                <c:ptCount val="7"/>
                <c:pt idx="0">
                  <c:v>5.9499999999999997E-2</c:v>
                </c:pt>
                <c:pt idx="1">
                  <c:v>6.4700000000000008E-2</c:v>
                </c:pt>
                <c:pt idx="2">
                  <c:v>5.9699999999999996E-2</c:v>
                </c:pt>
                <c:pt idx="3">
                  <c:v>5.4699999999999999E-2</c:v>
                </c:pt>
                <c:pt idx="4">
                  <c:v>4.9700000000000001E-2</c:v>
                </c:pt>
                <c:pt idx="5">
                  <c:v>4.4699999999999997E-2</c:v>
                </c:pt>
                <c:pt idx="6">
                  <c:v>0.05</c:v>
                </c:pt>
              </c:numCache>
            </c:numRef>
          </c:val>
          <c:extLst>
            <c:ext xmlns:c16="http://schemas.microsoft.com/office/drawing/2014/chart" uri="{C3380CC4-5D6E-409C-BE32-E72D297353CC}">
              <c16:uniqueId val="{00000000-E52A-4824-80BE-E93C146AD907}"/>
            </c:ext>
          </c:extLst>
        </c:ser>
        <c:dLbls>
          <c:showLegendKey val="0"/>
          <c:showVal val="0"/>
          <c:showCatName val="0"/>
          <c:showSerName val="0"/>
          <c:showPercent val="0"/>
          <c:showBubbleSize val="0"/>
        </c:dLbls>
        <c:gapWidth val="219"/>
        <c:overlap val="-27"/>
        <c:axId val="1698611264"/>
        <c:axId val="1698623264"/>
      </c:barChart>
      <c:catAx>
        <c:axId val="16986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98623264"/>
        <c:crosses val="autoZero"/>
        <c:auto val="1"/>
        <c:lblAlgn val="ctr"/>
        <c:lblOffset val="100"/>
        <c:noMultiLvlLbl val="0"/>
      </c:catAx>
      <c:valAx>
        <c:axId val="169862326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98611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0"/>
          <c:order val="0"/>
          <c:tx>
            <c:strRef>
              <c:f>'4.WACC'!$O$20</c:f>
              <c:strCache>
                <c:ptCount val="1"/>
                <c:pt idx="0">
                  <c:v>effective tax rate</c:v>
                </c:pt>
              </c:strCache>
            </c:strRef>
          </c:tx>
          <c:spPr>
            <a:solidFill>
              <a:srgbClr val="FF0000"/>
            </a:solidFill>
            <a:ln>
              <a:noFill/>
            </a:ln>
            <a:effectLst/>
          </c:spPr>
          <c:invertIfNegative val="0"/>
          <c:cat>
            <c:numRef>
              <c:f>'4.WACC'!$N$21:$N$35</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'4.WACC'!$O$21:$O$35</c:f>
              <c:numCache>
                <c:formatCode>0.00%</c:formatCode>
                <c:ptCount val="15"/>
                <c:pt idx="0">
                  <c:v>0.29844303992600585</c:v>
                </c:pt>
                <c:pt idx="1">
                  <c:v>0.29342857142857143</c:v>
                </c:pt>
                <c:pt idx="2">
                  <c:v>0.31315526709935099</c:v>
                </c:pt>
                <c:pt idx="3">
                  <c:v>0.32355489540784749</c:v>
                </c:pt>
                <c:pt idx="4">
                  <c:v>0.31919561243144423</c:v>
                </c:pt>
                <c:pt idx="5">
                  <c:v>0.3545849158979924</c:v>
                </c:pt>
                <c:pt idx="6">
                  <c:v>0.30902989627821842</c:v>
                </c:pt>
                <c:pt idx="7">
                  <c:v>0.31750655403437228</c:v>
                </c:pt>
                <c:pt idx="8">
                  <c:v>0.39433170048985305</c:v>
                </c:pt>
                <c:pt idx="9">
                  <c:v>0.24206755373592631</c:v>
                </c:pt>
                <c:pt idx="10">
                  <c:v>0.24856572711399352</c:v>
                </c:pt>
                <c:pt idx="11">
                  <c:v>0.22960429897410845</c:v>
                </c:pt>
                <c:pt idx="12">
                  <c:v>0.17342243645924627</c:v>
                </c:pt>
                <c:pt idx="13">
                  <c:v>0.21060702875399362</c:v>
                </c:pt>
                <c:pt idx="14">
                  <c:v>0.19511499714883102</c:v>
                </c:pt>
              </c:numCache>
            </c:numRef>
          </c:val>
          <c:extLst>
            <c:ext xmlns:c16="http://schemas.microsoft.com/office/drawing/2014/chart" uri="{C3380CC4-5D6E-409C-BE32-E72D297353CC}">
              <c16:uniqueId val="{00000000-5A3A-4D2A-B0BE-03117A3D6DE2}"/>
            </c:ext>
          </c:extLst>
        </c:ser>
        <c:dLbls>
          <c:showLegendKey val="0"/>
          <c:showVal val="0"/>
          <c:showCatName val="0"/>
          <c:showSerName val="0"/>
          <c:showPercent val="0"/>
          <c:showBubbleSize val="0"/>
        </c:dLbls>
        <c:gapWidth val="219"/>
        <c:overlap val="-27"/>
        <c:axId val="664908111"/>
        <c:axId val="664897071"/>
      </c:barChart>
      <c:catAx>
        <c:axId val="66490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664897071"/>
        <c:crosses val="autoZero"/>
        <c:auto val="1"/>
        <c:lblAlgn val="ctr"/>
        <c:lblOffset val="100"/>
        <c:noMultiLvlLbl val="0"/>
      </c:catAx>
      <c:valAx>
        <c:axId val="6648970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6649081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wacc</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0"/>
          <c:order val="0"/>
          <c:spPr>
            <a:solidFill>
              <a:srgbClr val="FF0000"/>
            </a:solidFill>
            <a:ln>
              <a:noFill/>
            </a:ln>
            <a:effectLst/>
          </c:spPr>
          <c:invertIfNegative val="0"/>
          <c:cat>
            <c:strRef>
              <c:f>'4.WACC'!$F$39:$F$44</c:f>
              <c:strCache>
                <c:ptCount val="6"/>
                <c:pt idx="0">
                  <c:v>2024</c:v>
                </c:pt>
                <c:pt idx="1">
                  <c:v>2025</c:v>
                </c:pt>
                <c:pt idx="2">
                  <c:v>2026</c:v>
                </c:pt>
                <c:pt idx="3">
                  <c:v>2027</c:v>
                </c:pt>
                <c:pt idx="4">
                  <c:v>2028</c:v>
                </c:pt>
                <c:pt idx="5">
                  <c:v>terminal</c:v>
                </c:pt>
              </c:strCache>
            </c:strRef>
          </c:cat>
          <c:val>
            <c:numRef>
              <c:f>'4.WACC'!$C$15:$H$15</c:f>
              <c:numCache>
                <c:formatCode>0.00%</c:formatCode>
                <c:ptCount val="6"/>
                <c:pt idx="0">
                  <c:v>9.8598737518133597E-2</c:v>
                </c:pt>
                <c:pt idx="1">
                  <c:v>9.4181117977777659E-2</c:v>
                </c:pt>
                <c:pt idx="2">
                  <c:v>9.371299963202788E-2</c:v>
                </c:pt>
                <c:pt idx="3">
                  <c:v>8.2332936033319176E-2</c:v>
                </c:pt>
                <c:pt idx="4">
                  <c:v>7.5261935906854927E-2</c:v>
                </c:pt>
                <c:pt idx="5">
                  <c:v>7.1454574408432336E-2</c:v>
                </c:pt>
              </c:numCache>
            </c:numRef>
          </c:val>
          <c:extLst>
            <c:ext xmlns:c16="http://schemas.microsoft.com/office/drawing/2014/chart" uri="{C3380CC4-5D6E-409C-BE32-E72D297353CC}">
              <c16:uniqueId val="{00000000-9F6E-476B-B8AB-0171E4FA930A}"/>
            </c:ext>
          </c:extLst>
        </c:ser>
        <c:dLbls>
          <c:showLegendKey val="0"/>
          <c:showVal val="0"/>
          <c:showCatName val="0"/>
          <c:showSerName val="0"/>
          <c:showPercent val="0"/>
          <c:showBubbleSize val="0"/>
        </c:dLbls>
        <c:gapWidth val="219"/>
        <c:overlap val="-27"/>
        <c:axId val="664907151"/>
        <c:axId val="664903311"/>
      </c:barChart>
      <c:catAx>
        <c:axId val="66490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664903311"/>
        <c:crosses val="autoZero"/>
        <c:auto val="1"/>
        <c:lblAlgn val="ctr"/>
        <c:lblOffset val="100"/>
        <c:noMultiLvlLbl val="0"/>
      </c:catAx>
      <c:valAx>
        <c:axId val="6649033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6649071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revenues % from the market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he-IL"/>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914006274693832E-2"/>
          <c:y val="0.13989625456774521"/>
          <c:w val="0.96017198745061239"/>
          <c:h val="0.54704213254895628"/>
        </c:manualLayout>
      </c:layout>
      <c:pie3DChart>
        <c:varyColors val="1"/>
        <c:ser>
          <c:idx val="1"/>
          <c:order val="1"/>
          <c:tx>
            <c:strRef>
              <c:f>'5.Story&amp;Estimations'!$B$54</c:f>
              <c:strCache>
                <c:ptCount val="1"/>
                <c:pt idx="0">
                  <c:v>% owned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807D-4291-905E-9AB5A4EAD19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2-26F5-4103-B325-9257AE7A21F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807D-4291-905E-9AB5A4EAD19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807D-4291-905E-9AB5A4EAD19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09-807D-4291-905E-9AB5A4EAD19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B-807D-4291-905E-9AB5A4EAD19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D-807D-4291-905E-9AB5A4EAD19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F-807D-4291-905E-9AB5A4EAD19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1-807D-4291-905E-9AB5A4EAD19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3-807D-4291-905E-9AB5A4EAD19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5-807D-4291-905E-9AB5A4EAD19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7-807D-4291-905E-9AB5A4EAD19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19-807D-4291-905E-9AB5A4EAD19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1B-807D-4291-905E-9AB5A4EAD199}"/>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1D-807D-4291-905E-9AB5A4EAD199}"/>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1F-807D-4291-905E-9AB5A4EAD199}"/>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21-807D-4291-905E-9AB5A4EAD199}"/>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23-807D-4291-905E-9AB5A4EAD199}"/>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25-807D-4291-905E-9AB5A4EAD199}"/>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27-807D-4291-905E-9AB5A4EAD199}"/>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29-807D-4291-905E-9AB5A4EAD199}"/>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2B-807D-4291-905E-9AB5A4EAD199}"/>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2D-807D-4291-905E-9AB5A4EAD199}"/>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2F-807D-4291-905E-9AB5A4EAD199}"/>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sp3d/>
            </c:spPr>
            <c:extLst>
              <c:ext xmlns:c16="http://schemas.microsoft.com/office/drawing/2014/chart" uri="{C3380CC4-5D6E-409C-BE32-E72D297353CC}">
                <c16:uniqueId val="{00000031-807D-4291-905E-9AB5A4EAD199}"/>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sp3d/>
            </c:spPr>
            <c:extLst>
              <c:ext xmlns:c16="http://schemas.microsoft.com/office/drawing/2014/chart" uri="{C3380CC4-5D6E-409C-BE32-E72D297353CC}">
                <c16:uniqueId val="{00000033-807D-4291-905E-9AB5A4EAD199}"/>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sp3d/>
            </c:spPr>
            <c:extLst>
              <c:ext xmlns:c16="http://schemas.microsoft.com/office/drawing/2014/chart" uri="{C3380CC4-5D6E-409C-BE32-E72D297353CC}">
                <c16:uniqueId val="{00000035-807D-4291-905E-9AB5A4EAD199}"/>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sp3d/>
            </c:spPr>
            <c:extLst>
              <c:ext xmlns:c16="http://schemas.microsoft.com/office/drawing/2014/chart" uri="{C3380CC4-5D6E-409C-BE32-E72D297353CC}">
                <c16:uniqueId val="{00000037-807D-4291-905E-9AB5A4EAD199}"/>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sp3d/>
            </c:spPr>
            <c:extLst>
              <c:ext xmlns:c16="http://schemas.microsoft.com/office/drawing/2014/chart" uri="{C3380CC4-5D6E-409C-BE32-E72D297353CC}">
                <c16:uniqueId val="{00000039-807D-4291-905E-9AB5A4EAD199}"/>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sp3d/>
            </c:spPr>
            <c:extLst>
              <c:ext xmlns:c16="http://schemas.microsoft.com/office/drawing/2014/chart" uri="{C3380CC4-5D6E-409C-BE32-E72D297353CC}">
                <c16:uniqueId val="{0000003B-807D-4291-905E-9AB5A4EAD199}"/>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3D-807D-4291-905E-9AB5A4EAD199}"/>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3F-807D-4291-905E-9AB5A4EAD199}"/>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41-807D-4291-905E-9AB5A4EAD199}"/>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43-807D-4291-905E-9AB5A4EAD199}"/>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45-807D-4291-905E-9AB5A4EAD199}"/>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47-807D-4291-905E-9AB5A4EAD199}"/>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sp3d/>
            </c:spPr>
            <c:extLst>
              <c:ext xmlns:c16="http://schemas.microsoft.com/office/drawing/2014/chart" uri="{C3380CC4-5D6E-409C-BE32-E72D297353CC}">
                <c16:uniqueId val="{00000049-807D-4291-905E-9AB5A4EAD199}"/>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sp3d/>
            </c:spPr>
            <c:extLst>
              <c:ext xmlns:c16="http://schemas.microsoft.com/office/drawing/2014/chart" uri="{C3380CC4-5D6E-409C-BE32-E72D297353CC}">
                <c16:uniqueId val="{0000004B-807D-4291-905E-9AB5A4EAD199}"/>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sp3d/>
            </c:spPr>
            <c:extLst>
              <c:ext xmlns:c16="http://schemas.microsoft.com/office/drawing/2014/chart" uri="{C3380CC4-5D6E-409C-BE32-E72D297353CC}">
                <c16:uniqueId val="{0000004D-807D-4291-905E-9AB5A4EAD199}"/>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sp3d/>
            </c:spPr>
            <c:extLst>
              <c:ext xmlns:c16="http://schemas.microsoft.com/office/drawing/2014/chart" uri="{C3380CC4-5D6E-409C-BE32-E72D297353CC}">
                <c16:uniqueId val="{0000004F-807D-4291-905E-9AB5A4EAD199}"/>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sp3d/>
            </c:spPr>
            <c:extLst>
              <c:ext xmlns:c16="http://schemas.microsoft.com/office/drawing/2014/chart" uri="{C3380CC4-5D6E-409C-BE32-E72D297353CC}">
                <c16:uniqueId val="{00000051-807D-4291-905E-9AB5A4EAD199}"/>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sp3d/>
            </c:spPr>
            <c:extLst>
              <c:ext xmlns:c16="http://schemas.microsoft.com/office/drawing/2014/chart" uri="{C3380CC4-5D6E-409C-BE32-E72D297353CC}">
                <c16:uniqueId val="{00000053-807D-4291-905E-9AB5A4EAD199}"/>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sp3d/>
            </c:spPr>
            <c:extLst>
              <c:ext xmlns:c16="http://schemas.microsoft.com/office/drawing/2014/chart" uri="{C3380CC4-5D6E-409C-BE32-E72D297353CC}">
                <c16:uniqueId val="{00000055-807D-4291-905E-9AB5A4EAD199}"/>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sp3d/>
            </c:spPr>
            <c:extLst>
              <c:ext xmlns:c16="http://schemas.microsoft.com/office/drawing/2014/chart" uri="{C3380CC4-5D6E-409C-BE32-E72D297353CC}">
                <c16:uniqueId val="{00000057-807D-4291-905E-9AB5A4EAD199}"/>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sp3d/>
            </c:spPr>
            <c:extLst>
              <c:ext xmlns:c16="http://schemas.microsoft.com/office/drawing/2014/chart" uri="{C3380CC4-5D6E-409C-BE32-E72D297353CC}">
                <c16:uniqueId val="{00000059-807D-4291-905E-9AB5A4EAD199}"/>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sp3d/>
            </c:spPr>
            <c:extLst>
              <c:ext xmlns:c16="http://schemas.microsoft.com/office/drawing/2014/chart" uri="{C3380CC4-5D6E-409C-BE32-E72D297353CC}">
                <c16:uniqueId val="{0000005B-807D-4291-905E-9AB5A4EAD199}"/>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sp3d/>
            </c:spPr>
            <c:extLst>
              <c:ext xmlns:c16="http://schemas.microsoft.com/office/drawing/2014/chart" uri="{C3380CC4-5D6E-409C-BE32-E72D297353CC}">
                <c16:uniqueId val="{0000005D-807D-4291-905E-9AB5A4EAD199}"/>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sp3d/>
            </c:spPr>
            <c:extLst>
              <c:ext xmlns:c16="http://schemas.microsoft.com/office/drawing/2014/chart" uri="{C3380CC4-5D6E-409C-BE32-E72D297353CC}">
                <c16:uniqueId val="{0000005F-807D-4291-905E-9AB5A4EAD199}"/>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61-807D-4291-905E-9AB5A4EAD199}"/>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63-807D-4291-905E-9AB5A4EAD199}"/>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65-807D-4291-905E-9AB5A4EAD199}"/>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67-807D-4291-905E-9AB5A4EAD199}"/>
              </c:ext>
            </c:extLst>
          </c:dPt>
          <c:dLbls>
            <c:dLbl>
              <c:idx val="1"/>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6F5-4103-B325-9257AE7A21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he-IL"/>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'5.Story&amp;Estimations'!$C$52:$BB$52</c:f>
              <c:strCache>
                <c:ptCount val="52"/>
                <c:pt idx="0">
                  <c:v>mcd</c:v>
                </c:pt>
                <c:pt idx="1">
                  <c:v>sbux</c:v>
                </c:pt>
                <c:pt idx="2">
                  <c:v>cmg</c:v>
                </c:pt>
                <c:pt idx="3">
                  <c:v>YUM</c:v>
                </c:pt>
                <c:pt idx="4">
                  <c:v>QSR</c:v>
                </c:pt>
                <c:pt idx="5">
                  <c:v>DPZ</c:v>
                </c:pt>
                <c:pt idx="6">
                  <c:v>DRI</c:v>
                </c:pt>
                <c:pt idx="7">
                  <c:v>YUMC</c:v>
                </c:pt>
                <c:pt idx="8">
                  <c:v>TXRH</c:v>
                </c:pt>
                <c:pt idx="9">
                  <c:v>WING</c:v>
                </c:pt>
                <c:pt idx="10">
                  <c:v>CAVA</c:v>
                </c:pt>
                <c:pt idx="11">
                  <c:v>ARMK</c:v>
                </c:pt>
                <c:pt idx="12">
                  <c:v>SHAK</c:v>
                </c:pt>
                <c:pt idx="13">
                  <c:v>SG</c:v>
                </c:pt>
                <c:pt idx="14">
                  <c:v>WEN</c:v>
                </c:pt>
                <c:pt idx="15">
                  <c:v>EAT</c:v>
                </c:pt>
                <c:pt idx="16">
                  <c:v>ARCO</c:v>
                </c:pt>
                <c:pt idx="17">
                  <c:v>CAKE</c:v>
                </c:pt>
                <c:pt idx="18">
                  <c:v>BLMN</c:v>
                </c:pt>
                <c:pt idx="19">
                  <c:v>PZZA</c:v>
                </c:pt>
                <c:pt idx="20">
                  <c:v>HDL</c:v>
                </c:pt>
                <c:pt idx="21">
                  <c:v>FWRG</c:v>
                </c:pt>
                <c:pt idx="22">
                  <c:v>CNNE</c:v>
                </c:pt>
                <c:pt idx="23">
                  <c:v>CRBL</c:v>
                </c:pt>
                <c:pt idx="24">
                  <c:v>JACK</c:v>
                </c:pt>
                <c:pt idx="25">
                  <c:v>KRUS</c:v>
                </c:pt>
                <c:pt idx="26">
                  <c:v>BJRI</c:v>
                </c:pt>
                <c:pt idx="27">
                  <c:v>PTLO</c:v>
                </c:pt>
                <c:pt idx="28">
                  <c:v>BH.A</c:v>
                </c:pt>
                <c:pt idx="29">
                  <c:v>DIN</c:v>
                </c:pt>
                <c:pt idx="30">
                  <c:v>CHUY</c:v>
                </c:pt>
                <c:pt idx="31">
                  <c:v>RICK</c:v>
                </c:pt>
                <c:pt idx="32">
                  <c:v>DENN</c:v>
                </c:pt>
                <c:pt idx="33">
                  <c:v>GENIK</c:v>
                </c:pt>
                <c:pt idx="34">
                  <c:v>LOCO</c:v>
                </c:pt>
                <c:pt idx="35">
                  <c:v>NATH</c:v>
                </c:pt>
                <c:pt idx="36">
                  <c:v>PBPB</c:v>
                </c:pt>
                <c:pt idx="37">
                  <c:v>STKS</c:v>
                </c:pt>
                <c:pt idx="38">
                  <c:v>THCH</c:v>
                </c:pt>
                <c:pt idx="39">
                  <c:v>RRGB</c:v>
                </c:pt>
                <c:pt idx="40">
                  <c:v>FAT</c:v>
                </c:pt>
                <c:pt idx="41">
                  <c:v>FATBB</c:v>
                </c:pt>
                <c:pt idx="42">
                  <c:v>NDLS</c:v>
                </c:pt>
                <c:pt idx="43">
                  <c:v>ARKR</c:v>
                </c:pt>
                <c:pt idx="44">
                  <c:v>BDL</c:v>
                </c:pt>
                <c:pt idx="45">
                  <c:v>RAVE</c:v>
                </c:pt>
                <c:pt idx="46">
                  <c:v>GTIM</c:v>
                </c:pt>
                <c:pt idx="47">
                  <c:v>SDOT</c:v>
                </c:pt>
                <c:pt idx="48">
                  <c:v>REBN</c:v>
                </c:pt>
                <c:pt idx="49">
                  <c:v>BTBD</c:v>
                </c:pt>
                <c:pt idx="50">
                  <c:v>BFI</c:v>
                </c:pt>
                <c:pt idx="51">
                  <c:v>YOSH</c:v>
                </c:pt>
              </c:strCache>
            </c:strRef>
          </c:cat>
          <c:val>
            <c:numRef>
              <c:f>'5.Story&amp;Estimations'!$C$54:$BB$54</c:f>
              <c:numCache>
                <c:formatCode>0.00%</c:formatCode>
                <c:ptCount val="52"/>
                <c:pt idx="0">
                  <c:v>0.14445683682699001</c:v>
                </c:pt>
                <c:pt idx="1">
                  <c:v>0.20465606279288914</c:v>
                </c:pt>
                <c:pt idx="2">
                  <c:v>5.7216457202384358E-2</c:v>
                </c:pt>
                <c:pt idx="3">
                  <c:v>3.9409551952529119E-2</c:v>
                </c:pt>
                <c:pt idx="4">
                  <c:v>4.0031896562961716E-2</c:v>
                </c:pt>
                <c:pt idx="5">
                  <c:v>2.5454455237513472E-2</c:v>
                </c:pt>
                <c:pt idx="6">
                  <c:v>6.2806345279873554E-2</c:v>
                </c:pt>
                <c:pt idx="7">
                  <c:v>6.1780317678890077E-2</c:v>
                </c:pt>
                <c:pt idx="8">
                  <c:v>2.679445849781429E-2</c:v>
                </c:pt>
                <c:pt idx="9">
                  <c:v>2.7872236015503106E-3</c:v>
                </c:pt>
                <c:pt idx="10">
                  <c:v>4.3991522096527612E-3</c:v>
                </c:pt>
                <c:pt idx="11">
                  <c:v>0.10236727835385924</c:v>
                </c:pt>
                <c:pt idx="12">
                  <c:v>6.3075467273574128E-3</c:v>
                </c:pt>
                <c:pt idx="13">
                  <c:v>3.4583802135903516E-3</c:v>
                </c:pt>
                <c:pt idx="14">
                  <c:v>1.2267477546184907E-2</c:v>
                </c:pt>
                <c:pt idx="15">
                  <c:v>2.4007924521372837E-2</c:v>
                </c:pt>
                <c:pt idx="16">
                  <c:v>2.4792863669666206E-2</c:v>
                </c:pt>
                <c:pt idx="17">
                  <c:v>1.9427243920260833E-2</c:v>
                </c:pt>
                <c:pt idx="18">
                  <c:v>2.59142053100853E-2</c:v>
                </c:pt>
                <c:pt idx="19">
                  <c:v>1.19030415130487E-2</c:v>
                </c:pt>
                <c:pt idx="20">
                  <c:v>3.8518085348395936E-3</c:v>
                </c:pt>
                <c:pt idx="21">
                  <c:v>5.1693849623320309E-3</c:v>
                </c:pt>
                <c:pt idx="22">
                  <c:v>2.9491285143022215E-3</c:v>
                </c:pt>
                <c:pt idx="23">
                  <c:v>1.9135695093751869E-2</c:v>
                </c:pt>
                <c:pt idx="24">
                  <c:v>9.0940807037988656E-3</c:v>
                </c:pt>
                <c:pt idx="25">
                  <c:v>1.1886221388442415E-3</c:v>
                </c:pt>
                <c:pt idx="26">
                  <c:v>7.4513152005848907E-3</c:v>
                </c:pt>
                <c:pt idx="27">
                  <c:v>3.8630219512437846E-3</c:v>
                </c:pt>
                <c:pt idx="28">
                  <c:v>2.040841785562754E-3</c:v>
                </c:pt>
                <c:pt idx="29">
                  <c:v>4.6143208503245789E-3</c:v>
                </c:pt>
                <c:pt idx="30">
                  <c:v>2.5734790647618244E-3</c:v>
                </c:pt>
                <c:pt idx="31">
                  <c:v>1.6707990442244526E-3</c:v>
                </c:pt>
                <c:pt idx="32">
                  <c:v>2.5566589401555383E-3</c:v>
                </c:pt>
                <c:pt idx="33">
                  <c:v>1.0484544337918545E-3</c:v>
                </c:pt>
                <c:pt idx="34">
                  <c:v>2.635152854984875E-3</c:v>
                </c:pt>
                <c:pt idx="35">
                  <c:v>7.6811902368708056E-4</c:v>
                </c:pt>
                <c:pt idx="36">
                  <c:v>2.7136467698142116E-3</c:v>
                </c:pt>
                <c:pt idx="37">
                  <c:v>1.8782472477019852E-3</c:v>
                </c:pt>
                <c:pt idx="38">
                  <c:v>1.2278690962589098E-3</c:v>
                </c:pt>
                <c:pt idx="39">
                  <c:v>7.1429462494696392E-3</c:v>
                </c:pt>
                <c:pt idx="40">
                  <c:v>2.9491285143022215E-3</c:v>
                </c:pt>
                <c:pt idx="41">
                  <c:v>2.9491285143022215E-3</c:v>
                </c:pt>
                <c:pt idx="42">
                  <c:v>2.7921406846435483E-3</c:v>
                </c:pt>
                <c:pt idx="43">
                  <c:v>1.0372410173876635E-3</c:v>
                </c:pt>
                <c:pt idx="44">
                  <c:v>1.020420892781377E-3</c:v>
                </c:pt>
                <c:pt idx="45">
                  <c:v>6.728049842514574E-5</c:v>
                </c:pt>
                <c:pt idx="46">
                  <c:v>7.7933244009127146E-4</c:v>
                </c:pt>
                <c:pt idx="47">
                  <c:v>3.4873725017033875E-3</c:v>
                </c:pt>
                <c:pt idx="48">
                  <c:v>3.364024921257287E-5</c:v>
                </c:pt>
                <c:pt idx="49">
                  <c:v>7.8493914829336697E-5</c:v>
                </c:pt>
                <c:pt idx="50">
                  <c:v>9.4192697795204036E-4</c:v>
                </c:pt>
                <c:pt idx="51">
                  <c:v>5.1581715459278397E-5</c:v>
                </c:pt>
              </c:numCache>
            </c:numRef>
          </c:val>
          <c:extLst>
            <c:ext xmlns:c16="http://schemas.microsoft.com/office/drawing/2014/chart" uri="{C3380CC4-5D6E-409C-BE32-E72D297353CC}">
              <c16:uniqueId val="{00000001-26F5-4103-B325-9257AE7A21F2}"/>
            </c:ext>
          </c:extLst>
        </c:ser>
        <c:dLbls>
          <c:showLegendKey val="0"/>
          <c:showVal val="0"/>
          <c:showCatName val="0"/>
          <c:showSerName val="0"/>
          <c:showPercent val="0"/>
          <c:showBubbleSize val="0"/>
          <c:showLeaderLines val="1"/>
        </c:dLbls>
        <c:extLst>
          <c:ext xmlns:c15="http://schemas.microsoft.com/office/drawing/2012/chart" uri="{02D57815-91ED-43cb-92C2-25804820EDAC}">
            <c15:filteredPieSeries>
              <c15:ser>
                <c:idx val="0"/>
                <c:order val="0"/>
                <c:tx>
                  <c:strRef>
                    <c:extLst>
                      <c:ext uri="{02D57815-91ED-43cb-92C2-25804820EDAC}">
                        <c15:formulaRef>
                          <c15:sqref>'5.Story&amp;Estimations'!$B$53</c15:sqref>
                        </c15:formulaRef>
                      </c:ext>
                    </c:extLst>
                    <c:strCache>
                      <c:ptCount val="1"/>
                      <c:pt idx="0">
                        <c:v>revenues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69-807D-4291-905E-9AB5A4EAD19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6B-807D-4291-905E-9AB5A4EAD19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6D-807D-4291-905E-9AB5A4EAD19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6F-807D-4291-905E-9AB5A4EAD19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71-807D-4291-905E-9AB5A4EAD19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73-807D-4291-905E-9AB5A4EAD19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75-807D-4291-905E-9AB5A4EAD19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77-807D-4291-905E-9AB5A4EAD19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79-807D-4291-905E-9AB5A4EAD19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7B-807D-4291-905E-9AB5A4EAD19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7D-807D-4291-905E-9AB5A4EAD19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7F-807D-4291-905E-9AB5A4EAD19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81-807D-4291-905E-9AB5A4EAD19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83-807D-4291-905E-9AB5A4EAD199}"/>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85-807D-4291-905E-9AB5A4EAD199}"/>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87-807D-4291-905E-9AB5A4EAD199}"/>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89-807D-4291-905E-9AB5A4EAD199}"/>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8B-807D-4291-905E-9AB5A4EAD199}"/>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8D-807D-4291-905E-9AB5A4EAD199}"/>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8F-807D-4291-905E-9AB5A4EAD199}"/>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91-807D-4291-905E-9AB5A4EAD199}"/>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93-807D-4291-905E-9AB5A4EAD199}"/>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95-807D-4291-905E-9AB5A4EAD199}"/>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97-807D-4291-905E-9AB5A4EAD199}"/>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sp3d/>
                  </c:spPr>
                  <c:extLst>
                    <c:ext xmlns:c16="http://schemas.microsoft.com/office/drawing/2014/chart" uri="{C3380CC4-5D6E-409C-BE32-E72D297353CC}">
                      <c16:uniqueId val="{00000099-807D-4291-905E-9AB5A4EAD199}"/>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sp3d/>
                  </c:spPr>
                  <c:extLst>
                    <c:ext xmlns:c16="http://schemas.microsoft.com/office/drawing/2014/chart" uri="{C3380CC4-5D6E-409C-BE32-E72D297353CC}">
                      <c16:uniqueId val="{0000009B-807D-4291-905E-9AB5A4EAD199}"/>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sp3d/>
                  </c:spPr>
                  <c:extLst>
                    <c:ext xmlns:c16="http://schemas.microsoft.com/office/drawing/2014/chart" uri="{C3380CC4-5D6E-409C-BE32-E72D297353CC}">
                      <c16:uniqueId val="{0000009D-807D-4291-905E-9AB5A4EAD199}"/>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sp3d/>
                  </c:spPr>
                  <c:extLst>
                    <c:ext xmlns:c16="http://schemas.microsoft.com/office/drawing/2014/chart" uri="{C3380CC4-5D6E-409C-BE32-E72D297353CC}">
                      <c16:uniqueId val="{0000009F-807D-4291-905E-9AB5A4EAD199}"/>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sp3d/>
                  </c:spPr>
                  <c:extLst>
                    <c:ext xmlns:c16="http://schemas.microsoft.com/office/drawing/2014/chart" uri="{C3380CC4-5D6E-409C-BE32-E72D297353CC}">
                      <c16:uniqueId val="{000000A1-807D-4291-905E-9AB5A4EAD199}"/>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sp3d/>
                  </c:spPr>
                  <c:extLst>
                    <c:ext xmlns:c16="http://schemas.microsoft.com/office/drawing/2014/chart" uri="{C3380CC4-5D6E-409C-BE32-E72D297353CC}">
                      <c16:uniqueId val="{000000A3-807D-4291-905E-9AB5A4EAD199}"/>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A5-807D-4291-905E-9AB5A4EAD199}"/>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A7-807D-4291-905E-9AB5A4EAD199}"/>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A9-807D-4291-905E-9AB5A4EAD199}"/>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AB-807D-4291-905E-9AB5A4EAD199}"/>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AD-807D-4291-905E-9AB5A4EAD199}"/>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AF-807D-4291-905E-9AB5A4EAD199}"/>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sp3d/>
                  </c:spPr>
                  <c:extLst>
                    <c:ext xmlns:c16="http://schemas.microsoft.com/office/drawing/2014/chart" uri="{C3380CC4-5D6E-409C-BE32-E72D297353CC}">
                      <c16:uniqueId val="{000000B1-807D-4291-905E-9AB5A4EAD199}"/>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sp3d/>
                  </c:spPr>
                  <c:extLst>
                    <c:ext xmlns:c16="http://schemas.microsoft.com/office/drawing/2014/chart" uri="{C3380CC4-5D6E-409C-BE32-E72D297353CC}">
                      <c16:uniqueId val="{000000B3-807D-4291-905E-9AB5A4EAD199}"/>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sp3d/>
                  </c:spPr>
                  <c:extLst>
                    <c:ext xmlns:c16="http://schemas.microsoft.com/office/drawing/2014/chart" uri="{C3380CC4-5D6E-409C-BE32-E72D297353CC}">
                      <c16:uniqueId val="{000000B5-807D-4291-905E-9AB5A4EAD199}"/>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sp3d/>
                  </c:spPr>
                  <c:extLst>
                    <c:ext xmlns:c16="http://schemas.microsoft.com/office/drawing/2014/chart" uri="{C3380CC4-5D6E-409C-BE32-E72D297353CC}">
                      <c16:uniqueId val="{000000B7-807D-4291-905E-9AB5A4EAD199}"/>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sp3d/>
                  </c:spPr>
                  <c:extLst>
                    <c:ext xmlns:c16="http://schemas.microsoft.com/office/drawing/2014/chart" uri="{C3380CC4-5D6E-409C-BE32-E72D297353CC}">
                      <c16:uniqueId val="{000000B9-807D-4291-905E-9AB5A4EAD199}"/>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sp3d/>
                  </c:spPr>
                  <c:extLst>
                    <c:ext xmlns:c16="http://schemas.microsoft.com/office/drawing/2014/chart" uri="{C3380CC4-5D6E-409C-BE32-E72D297353CC}">
                      <c16:uniqueId val="{000000BB-807D-4291-905E-9AB5A4EAD199}"/>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sp3d/>
                  </c:spPr>
                  <c:extLst>
                    <c:ext xmlns:c16="http://schemas.microsoft.com/office/drawing/2014/chart" uri="{C3380CC4-5D6E-409C-BE32-E72D297353CC}">
                      <c16:uniqueId val="{000000BD-807D-4291-905E-9AB5A4EAD199}"/>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sp3d/>
                  </c:spPr>
                  <c:extLst>
                    <c:ext xmlns:c16="http://schemas.microsoft.com/office/drawing/2014/chart" uri="{C3380CC4-5D6E-409C-BE32-E72D297353CC}">
                      <c16:uniqueId val="{000000BF-807D-4291-905E-9AB5A4EAD199}"/>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sp3d/>
                  </c:spPr>
                  <c:extLst>
                    <c:ext xmlns:c16="http://schemas.microsoft.com/office/drawing/2014/chart" uri="{C3380CC4-5D6E-409C-BE32-E72D297353CC}">
                      <c16:uniqueId val="{000000C1-807D-4291-905E-9AB5A4EAD199}"/>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sp3d/>
                  </c:spPr>
                  <c:extLst>
                    <c:ext xmlns:c16="http://schemas.microsoft.com/office/drawing/2014/chart" uri="{C3380CC4-5D6E-409C-BE32-E72D297353CC}">
                      <c16:uniqueId val="{000000C3-807D-4291-905E-9AB5A4EAD199}"/>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sp3d/>
                  </c:spPr>
                  <c:extLst>
                    <c:ext xmlns:c16="http://schemas.microsoft.com/office/drawing/2014/chart" uri="{C3380CC4-5D6E-409C-BE32-E72D297353CC}">
                      <c16:uniqueId val="{000000C5-807D-4291-905E-9AB5A4EAD199}"/>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sp3d/>
                  </c:spPr>
                  <c:extLst>
                    <c:ext xmlns:c16="http://schemas.microsoft.com/office/drawing/2014/chart" uri="{C3380CC4-5D6E-409C-BE32-E72D297353CC}">
                      <c16:uniqueId val="{000000C7-807D-4291-905E-9AB5A4EAD199}"/>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C9-807D-4291-905E-9AB5A4EAD199}"/>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CB-807D-4291-905E-9AB5A4EAD199}"/>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CD-807D-4291-905E-9AB5A4EAD199}"/>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CF-807D-4291-905E-9AB5A4EAD199}"/>
                    </c:ext>
                  </c:extLst>
                </c:dPt>
                <c:cat>
                  <c:strRef>
                    <c:extLst>
                      <c:ext uri="{02D57815-91ED-43cb-92C2-25804820EDAC}">
                        <c15:formulaRef>
                          <c15:sqref>'5.Story&amp;Estimations'!$C$52:$BB$52</c15:sqref>
                        </c15:formulaRef>
                      </c:ext>
                    </c:extLst>
                    <c:strCache>
                      <c:ptCount val="52"/>
                      <c:pt idx="0">
                        <c:v>mcd</c:v>
                      </c:pt>
                      <c:pt idx="1">
                        <c:v>sbux</c:v>
                      </c:pt>
                      <c:pt idx="2">
                        <c:v>cmg</c:v>
                      </c:pt>
                      <c:pt idx="3">
                        <c:v>YUM</c:v>
                      </c:pt>
                      <c:pt idx="4">
                        <c:v>QSR</c:v>
                      </c:pt>
                      <c:pt idx="5">
                        <c:v>DPZ</c:v>
                      </c:pt>
                      <c:pt idx="6">
                        <c:v>DRI</c:v>
                      </c:pt>
                      <c:pt idx="7">
                        <c:v>YUMC</c:v>
                      </c:pt>
                      <c:pt idx="8">
                        <c:v>TXRH</c:v>
                      </c:pt>
                      <c:pt idx="9">
                        <c:v>WING</c:v>
                      </c:pt>
                      <c:pt idx="10">
                        <c:v>CAVA</c:v>
                      </c:pt>
                      <c:pt idx="11">
                        <c:v>ARMK</c:v>
                      </c:pt>
                      <c:pt idx="12">
                        <c:v>SHAK</c:v>
                      </c:pt>
                      <c:pt idx="13">
                        <c:v>SG</c:v>
                      </c:pt>
                      <c:pt idx="14">
                        <c:v>WEN</c:v>
                      </c:pt>
                      <c:pt idx="15">
                        <c:v>EAT</c:v>
                      </c:pt>
                      <c:pt idx="16">
                        <c:v>ARCO</c:v>
                      </c:pt>
                      <c:pt idx="17">
                        <c:v>CAKE</c:v>
                      </c:pt>
                      <c:pt idx="18">
                        <c:v>BLMN</c:v>
                      </c:pt>
                      <c:pt idx="19">
                        <c:v>PZZA</c:v>
                      </c:pt>
                      <c:pt idx="20">
                        <c:v>HDL</c:v>
                      </c:pt>
                      <c:pt idx="21">
                        <c:v>FWRG</c:v>
                      </c:pt>
                      <c:pt idx="22">
                        <c:v>CNNE</c:v>
                      </c:pt>
                      <c:pt idx="23">
                        <c:v>CRBL</c:v>
                      </c:pt>
                      <c:pt idx="24">
                        <c:v>JACK</c:v>
                      </c:pt>
                      <c:pt idx="25">
                        <c:v>KRUS</c:v>
                      </c:pt>
                      <c:pt idx="26">
                        <c:v>BJRI</c:v>
                      </c:pt>
                      <c:pt idx="27">
                        <c:v>PTLO</c:v>
                      </c:pt>
                      <c:pt idx="28">
                        <c:v>BH.A</c:v>
                      </c:pt>
                      <c:pt idx="29">
                        <c:v>DIN</c:v>
                      </c:pt>
                      <c:pt idx="30">
                        <c:v>CHUY</c:v>
                      </c:pt>
                      <c:pt idx="31">
                        <c:v>RICK</c:v>
                      </c:pt>
                      <c:pt idx="32">
                        <c:v>DENN</c:v>
                      </c:pt>
                      <c:pt idx="33">
                        <c:v>GENIK</c:v>
                      </c:pt>
                      <c:pt idx="34">
                        <c:v>LOCO</c:v>
                      </c:pt>
                      <c:pt idx="35">
                        <c:v>NATH</c:v>
                      </c:pt>
                      <c:pt idx="36">
                        <c:v>PBPB</c:v>
                      </c:pt>
                      <c:pt idx="37">
                        <c:v>STKS</c:v>
                      </c:pt>
                      <c:pt idx="38">
                        <c:v>THCH</c:v>
                      </c:pt>
                      <c:pt idx="39">
                        <c:v>RRGB</c:v>
                      </c:pt>
                      <c:pt idx="40">
                        <c:v>FAT</c:v>
                      </c:pt>
                      <c:pt idx="41">
                        <c:v>FATBB</c:v>
                      </c:pt>
                      <c:pt idx="42">
                        <c:v>NDLS</c:v>
                      </c:pt>
                      <c:pt idx="43">
                        <c:v>ARKR</c:v>
                      </c:pt>
                      <c:pt idx="44">
                        <c:v>BDL</c:v>
                      </c:pt>
                      <c:pt idx="45">
                        <c:v>RAVE</c:v>
                      </c:pt>
                      <c:pt idx="46">
                        <c:v>GTIM</c:v>
                      </c:pt>
                      <c:pt idx="47">
                        <c:v>SDOT</c:v>
                      </c:pt>
                      <c:pt idx="48">
                        <c:v>REBN</c:v>
                      </c:pt>
                      <c:pt idx="49">
                        <c:v>BTBD</c:v>
                      </c:pt>
                      <c:pt idx="50">
                        <c:v>BFI</c:v>
                      </c:pt>
                      <c:pt idx="51">
                        <c:v>YOSH</c:v>
                      </c:pt>
                    </c:strCache>
                  </c:strRef>
                </c:cat>
                <c:val>
                  <c:numRef>
                    <c:extLst>
                      <c:ext uri="{02D57815-91ED-43cb-92C2-25804820EDAC}">
                        <c15:formulaRef>
                          <c15:sqref>'5.Story&amp;Estimations'!$C$53:$BB$53</c15:sqref>
                        </c15:formulaRef>
                      </c:ext>
                    </c:extLst>
                    <c:numCache>
                      <c:formatCode>_-[$$-409]* #,##0_ ;_-[$$-409]* \-#,##0\ ;_-[$$-409]* "-"??_ ;_-@_ </c:formatCode>
                      <c:ptCount val="52"/>
                      <c:pt idx="0">
                        <c:v>25765</c:v>
                      </c:pt>
                      <c:pt idx="1">
                        <c:v>36502</c:v>
                      </c:pt>
                      <c:pt idx="2">
                        <c:v>10205</c:v>
                      </c:pt>
                      <c:pt idx="3">
                        <c:v>7029</c:v>
                      </c:pt>
                      <c:pt idx="4">
                        <c:v>7140</c:v>
                      </c:pt>
                      <c:pt idx="5">
                        <c:v>4540</c:v>
                      </c:pt>
                      <c:pt idx="6">
                        <c:v>11202</c:v>
                      </c:pt>
                      <c:pt idx="7">
                        <c:v>11019</c:v>
                      </c:pt>
                      <c:pt idx="8">
                        <c:v>4779</c:v>
                      </c:pt>
                      <c:pt idx="9">
                        <c:v>497.12299999999999</c:v>
                      </c:pt>
                      <c:pt idx="10">
                        <c:v>784.62300000000005</c:v>
                      </c:pt>
                      <c:pt idx="11">
                        <c:v>18258</c:v>
                      </c:pt>
                      <c:pt idx="12">
                        <c:v>1125</c:v>
                      </c:pt>
                      <c:pt idx="13">
                        <c:v>616.82899999999995</c:v>
                      </c:pt>
                      <c:pt idx="14">
                        <c:v>2188</c:v>
                      </c:pt>
                      <c:pt idx="15">
                        <c:v>4282</c:v>
                      </c:pt>
                      <c:pt idx="16">
                        <c:v>4422</c:v>
                      </c:pt>
                      <c:pt idx="17">
                        <c:v>3465</c:v>
                      </c:pt>
                      <c:pt idx="18">
                        <c:v>4622</c:v>
                      </c:pt>
                      <c:pt idx="19">
                        <c:v>2123</c:v>
                      </c:pt>
                      <c:pt idx="20">
                        <c:v>687</c:v>
                      </c:pt>
                      <c:pt idx="21">
                        <c:v>922</c:v>
                      </c:pt>
                      <c:pt idx="22">
                        <c:v>526</c:v>
                      </c:pt>
                      <c:pt idx="23">
                        <c:v>3413</c:v>
                      </c:pt>
                      <c:pt idx="24">
                        <c:v>1622</c:v>
                      </c:pt>
                      <c:pt idx="25">
                        <c:v>212</c:v>
                      </c:pt>
                      <c:pt idx="26">
                        <c:v>1329</c:v>
                      </c:pt>
                      <c:pt idx="27">
                        <c:v>689</c:v>
                      </c:pt>
                      <c:pt idx="28">
                        <c:v>364</c:v>
                      </c:pt>
                      <c:pt idx="29">
                        <c:v>823</c:v>
                      </c:pt>
                      <c:pt idx="30">
                        <c:v>459</c:v>
                      </c:pt>
                      <c:pt idx="31">
                        <c:v>298</c:v>
                      </c:pt>
                      <c:pt idx="32">
                        <c:v>456</c:v>
                      </c:pt>
                      <c:pt idx="33">
                        <c:v>187</c:v>
                      </c:pt>
                      <c:pt idx="34">
                        <c:v>470</c:v>
                      </c:pt>
                      <c:pt idx="35">
                        <c:v>137</c:v>
                      </c:pt>
                      <c:pt idx="36">
                        <c:v>484</c:v>
                      </c:pt>
                      <c:pt idx="37">
                        <c:v>335</c:v>
                      </c:pt>
                      <c:pt idx="38">
                        <c:v>219</c:v>
                      </c:pt>
                      <c:pt idx="39">
                        <c:v>1274</c:v>
                      </c:pt>
                      <c:pt idx="40">
                        <c:v>526</c:v>
                      </c:pt>
                      <c:pt idx="41">
                        <c:v>526</c:v>
                      </c:pt>
                      <c:pt idx="42">
                        <c:v>498</c:v>
                      </c:pt>
                      <c:pt idx="43">
                        <c:v>185</c:v>
                      </c:pt>
                      <c:pt idx="44">
                        <c:v>182</c:v>
                      </c:pt>
                      <c:pt idx="45">
                        <c:v>12</c:v>
                      </c:pt>
                      <c:pt idx="46">
                        <c:v>139</c:v>
                      </c:pt>
                      <c:pt idx="47">
                        <c:v>622</c:v>
                      </c:pt>
                      <c:pt idx="48">
                        <c:v>6</c:v>
                      </c:pt>
                      <c:pt idx="49">
                        <c:v>14</c:v>
                      </c:pt>
                      <c:pt idx="50">
                        <c:v>168</c:v>
                      </c:pt>
                      <c:pt idx="51">
                        <c:v>9.1999999999999993</c:v>
                      </c:pt>
                    </c:numCache>
                  </c:numRef>
                </c:val>
                <c:extLst>
                  <c:ext xmlns:c16="http://schemas.microsoft.com/office/drawing/2014/chart" uri="{C3380CC4-5D6E-409C-BE32-E72D297353CC}">
                    <c16:uniqueId val="{00000000-26F5-4103-B325-9257AE7A21F2}"/>
                  </c:ext>
                </c:extLst>
              </c15:ser>
            </c15:filteredPieSeries>
          </c:ext>
        </c:extLst>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mcdonalds</a:t>
            </a:r>
            <a:r>
              <a:rPr lang="en-US" baseline="0"/>
              <a:t> yearly revenues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0"/>
          <c:order val="0"/>
          <c:spPr>
            <a:solidFill>
              <a:srgbClr val="FF0000"/>
            </a:solidFill>
            <a:ln>
              <a:noFill/>
            </a:ln>
            <a:effectLst/>
          </c:spPr>
          <c:invertIfNegative val="0"/>
          <c:cat>
            <c:numRef>
              <c:f>'5.Story&amp;Estimations'!$L$77:$L$91</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'5.Story&amp;Estimations'!$M$77:$M$91</c:f>
              <c:numCache>
                <c:formatCode>_-[$$-409]* #,##0_ ;_-[$$-409]* \-#,##0\ ;_-[$$-409]* "-"??_ ;_-@_ </c:formatCode>
                <c:ptCount val="15"/>
                <c:pt idx="0">
                  <c:v>22745</c:v>
                </c:pt>
                <c:pt idx="1">
                  <c:v>24075</c:v>
                </c:pt>
                <c:pt idx="2">
                  <c:v>27006</c:v>
                </c:pt>
                <c:pt idx="3">
                  <c:v>27567</c:v>
                </c:pt>
                <c:pt idx="4">
                  <c:v>28106</c:v>
                </c:pt>
                <c:pt idx="5">
                  <c:v>27441</c:v>
                </c:pt>
                <c:pt idx="6">
                  <c:v>25413</c:v>
                </c:pt>
                <c:pt idx="7">
                  <c:v>24622</c:v>
                </c:pt>
                <c:pt idx="8">
                  <c:v>22820</c:v>
                </c:pt>
                <c:pt idx="9">
                  <c:v>21258</c:v>
                </c:pt>
                <c:pt idx="10">
                  <c:v>21364</c:v>
                </c:pt>
                <c:pt idx="11">
                  <c:v>19208</c:v>
                </c:pt>
                <c:pt idx="12">
                  <c:v>23223</c:v>
                </c:pt>
                <c:pt idx="13">
                  <c:v>23183</c:v>
                </c:pt>
                <c:pt idx="14">
                  <c:v>25494</c:v>
                </c:pt>
              </c:numCache>
            </c:numRef>
          </c:val>
          <c:extLst>
            <c:ext xmlns:c16="http://schemas.microsoft.com/office/drawing/2014/chart" uri="{C3380CC4-5D6E-409C-BE32-E72D297353CC}">
              <c16:uniqueId val="{00000000-CDC2-45B3-942D-A8926253AEA6}"/>
            </c:ext>
          </c:extLst>
        </c:ser>
        <c:dLbls>
          <c:showLegendKey val="0"/>
          <c:showVal val="0"/>
          <c:showCatName val="0"/>
          <c:showSerName val="0"/>
          <c:showPercent val="0"/>
          <c:showBubbleSize val="0"/>
        </c:dLbls>
        <c:gapWidth val="219"/>
        <c:overlap val="-27"/>
        <c:axId val="1668137792"/>
        <c:axId val="1668134432"/>
      </c:barChart>
      <c:catAx>
        <c:axId val="166813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68134432"/>
        <c:crosses val="autoZero"/>
        <c:auto val="1"/>
        <c:lblAlgn val="ctr"/>
        <c:lblOffset val="100"/>
        <c:noMultiLvlLbl val="0"/>
      </c:catAx>
      <c:valAx>
        <c:axId val="1668134432"/>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68137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0"/>
          <c:order val="0"/>
          <c:tx>
            <c:strRef>
              <c:f>'5.Story&amp;Estimations'!$G$144</c:f>
              <c:strCache>
                <c:ptCount val="1"/>
                <c:pt idx="0">
                  <c:v>operating margins</c:v>
                </c:pt>
              </c:strCache>
            </c:strRef>
          </c:tx>
          <c:spPr>
            <a:solidFill>
              <a:srgbClr val="00B050"/>
            </a:solidFill>
            <a:ln>
              <a:noFill/>
            </a:ln>
            <a:effectLst/>
          </c:spPr>
          <c:invertIfNegative val="0"/>
          <c:cat>
            <c:numRef>
              <c:f>'5.Story&amp;Estimations'!$F$145:$F$159</c:f>
              <c:numCache>
                <c:formatCode>General</c:formatCode>
                <c:ptCount val="15"/>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'5.Story&amp;Estimations'!$G$145:$G$159</c:f>
              <c:numCache>
                <c:formatCode>0.00%</c:formatCode>
                <c:ptCount val="15"/>
                <c:pt idx="0">
                  <c:v>0.30076939986810286</c:v>
                </c:pt>
                <c:pt idx="1">
                  <c:v>0.31040498442367603</c:v>
                </c:pt>
                <c:pt idx="2">
                  <c:v>0.31585573576242315</c:v>
                </c:pt>
                <c:pt idx="3">
                  <c:v>0.31214858345122792</c:v>
                </c:pt>
                <c:pt idx="4">
                  <c:v>0.31181954031167725</c:v>
                </c:pt>
                <c:pt idx="5">
                  <c:v>0.28967603221456945</c:v>
                </c:pt>
                <c:pt idx="6">
                  <c:v>0.28119466414827055</c:v>
                </c:pt>
                <c:pt idx="7">
                  <c:v>0.31455608805133622</c:v>
                </c:pt>
                <c:pt idx="8">
                  <c:v>0.41862401402278704</c:v>
                </c:pt>
                <c:pt idx="9">
                  <c:v>0.41504374823595824</c:v>
                </c:pt>
                <c:pt idx="10">
                  <c:v>0.42454596517506082</c:v>
                </c:pt>
                <c:pt idx="11">
                  <c:v>0.38129945855893377</c:v>
                </c:pt>
                <c:pt idx="12">
                  <c:v>0.44593721741377085</c:v>
                </c:pt>
                <c:pt idx="13">
                  <c:v>0.40421860846309798</c:v>
                </c:pt>
                <c:pt idx="14">
                  <c:v>0.45685259276692552</c:v>
                </c:pt>
              </c:numCache>
            </c:numRef>
          </c:val>
          <c:extLst>
            <c:ext xmlns:c16="http://schemas.microsoft.com/office/drawing/2014/chart" uri="{C3380CC4-5D6E-409C-BE32-E72D297353CC}">
              <c16:uniqueId val="{00000000-2EA9-4E20-98BB-CF061CA0C8FC}"/>
            </c:ext>
          </c:extLst>
        </c:ser>
        <c:dLbls>
          <c:showLegendKey val="0"/>
          <c:showVal val="0"/>
          <c:showCatName val="0"/>
          <c:showSerName val="0"/>
          <c:showPercent val="0"/>
          <c:showBubbleSize val="0"/>
        </c:dLbls>
        <c:gapWidth val="219"/>
        <c:overlap val="-27"/>
        <c:axId val="1815681776"/>
        <c:axId val="1815682736"/>
      </c:barChart>
      <c:catAx>
        <c:axId val="181568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15682736"/>
        <c:crosses val="autoZero"/>
        <c:auto val="1"/>
        <c:lblAlgn val="ctr"/>
        <c:lblOffset val="100"/>
        <c:noMultiLvlLbl val="0"/>
      </c:catAx>
      <c:valAx>
        <c:axId val="1815682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815681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5.png"/><Relationship Id="rId7" Type="http://schemas.openxmlformats.org/officeDocument/2006/relationships/image" Target="../media/image8.png"/><Relationship Id="rId2" Type="http://schemas.openxmlformats.org/officeDocument/2006/relationships/chart" Target="../charts/chart1.xml"/><Relationship Id="rId1" Type="http://schemas.openxmlformats.org/officeDocument/2006/relationships/image" Target="../media/image4.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png"/><Relationship Id="rId4" Type="http://schemas.openxmlformats.org/officeDocument/2006/relationships/chart" Target="../charts/chart2.xml"/><Relationship Id="rId9"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10.png"/><Relationship Id="rId1" Type="http://schemas.openxmlformats.org/officeDocument/2006/relationships/image" Target="../media/image1.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3.xml"/><Relationship Id="rId18"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image" Target="../media/image15.png"/><Relationship Id="rId12" Type="http://schemas.openxmlformats.org/officeDocument/2006/relationships/chart" Target="../charts/chart12.xml"/><Relationship Id="rId17" Type="http://schemas.openxmlformats.org/officeDocument/2006/relationships/chart" Target="../charts/chart16.xml"/><Relationship Id="rId2" Type="http://schemas.openxmlformats.org/officeDocument/2006/relationships/image" Target="../media/image12.png"/><Relationship Id="rId16" Type="http://schemas.openxmlformats.org/officeDocument/2006/relationships/chart" Target="../charts/chart15.xml"/><Relationship Id="rId1" Type="http://schemas.openxmlformats.org/officeDocument/2006/relationships/image" Target="../media/image1.png"/><Relationship Id="rId6" Type="http://schemas.openxmlformats.org/officeDocument/2006/relationships/image" Target="../media/image14.png"/><Relationship Id="rId11" Type="http://schemas.openxmlformats.org/officeDocument/2006/relationships/chart" Target="../charts/chart11.xml"/><Relationship Id="rId5" Type="http://schemas.openxmlformats.org/officeDocument/2006/relationships/image" Target="../media/image13.png"/><Relationship Id="rId15" Type="http://schemas.openxmlformats.org/officeDocument/2006/relationships/image" Target="../media/image17.png"/><Relationship Id="rId10" Type="http://schemas.openxmlformats.org/officeDocument/2006/relationships/image" Target="../media/image16.png"/><Relationship Id="rId4" Type="http://schemas.openxmlformats.org/officeDocument/2006/relationships/chart" Target="../charts/chart8.xml"/><Relationship Id="rId9" Type="http://schemas.openxmlformats.org/officeDocument/2006/relationships/chart" Target="../charts/chart10.xml"/><Relationship Id="rId1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378756</xdr:colOff>
      <xdr:row>3</xdr:row>
      <xdr:rowOff>114301</xdr:rowOff>
    </xdr:from>
    <xdr:to>
      <xdr:col>10</xdr:col>
      <xdr:colOff>638174</xdr:colOff>
      <xdr:row>12</xdr:row>
      <xdr:rowOff>123826</xdr:rowOff>
    </xdr:to>
    <xdr:pic>
      <xdr:nvPicPr>
        <xdr:cNvPr id="2" name="Picture 1" descr="History of McDonald's - Wikipedia">
          <a:extLst>
            <a:ext uri="{FF2B5EF4-FFF2-40B4-BE49-F238E27FC236}">
              <a16:creationId xmlns:a16="http://schemas.microsoft.com/office/drawing/2014/main" id="{C744CBF0-6DF7-1CDD-2D1F-EF3A6D94ED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65156" y="657226"/>
          <a:ext cx="1631018" cy="163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438150</xdr:colOff>
      <xdr:row>3</xdr:row>
      <xdr:rowOff>66675</xdr:rowOff>
    </xdr:from>
    <xdr:to>
      <xdr:col>14</xdr:col>
      <xdr:colOff>76429</xdr:colOff>
      <xdr:row>12</xdr:row>
      <xdr:rowOff>118221</xdr:rowOff>
    </xdr:to>
    <xdr:pic>
      <xdr:nvPicPr>
        <xdr:cNvPr id="3" name="Picture 2" descr="U.S. Securities and Exchange Commission - Wikipedia">
          <a:extLst>
            <a:ext uri="{FF2B5EF4-FFF2-40B4-BE49-F238E27FC236}">
              <a16:creationId xmlns:a16="http://schemas.microsoft.com/office/drawing/2014/main" id="{779DF874-DB20-4E7E-85EE-DA784D9CF9E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981950" y="609600"/>
          <a:ext cx="1695679" cy="16803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561974</xdr:colOff>
      <xdr:row>14</xdr:row>
      <xdr:rowOff>148373</xdr:rowOff>
    </xdr:from>
    <xdr:to>
      <xdr:col>14</xdr:col>
      <xdr:colOff>123825</xdr:colOff>
      <xdr:row>43</xdr:row>
      <xdr:rowOff>152400</xdr:rowOff>
    </xdr:to>
    <xdr:pic>
      <xdr:nvPicPr>
        <xdr:cNvPr id="4" name="Picture 3">
          <a:extLst>
            <a:ext uri="{FF2B5EF4-FFF2-40B4-BE49-F238E27FC236}">
              <a16:creationId xmlns:a16="http://schemas.microsoft.com/office/drawing/2014/main" id="{150B2DAE-170E-ABB6-081D-DE4E6BF9ABD1}"/>
            </a:ext>
          </a:extLst>
        </xdr:cNvPr>
        <xdr:cNvPicPr>
          <a:picLocks noChangeAspect="1"/>
        </xdr:cNvPicPr>
      </xdr:nvPicPr>
      <xdr:blipFill>
        <a:blip xmlns:r="http://schemas.openxmlformats.org/officeDocument/2006/relationships" r:embed="rId3"/>
        <a:stretch>
          <a:fillRect/>
        </a:stretch>
      </xdr:blipFill>
      <xdr:spPr>
        <a:xfrm>
          <a:off x="561974" y="2682023"/>
          <a:ext cx="9163051" cy="52523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131149</xdr:colOff>
      <xdr:row>6</xdr:row>
      <xdr:rowOff>163986</xdr:rowOff>
    </xdr:from>
    <xdr:to>
      <xdr:col>19</xdr:col>
      <xdr:colOff>188795</xdr:colOff>
      <xdr:row>32</xdr:row>
      <xdr:rowOff>9524</xdr:rowOff>
    </xdr:to>
    <xdr:pic>
      <xdr:nvPicPr>
        <xdr:cNvPr id="2" name="Picture 1">
          <a:extLst>
            <a:ext uri="{FF2B5EF4-FFF2-40B4-BE49-F238E27FC236}">
              <a16:creationId xmlns:a16="http://schemas.microsoft.com/office/drawing/2014/main" id="{E7148138-BC1D-F689-67E5-200C78D35A2E}"/>
            </a:ext>
          </a:extLst>
        </xdr:cNvPr>
        <xdr:cNvPicPr>
          <a:picLocks noChangeAspect="1"/>
        </xdr:cNvPicPr>
      </xdr:nvPicPr>
      <xdr:blipFill>
        <a:blip xmlns:r="http://schemas.openxmlformats.org/officeDocument/2006/relationships" r:embed="rId1"/>
        <a:stretch>
          <a:fillRect/>
        </a:stretch>
      </xdr:blipFill>
      <xdr:spPr>
        <a:xfrm>
          <a:off x="10037149" y="1249836"/>
          <a:ext cx="7915771" cy="4560413"/>
        </a:xfrm>
        <a:prstGeom prst="rect">
          <a:avLst/>
        </a:prstGeom>
      </xdr:spPr>
    </xdr:pic>
    <xdr:clientData/>
  </xdr:twoCellAnchor>
  <xdr:absoluteAnchor>
    <xdr:pos x="9486899" y="5676901"/>
    <xdr:ext cx="7458075" cy="3486150"/>
    <xdr:graphicFrame macro="">
      <xdr:nvGraphicFramePr>
        <xdr:cNvPr id="3" name="Chart 2">
          <a:extLst>
            <a:ext uri="{FF2B5EF4-FFF2-40B4-BE49-F238E27FC236}">
              <a16:creationId xmlns:a16="http://schemas.microsoft.com/office/drawing/2014/main" id="{2D41082B-ADB1-48E4-8F07-0DA37AF05E4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twoCellAnchor editAs="oneCell">
    <xdr:from>
      <xdr:col>0</xdr:col>
      <xdr:colOff>457200</xdr:colOff>
      <xdr:row>52</xdr:row>
      <xdr:rowOff>174265</xdr:rowOff>
    </xdr:from>
    <xdr:to>
      <xdr:col>7</xdr:col>
      <xdr:colOff>95250</xdr:colOff>
      <xdr:row>71</xdr:row>
      <xdr:rowOff>27130</xdr:rowOff>
    </xdr:to>
    <xdr:pic>
      <xdr:nvPicPr>
        <xdr:cNvPr id="4" name="Picture 3">
          <a:extLst>
            <a:ext uri="{FF2B5EF4-FFF2-40B4-BE49-F238E27FC236}">
              <a16:creationId xmlns:a16="http://schemas.microsoft.com/office/drawing/2014/main" id="{213DB504-B80B-E146-6AF9-6B29267482DD}"/>
            </a:ext>
          </a:extLst>
        </xdr:cNvPr>
        <xdr:cNvPicPr>
          <a:picLocks noChangeAspect="1"/>
        </xdr:cNvPicPr>
      </xdr:nvPicPr>
      <xdr:blipFill>
        <a:blip xmlns:r="http://schemas.openxmlformats.org/officeDocument/2006/relationships" r:embed="rId3"/>
        <a:stretch>
          <a:fillRect/>
        </a:stretch>
      </xdr:blipFill>
      <xdr:spPr>
        <a:xfrm>
          <a:off x="457200" y="9651640"/>
          <a:ext cx="8315325" cy="3300915"/>
        </a:xfrm>
        <a:prstGeom prst="rect">
          <a:avLst/>
        </a:prstGeom>
      </xdr:spPr>
    </xdr:pic>
    <xdr:clientData/>
  </xdr:twoCellAnchor>
  <xdr:twoCellAnchor>
    <xdr:from>
      <xdr:col>0</xdr:col>
      <xdr:colOff>566737</xdr:colOff>
      <xdr:row>114</xdr:row>
      <xdr:rowOff>71437</xdr:rowOff>
    </xdr:from>
    <xdr:to>
      <xdr:col>5</xdr:col>
      <xdr:colOff>366712</xdr:colOff>
      <xdr:row>129</xdr:row>
      <xdr:rowOff>100012</xdr:rowOff>
    </xdr:to>
    <xdr:graphicFrame macro="">
      <xdr:nvGraphicFramePr>
        <xdr:cNvPr id="5" name="Chart 4">
          <a:extLst>
            <a:ext uri="{FF2B5EF4-FFF2-40B4-BE49-F238E27FC236}">
              <a16:creationId xmlns:a16="http://schemas.microsoft.com/office/drawing/2014/main" id="{1EA53426-024D-EC58-E8A6-C1156376B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66675</xdr:colOff>
      <xdr:row>132</xdr:row>
      <xdr:rowOff>152400</xdr:rowOff>
    </xdr:from>
    <xdr:to>
      <xdr:col>19</xdr:col>
      <xdr:colOff>541126</xdr:colOff>
      <xdr:row>136</xdr:row>
      <xdr:rowOff>159608</xdr:rowOff>
    </xdr:to>
    <xdr:pic>
      <xdr:nvPicPr>
        <xdr:cNvPr id="6" name="Picture 5">
          <a:extLst>
            <a:ext uri="{FF2B5EF4-FFF2-40B4-BE49-F238E27FC236}">
              <a16:creationId xmlns:a16="http://schemas.microsoft.com/office/drawing/2014/main" id="{C434EA0D-591C-C130-49E1-77E2E567EDE0}"/>
            </a:ext>
          </a:extLst>
        </xdr:cNvPr>
        <xdr:cNvPicPr>
          <a:picLocks noChangeAspect="1"/>
        </xdr:cNvPicPr>
      </xdr:nvPicPr>
      <xdr:blipFill>
        <a:blip xmlns:r="http://schemas.openxmlformats.org/officeDocument/2006/relationships" r:embed="rId5"/>
        <a:stretch>
          <a:fillRect/>
        </a:stretch>
      </xdr:blipFill>
      <xdr:spPr>
        <a:xfrm>
          <a:off x="4152900" y="25346025"/>
          <a:ext cx="13647526" cy="740633"/>
        </a:xfrm>
        <a:prstGeom prst="rect">
          <a:avLst/>
        </a:prstGeom>
      </xdr:spPr>
    </xdr:pic>
    <xdr:clientData/>
  </xdr:twoCellAnchor>
  <xdr:twoCellAnchor editAs="oneCell">
    <xdr:from>
      <xdr:col>3</xdr:col>
      <xdr:colOff>1171575</xdr:colOff>
      <xdr:row>138</xdr:row>
      <xdr:rowOff>161925</xdr:rowOff>
    </xdr:from>
    <xdr:to>
      <xdr:col>17</xdr:col>
      <xdr:colOff>684231</xdr:colOff>
      <xdr:row>140</xdr:row>
      <xdr:rowOff>47594</xdr:rowOff>
    </xdr:to>
    <xdr:pic>
      <xdr:nvPicPr>
        <xdr:cNvPr id="7" name="Picture 6">
          <a:extLst>
            <a:ext uri="{FF2B5EF4-FFF2-40B4-BE49-F238E27FC236}">
              <a16:creationId xmlns:a16="http://schemas.microsoft.com/office/drawing/2014/main" id="{377173D6-2AD3-CFC3-780E-F5A757CFC98C}"/>
            </a:ext>
          </a:extLst>
        </xdr:cNvPr>
        <xdr:cNvPicPr>
          <a:picLocks noChangeAspect="1"/>
        </xdr:cNvPicPr>
      </xdr:nvPicPr>
      <xdr:blipFill>
        <a:blip xmlns:r="http://schemas.openxmlformats.org/officeDocument/2006/relationships" r:embed="rId6"/>
        <a:stretch>
          <a:fillRect/>
        </a:stretch>
      </xdr:blipFill>
      <xdr:spPr>
        <a:xfrm>
          <a:off x="5076825" y="26450925"/>
          <a:ext cx="12552381" cy="247619"/>
        </a:xfrm>
        <a:prstGeom prst="rect">
          <a:avLst/>
        </a:prstGeom>
      </xdr:spPr>
    </xdr:pic>
    <xdr:clientData/>
  </xdr:twoCellAnchor>
  <xdr:twoCellAnchor editAs="oneCell">
    <xdr:from>
      <xdr:col>3</xdr:col>
      <xdr:colOff>1190625</xdr:colOff>
      <xdr:row>137</xdr:row>
      <xdr:rowOff>47625</xdr:rowOff>
    </xdr:from>
    <xdr:to>
      <xdr:col>18</xdr:col>
      <xdr:colOff>27005</xdr:colOff>
      <xdr:row>138</xdr:row>
      <xdr:rowOff>180936</xdr:rowOff>
    </xdr:to>
    <xdr:pic>
      <xdr:nvPicPr>
        <xdr:cNvPr id="8" name="Picture 7">
          <a:extLst>
            <a:ext uri="{FF2B5EF4-FFF2-40B4-BE49-F238E27FC236}">
              <a16:creationId xmlns:a16="http://schemas.microsoft.com/office/drawing/2014/main" id="{5CBEBF59-C82D-6A11-C80F-9DEFEA15B941}"/>
            </a:ext>
          </a:extLst>
        </xdr:cNvPr>
        <xdr:cNvPicPr>
          <a:picLocks noChangeAspect="1"/>
        </xdr:cNvPicPr>
      </xdr:nvPicPr>
      <xdr:blipFill>
        <a:blip xmlns:r="http://schemas.openxmlformats.org/officeDocument/2006/relationships" r:embed="rId7"/>
        <a:stretch>
          <a:fillRect/>
        </a:stretch>
      </xdr:blipFill>
      <xdr:spPr>
        <a:xfrm>
          <a:off x="5095875" y="26155650"/>
          <a:ext cx="12561905" cy="314286"/>
        </a:xfrm>
        <a:prstGeom prst="rect">
          <a:avLst/>
        </a:prstGeom>
      </xdr:spPr>
    </xdr:pic>
    <xdr:clientData/>
  </xdr:twoCellAnchor>
  <xdr:twoCellAnchor editAs="oneCell">
    <xdr:from>
      <xdr:col>4</xdr:col>
      <xdr:colOff>247650</xdr:colOff>
      <xdr:row>130</xdr:row>
      <xdr:rowOff>19050</xdr:rowOff>
    </xdr:from>
    <xdr:to>
      <xdr:col>8</xdr:col>
      <xdr:colOff>22505</xdr:colOff>
      <xdr:row>131</xdr:row>
      <xdr:rowOff>64994</xdr:rowOff>
    </xdr:to>
    <xdr:pic>
      <xdr:nvPicPr>
        <xdr:cNvPr id="9" name="Picture 8">
          <a:extLst>
            <a:ext uri="{FF2B5EF4-FFF2-40B4-BE49-F238E27FC236}">
              <a16:creationId xmlns:a16="http://schemas.microsoft.com/office/drawing/2014/main" id="{D8C07CDC-C70B-4497-A109-1713089C6C9C}"/>
            </a:ext>
          </a:extLst>
        </xdr:cNvPr>
        <xdr:cNvPicPr>
          <a:picLocks noChangeAspect="1"/>
        </xdr:cNvPicPr>
      </xdr:nvPicPr>
      <xdr:blipFill>
        <a:blip xmlns:r="http://schemas.openxmlformats.org/officeDocument/2006/relationships" r:embed="rId8"/>
        <a:stretch>
          <a:fillRect/>
        </a:stretch>
      </xdr:blipFill>
      <xdr:spPr>
        <a:xfrm>
          <a:off x="4438650" y="24841200"/>
          <a:ext cx="4404005" cy="236444"/>
        </a:xfrm>
        <a:prstGeom prst="rect">
          <a:avLst/>
        </a:prstGeom>
      </xdr:spPr>
    </xdr:pic>
    <xdr:clientData/>
  </xdr:twoCellAnchor>
  <xdr:twoCellAnchor>
    <xdr:from>
      <xdr:col>6</xdr:col>
      <xdr:colOff>366712</xdr:colOff>
      <xdr:row>151</xdr:row>
      <xdr:rowOff>61912</xdr:rowOff>
    </xdr:from>
    <xdr:to>
      <xdr:col>11</xdr:col>
      <xdr:colOff>323850</xdr:colOff>
      <xdr:row>166</xdr:row>
      <xdr:rowOff>171450</xdr:rowOff>
    </xdr:to>
    <xdr:graphicFrame macro="">
      <xdr:nvGraphicFramePr>
        <xdr:cNvPr id="11" name="Chart 10">
          <a:extLst>
            <a:ext uri="{FF2B5EF4-FFF2-40B4-BE49-F238E27FC236}">
              <a16:creationId xmlns:a16="http://schemas.microsoft.com/office/drawing/2014/main" id="{79A80048-7605-5CC8-A9A5-709102075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142875</xdr:colOff>
      <xdr:row>0</xdr:row>
      <xdr:rowOff>104775</xdr:rowOff>
    </xdr:from>
    <xdr:to>
      <xdr:col>0</xdr:col>
      <xdr:colOff>497542</xdr:colOff>
      <xdr:row>2</xdr:row>
      <xdr:rowOff>99076</xdr:rowOff>
    </xdr:to>
    <xdr:pic>
      <xdr:nvPicPr>
        <xdr:cNvPr id="12" name="Picture 11" descr="History of McDonald's - Wikipedia">
          <a:extLst>
            <a:ext uri="{FF2B5EF4-FFF2-40B4-BE49-F238E27FC236}">
              <a16:creationId xmlns:a16="http://schemas.microsoft.com/office/drawing/2014/main" id="{616E66BC-2BFB-4C79-996F-E14A1DA7BDCF}"/>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42875" y="104775"/>
          <a:ext cx="354667" cy="3562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c:userShapes xmlns:c="http://schemas.openxmlformats.org/drawingml/2006/chart">
  <cdr:relSizeAnchor xmlns:cdr="http://schemas.openxmlformats.org/drawingml/2006/chartDrawing">
    <cdr:from>
      <cdr:x>0.14454</cdr:x>
      <cdr:y>0.78401</cdr:y>
    </cdr:from>
    <cdr:to>
      <cdr:x>0.99421</cdr:x>
      <cdr:y>0.86438</cdr:y>
    </cdr:to>
    <cdr:sp macro="" textlink="">
      <cdr:nvSpPr>
        <cdr:cNvPr id="2" name="TextBox 1"/>
        <cdr:cNvSpPr txBox="1"/>
      </cdr:nvSpPr>
      <cdr:spPr>
        <a:xfrm xmlns:a="http://schemas.openxmlformats.org/drawingml/2006/main">
          <a:off x="1240480" y="4571147"/>
          <a:ext cx="7291971" cy="468594"/>
        </a:xfrm>
        <a:prstGeom xmlns:a="http://schemas.openxmlformats.org/drawingml/2006/main" prst="rect">
          <a:avLst/>
        </a:prstGeom>
      </cdr:spPr>
      <cdr:txBody>
        <a:bodyPr xmlns:a="http://schemas.openxmlformats.org/drawingml/2006/main" vertOverflow="clip" wrap="square" rtlCol="0">
          <a:spAutoFit/>
        </a:bodyPr>
        <a:lstStyle xmlns:a="http://schemas.openxmlformats.org/drawingml/2006/main"/>
        <a:p xmlns:a="http://schemas.openxmlformats.org/drawingml/2006/main">
          <a:r>
            <a:rPr lang="en-US" sz="1200"/>
            <a:t>The implied equity</a:t>
          </a:r>
          <a:r>
            <a:rPr lang="en-US" sz="1200" baseline="0"/>
            <a:t> risk premium is what stocks are priced to earn over and above the risk free rate. At the end of 2022, that premium was 5.94%, well above the historical average rate.</a:t>
          </a:r>
          <a:endParaRPr lang="en-US" sz="1200"/>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104775</xdr:rowOff>
    </xdr:from>
    <xdr:to>
      <xdr:col>0</xdr:col>
      <xdr:colOff>430867</xdr:colOff>
      <xdr:row>2</xdr:row>
      <xdr:rowOff>99076</xdr:rowOff>
    </xdr:to>
    <xdr:pic>
      <xdr:nvPicPr>
        <xdr:cNvPr id="2" name="Picture 1" descr="History of McDonald's - Wikipedia">
          <a:extLst>
            <a:ext uri="{FF2B5EF4-FFF2-40B4-BE49-F238E27FC236}">
              <a16:creationId xmlns:a16="http://schemas.microsoft.com/office/drawing/2014/main" id="{74750C04-B887-4999-B4E7-DA4DDEFACA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04775"/>
          <a:ext cx="354667" cy="3562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24</xdr:row>
      <xdr:rowOff>19050</xdr:rowOff>
    </xdr:from>
    <xdr:to>
      <xdr:col>9</xdr:col>
      <xdr:colOff>408667</xdr:colOff>
      <xdr:row>48</xdr:row>
      <xdr:rowOff>28031</xdr:rowOff>
    </xdr:to>
    <xdr:pic>
      <xdr:nvPicPr>
        <xdr:cNvPr id="4" name="Picture 3">
          <a:extLst>
            <a:ext uri="{FF2B5EF4-FFF2-40B4-BE49-F238E27FC236}">
              <a16:creationId xmlns:a16="http://schemas.microsoft.com/office/drawing/2014/main" id="{E125D233-79AD-72E7-B31C-B28290CA26B0}"/>
            </a:ext>
          </a:extLst>
        </xdr:cNvPr>
        <xdr:cNvPicPr>
          <a:picLocks noChangeAspect="1"/>
        </xdr:cNvPicPr>
      </xdr:nvPicPr>
      <xdr:blipFill>
        <a:blip xmlns:r="http://schemas.openxmlformats.org/officeDocument/2006/relationships" r:embed="rId2"/>
        <a:stretch>
          <a:fillRect/>
        </a:stretch>
      </xdr:blipFill>
      <xdr:spPr>
        <a:xfrm>
          <a:off x="733425" y="4391025"/>
          <a:ext cx="7266667" cy="4352381"/>
        </a:xfrm>
        <a:prstGeom prst="rect">
          <a:avLst/>
        </a:prstGeom>
      </xdr:spPr>
    </xdr:pic>
    <xdr:clientData/>
  </xdr:twoCellAnchor>
  <xdr:twoCellAnchor>
    <xdr:from>
      <xdr:col>5</xdr:col>
      <xdr:colOff>252411</xdr:colOff>
      <xdr:row>61</xdr:row>
      <xdr:rowOff>138112</xdr:rowOff>
    </xdr:from>
    <xdr:to>
      <xdr:col>13</xdr:col>
      <xdr:colOff>676274</xdr:colOff>
      <xdr:row>76</xdr:row>
      <xdr:rowOff>66675</xdr:rowOff>
    </xdr:to>
    <xdr:graphicFrame macro="">
      <xdr:nvGraphicFramePr>
        <xdr:cNvPr id="5" name="Chart 4">
          <a:extLst>
            <a:ext uri="{FF2B5EF4-FFF2-40B4-BE49-F238E27FC236}">
              <a16:creationId xmlns:a16="http://schemas.microsoft.com/office/drawing/2014/main" id="{8567DED0-5039-90C8-AC9C-EF5628286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352425</xdr:colOff>
      <xdr:row>86</xdr:row>
      <xdr:rowOff>114300</xdr:rowOff>
    </xdr:from>
    <xdr:to>
      <xdr:col>21</xdr:col>
      <xdr:colOff>588340</xdr:colOff>
      <xdr:row>97</xdr:row>
      <xdr:rowOff>99146</xdr:rowOff>
    </xdr:to>
    <xdr:pic>
      <xdr:nvPicPr>
        <xdr:cNvPr id="3" name="Picture 2">
          <a:extLst>
            <a:ext uri="{FF2B5EF4-FFF2-40B4-BE49-F238E27FC236}">
              <a16:creationId xmlns:a16="http://schemas.microsoft.com/office/drawing/2014/main" id="{630B46CC-A119-3B83-E09C-2BB320AAE186}"/>
            </a:ext>
          </a:extLst>
        </xdr:cNvPr>
        <xdr:cNvPicPr>
          <a:picLocks noChangeAspect="1"/>
        </xdr:cNvPicPr>
      </xdr:nvPicPr>
      <xdr:blipFill>
        <a:blip xmlns:r="http://schemas.openxmlformats.org/officeDocument/2006/relationships" r:embed="rId4"/>
        <a:stretch>
          <a:fillRect/>
        </a:stretch>
      </xdr:blipFill>
      <xdr:spPr>
        <a:xfrm>
          <a:off x="352425" y="15725775"/>
          <a:ext cx="16742740" cy="19755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85725</xdr:rowOff>
    </xdr:from>
    <xdr:to>
      <xdr:col>0</xdr:col>
      <xdr:colOff>440392</xdr:colOff>
      <xdr:row>2</xdr:row>
      <xdr:rowOff>80026</xdr:rowOff>
    </xdr:to>
    <xdr:pic>
      <xdr:nvPicPr>
        <xdr:cNvPr id="2" name="Picture 1" descr="History of McDonald's - Wikipedia">
          <a:extLst>
            <a:ext uri="{FF2B5EF4-FFF2-40B4-BE49-F238E27FC236}">
              <a16:creationId xmlns:a16="http://schemas.microsoft.com/office/drawing/2014/main" id="{EC0D1A83-98AE-441E-8595-DEC633A903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85725"/>
          <a:ext cx="354667" cy="3562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557211</xdr:colOff>
      <xdr:row>19</xdr:row>
      <xdr:rowOff>61911</xdr:rowOff>
    </xdr:from>
    <xdr:to>
      <xdr:col>7</xdr:col>
      <xdr:colOff>619124</xdr:colOff>
      <xdr:row>33</xdr:row>
      <xdr:rowOff>38099</xdr:rowOff>
    </xdr:to>
    <xdr:graphicFrame macro="">
      <xdr:nvGraphicFramePr>
        <xdr:cNvPr id="4" name="Chart 3">
          <a:extLst>
            <a:ext uri="{FF2B5EF4-FFF2-40B4-BE49-F238E27FC236}">
              <a16:creationId xmlns:a16="http://schemas.microsoft.com/office/drawing/2014/main" id="{E77877C8-0DD6-56F7-4D1D-95ABFC407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1300162</xdr:colOff>
      <xdr:row>37</xdr:row>
      <xdr:rowOff>119062</xdr:rowOff>
    </xdr:from>
    <xdr:to>
      <xdr:col>6</xdr:col>
      <xdr:colOff>885826</xdr:colOff>
      <xdr:row>52</xdr:row>
      <xdr:rowOff>19050</xdr:rowOff>
    </xdr:to>
    <xdr:graphicFrame macro="">
      <xdr:nvGraphicFramePr>
        <xdr:cNvPr id="5" name="Chart 4">
          <a:extLst>
            <a:ext uri="{FF2B5EF4-FFF2-40B4-BE49-F238E27FC236}">
              <a16:creationId xmlns:a16="http://schemas.microsoft.com/office/drawing/2014/main" id="{DBFABCD1-25CD-BEB0-9C5E-939F2D596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104775</xdr:colOff>
      <xdr:row>0</xdr:row>
      <xdr:rowOff>104775</xdr:rowOff>
    </xdr:from>
    <xdr:to>
      <xdr:col>2</xdr:col>
      <xdr:colOff>438978</xdr:colOff>
      <xdr:row>2</xdr:row>
      <xdr:rowOff>74367</xdr:rowOff>
    </xdr:to>
    <xdr:pic>
      <xdr:nvPicPr>
        <xdr:cNvPr id="3" name="Picture 2" descr="History of McDonald's - Wikipedia">
          <a:extLst>
            <a:ext uri="{FF2B5EF4-FFF2-40B4-BE49-F238E27FC236}">
              <a16:creationId xmlns:a16="http://schemas.microsoft.com/office/drawing/2014/main" id="{0F23DA75-434A-4446-A077-473CCCC68B6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57425" y="104775"/>
          <a:ext cx="334203" cy="3315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152400</xdr:rowOff>
    </xdr:from>
    <xdr:to>
      <xdr:col>0</xdr:col>
      <xdr:colOff>468967</xdr:colOff>
      <xdr:row>2</xdr:row>
      <xdr:rowOff>146701</xdr:rowOff>
    </xdr:to>
    <xdr:pic>
      <xdr:nvPicPr>
        <xdr:cNvPr id="2" name="Picture 1" descr="History of McDonald's - Wikipedia">
          <a:extLst>
            <a:ext uri="{FF2B5EF4-FFF2-40B4-BE49-F238E27FC236}">
              <a16:creationId xmlns:a16="http://schemas.microsoft.com/office/drawing/2014/main" id="{F59CD29C-3F5A-4A4F-94AC-07D022DA5D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52400"/>
          <a:ext cx="354667" cy="3562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66675</xdr:colOff>
      <xdr:row>19</xdr:row>
      <xdr:rowOff>114300</xdr:rowOff>
    </xdr:from>
    <xdr:to>
      <xdr:col>12</xdr:col>
      <xdr:colOff>741744</xdr:colOff>
      <xdr:row>32</xdr:row>
      <xdr:rowOff>133054</xdr:rowOff>
    </xdr:to>
    <xdr:pic>
      <xdr:nvPicPr>
        <xdr:cNvPr id="3" name="Picture 2">
          <a:extLst>
            <a:ext uri="{FF2B5EF4-FFF2-40B4-BE49-F238E27FC236}">
              <a16:creationId xmlns:a16="http://schemas.microsoft.com/office/drawing/2014/main" id="{E1FE39DC-3F88-E024-810F-09FD48B27AE1}"/>
            </a:ext>
          </a:extLst>
        </xdr:cNvPr>
        <xdr:cNvPicPr>
          <a:picLocks noChangeAspect="1"/>
        </xdr:cNvPicPr>
      </xdr:nvPicPr>
      <xdr:blipFill>
        <a:blip xmlns:r="http://schemas.openxmlformats.org/officeDocument/2006/relationships" r:embed="rId2"/>
        <a:stretch>
          <a:fillRect/>
        </a:stretch>
      </xdr:blipFill>
      <xdr:spPr>
        <a:xfrm>
          <a:off x="752475" y="3552825"/>
          <a:ext cx="9647619" cy="2371429"/>
        </a:xfrm>
        <a:prstGeom prst="rect">
          <a:avLst/>
        </a:prstGeom>
      </xdr:spPr>
    </xdr:pic>
    <xdr:clientData/>
  </xdr:twoCellAnchor>
  <xdr:twoCellAnchor editAs="oneCell">
    <xdr:from>
      <xdr:col>16</xdr:col>
      <xdr:colOff>0</xdr:colOff>
      <xdr:row>58</xdr:row>
      <xdr:rowOff>0</xdr:rowOff>
    </xdr:from>
    <xdr:to>
      <xdr:col>16</xdr:col>
      <xdr:colOff>304800</xdr:colOff>
      <xdr:row>59</xdr:row>
      <xdr:rowOff>95250</xdr:rowOff>
    </xdr:to>
    <xdr:sp macro="" textlink="">
      <xdr:nvSpPr>
        <xdr:cNvPr id="5121" name="AutoShape 1">
          <a:extLst>
            <a:ext uri="{FF2B5EF4-FFF2-40B4-BE49-F238E27FC236}">
              <a16:creationId xmlns:a16="http://schemas.microsoft.com/office/drawing/2014/main" id="{CA7F0C82-BDAF-AE4E-7ED8-98AA8EC87E5C}"/>
            </a:ext>
          </a:extLst>
        </xdr:cNvPr>
        <xdr:cNvSpPr>
          <a:spLocks noChangeAspect="1" noChangeArrowheads="1"/>
        </xdr:cNvSpPr>
      </xdr:nvSpPr>
      <xdr:spPr bwMode="auto">
        <a:xfrm>
          <a:off x="14554200" y="12487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59</xdr:row>
      <xdr:rowOff>0</xdr:rowOff>
    </xdr:from>
    <xdr:to>
      <xdr:col>16</xdr:col>
      <xdr:colOff>304800</xdr:colOff>
      <xdr:row>60</xdr:row>
      <xdr:rowOff>95250</xdr:rowOff>
    </xdr:to>
    <xdr:sp macro="" textlink="">
      <xdr:nvSpPr>
        <xdr:cNvPr id="5122" name="AutoShape 2">
          <a:extLst>
            <a:ext uri="{FF2B5EF4-FFF2-40B4-BE49-F238E27FC236}">
              <a16:creationId xmlns:a16="http://schemas.microsoft.com/office/drawing/2014/main" id="{887DE200-3BA0-F3DD-54CE-2B573DE356BD}"/>
            </a:ext>
          </a:extLst>
        </xdr:cNvPr>
        <xdr:cNvSpPr>
          <a:spLocks noChangeAspect="1" noChangeArrowheads="1"/>
        </xdr:cNvSpPr>
      </xdr:nvSpPr>
      <xdr:spPr bwMode="auto">
        <a:xfrm>
          <a:off x="14554200" y="1270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60</xdr:row>
      <xdr:rowOff>0</xdr:rowOff>
    </xdr:from>
    <xdr:to>
      <xdr:col>16</xdr:col>
      <xdr:colOff>304800</xdr:colOff>
      <xdr:row>61</xdr:row>
      <xdr:rowOff>95250</xdr:rowOff>
    </xdr:to>
    <xdr:sp macro="" textlink="">
      <xdr:nvSpPr>
        <xdr:cNvPr id="5123" name="AutoShape 3">
          <a:extLst>
            <a:ext uri="{FF2B5EF4-FFF2-40B4-BE49-F238E27FC236}">
              <a16:creationId xmlns:a16="http://schemas.microsoft.com/office/drawing/2014/main" id="{4C69AA4A-8B45-3775-1D8C-7AF31F0ACEDE}"/>
            </a:ext>
          </a:extLst>
        </xdr:cNvPr>
        <xdr:cNvSpPr>
          <a:spLocks noChangeAspect="1" noChangeArrowheads="1"/>
        </xdr:cNvSpPr>
      </xdr:nvSpPr>
      <xdr:spPr bwMode="auto">
        <a:xfrm>
          <a:off x="14554200" y="12925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61</xdr:row>
      <xdr:rowOff>0</xdr:rowOff>
    </xdr:from>
    <xdr:to>
      <xdr:col>16</xdr:col>
      <xdr:colOff>304800</xdr:colOff>
      <xdr:row>62</xdr:row>
      <xdr:rowOff>95250</xdr:rowOff>
    </xdr:to>
    <xdr:sp macro="" textlink="">
      <xdr:nvSpPr>
        <xdr:cNvPr id="5124" name="AutoShape 4">
          <a:extLst>
            <a:ext uri="{FF2B5EF4-FFF2-40B4-BE49-F238E27FC236}">
              <a16:creationId xmlns:a16="http://schemas.microsoft.com/office/drawing/2014/main" id="{1DE037AB-47E3-1A4E-8734-B225141551F7}"/>
            </a:ext>
          </a:extLst>
        </xdr:cNvPr>
        <xdr:cNvSpPr>
          <a:spLocks noChangeAspect="1" noChangeArrowheads="1"/>
        </xdr:cNvSpPr>
      </xdr:nvSpPr>
      <xdr:spPr bwMode="auto">
        <a:xfrm>
          <a:off x="14554200" y="1314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62</xdr:row>
      <xdr:rowOff>0</xdr:rowOff>
    </xdr:from>
    <xdr:to>
      <xdr:col>16</xdr:col>
      <xdr:colOff>304800</xdr:colOff>
      <xdr:row>63</xdr:row>
      <xdr:rowOff>95250</xdr:rowOff>
    </xdr:to>
    <xdr:sp macro="" textlink="">
      <xdr:nvSpPr>
        <xdr:cNvPr id="5125" name="AutoShape 5">
          <a:extLst>
            <a:ext uri="{FF2B5EF4-FFF2-40B4-BE49-F238E27FC236}">
              <a16:creationId xmlns:a16="http://schemas.microsoft.com/office/drawing/2014/main" id="{0CFD93D4-DACB-F6F9-12EA-8C2166F7078D}"/>
            </a:ext>
          </a:extLst>
        </xdr:cNvPr>
        <xdr:cNvSpPr>
          <a:spLocks noChangeAspect="1" noChangeArrowheads="1"/>
        </xdr:cNvSpPr>
      </xdr:nvSpPr>
      <xdr:spPr bwMode="auto">
        <a:xfrm>
          <a:off x="14554200" y="13363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63</xdr:row>
      <xdr:rowOff>0</xdr:rowOff>
    </xdr:from>
    <xdr:to>
      <xdr:col>16</xdr:col>
      <xdr:colOff>304800</xdr:colOff>
      <xdr:row>64</xdr:row>
      <xdr:rowOff>95250</xdr:rowOff>
    </xdr:to>
    <xdr:sp macro="" textlink="">
      <xdr:nvSpPr>
        <xdr:cNvPr id="5126" name="AutoShape 6">
          <a:extLst>
            <a:ext uri="{FF2B5EF4-FFF2-40B4-BE49-F238E27FC236}">
              <a16:creationId xmlns:a16="http://schemas.microsoft.com/office/drawing/2014/main" id="{BEEE63C0-D3F3-3F80-FC94-FFB38E809BF0}"/>
            </a:ext>
          </a:extLst>
        </xdr:cNvPr>
        <xdr:cNvSpPr>
          <a:spLocks noChangeAspect="1" noChangeArrowheads="1"/>
        </xdr:cNvSpPr>
      </xdr:nvSpPr>
      <xdr:spPr bwMode="auto">
        <a:xfrm>
          <a:off x="14554200" y="1358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64</xdr:row>
      <xdr:rowOff>0</xdr:rowOff>
    </xdr:from>
    <xdr:to>
      <xdr:col>16</xdr:col>
      <xdr:colOff>304800</xdr:colOff>
      <xdr:row>65</xdr:row>
      <xdr:rowOff>95250</xdr:rowOff>
    </xdr:to>
    <xdr:sp macro="" textlink="">
      <xdr:nvSpPr>
        <xdr:cNvPr id="5127" name="AutoShape 7">
          <a:extLst>
            <a:ext uri="{FF2B5EF4-FFF2-40B4-BE49-F238E27FC236}">
              <a16:creationId xmlns:a16="http://schemas.microsoft.com/office/drawing/2014/main" id="{9DCB9A88-7652-F194-0C68-D9187F8D1300}"/>
            </a:ext>
          </a:extLst>
        </xdr:cNvPr>
        <xdr:cNvSpPr>
          <a:spLocks noChangeAspect="1" noChangeArrowheads="1"/>
        </xdr:cNvSpPr>
      </xdr:nvSpPr>
      <xdr:spPr bwMode="auto">
        <a:xfrm>
          <a:off x="14554200" y="13801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65</xdr:row>
      <xdr:rowOff>0</xdr:rowOff>
    </xdr:from>
    <xdr:to>
      <xdr:col>16</xdr:col>
      <xdr:colOff>304800</xdr:colOff>
      <xdr:row>66</xdr:row>
      <xdr:rowOff>95250</xdr:rowOff>
    </xdr:to>
    <xdr:sp macro="" textlink="">
      <xdr:nvSpPr>
        <xdr:cNvPr id="5128" name="AutoShape 8">
          <a:extLst>
            <a:ext uri="{FF2B5EF4-FFF2-40B4-BE49-F238E27FC236}">
              <a16:creationId xmlns:a16="http://schemas.microsoft.com/office/drawing/2014/main" id="{9C29938E-BBD4-C1E8-17DD-36DEC12E7AA8}"/>
            </a:ext>
          </a:extLst>
        </xdr:cNvPr>
        <xdr:cNvSpPr>
          <a:spLocks noChangeAspect="1" noChangeArrowheads="1"/>
        </xdr:cNvSpPr>
      </xdr:nvSpPr>
      <xdr:spPr bwMode="auto">
        <a:xfrm>
          <a:off x="14554200" y="1402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66</xdr:row>
      <xdr:rowOff>0</xdr:rowOff>
    </xdr:from>
    <xdr:to>
      <xdr:col>16</xdr:col>
      <xdr:colOff>304800</xdr:colOff>
      <xdr:row>67</xdr:row>
      <xdr:rowOff>95250</xdr:rowOff>
    </xdr:to>
    <xdr:sp macro="" textlink="">
      <xdr:nvSpPr>
        <xdr:cNvPr id="5129" name="AutoShape 9">
          <a:extLst>
            <a:ext uri="{FF2B5EF4-FFF2-40B4-BE49-F238E27FC236}">
              <a16:creationId xmlns:a16="http://schemas.microsoft.com/office/drawing/2014/main" id="{11867B66-BC6C-849B-D58D-2C04D4E0ADD2}"/>
            </a:ext>
          </a:extLst>
        </xdr:cNvPr>
        <xdr:cNvSpPr>
          <a:spLocks noChangeAspect="1" noChangeArrowheads="1"/>
        </xdr:cNvSpPr>
      </xdr:nvSpPr>
      <xdr:spPr bwMode="auto">
        <a:xfrm>
          <a:off x="14554200" y="14239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67</xdr:row>
      <xdr:rowOff>0</xdr:rowOff>
    </xdr:from>
    <xdr:to>
      <xdr:col>16</xdr:col>
      <xdr:colOff>304800</xdr:colOff>
      <xdr:row>68</xdr:row>
      <xdr:rowOff>95250</xdr:rowOff>
    </xdr:to>
    <xdr:sp macro="" textlink="">
      <xdr:nvSpPr>
        <xdr:cNvPr id="5130" name="AutoShape 10">
          <a:extLst>
            <a:ext uri="{FF2B5EF4-FFF2-40B4-BE49-F238E27FC236}">
              <a16:creationId xmlns:a16="http://schemas.microsoft.com/office/drawing/2014/main" id="{58109E45-C0D0-67C0-660E-23A1ECA8F8FD}"/>
            </a:ext>
          </a:extLst>
        </xdr:cNvPr>
        <xdr:cNvSpPr>
          <a:spLocks noChangeAspect="1" noChangeArrowheads="1"/>
        </xdr:cNvSpPr>
      </xdr:nvSpPr>
      <xdr:spPr bwMode="auto">
        <a:xfrm>
          <a:off x="14554200" y="1445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68</xdr:row>
      <xdr:rowOff>0</xdr:rowOff>
    </xdr:from>
    <xdr:to>
      <xdr:col>16</xdr:col>
      <xdr:colOff>304800</xdr:colOff>
      <xdr:row>69</xdr:row>
      <xdr:rowOff>95250</xdr:rowOff>
    </xdr:to>
    <xdr:sp macro="" textlink="">
      <xdr:nvSpPr>
        <xdr:cNvPr id="5131" name="AutoShape 11">
          <a:extLst>
            <a:ext uri="{FF2B5EF4-FFF2-40B4-BE49-F238E27FC236}">
              <a16:creationId xmlns:a16="http://schemas.microsoft.com/office/drawing/2014/main" id="{EFFBC599-4878-EC95-5BB5-857ECE32BA19}"/>
            </a:ext>
          </a:extLst>
        </xdr:cNvPr>
        <xdr:cNvSpPr>
          <a:spLocks noChangeAspect="1" noChangeArrowheads="1"/>
        </xdr:cNvSpPr>
      </xdr:nvSpPr>
      <xdr:spPr bwMode="auto">
        <a:xfrm>
          <a:off x="14554200" y="1467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69</xdr:row>
      <xdr:rowOff>0</xdr:rowOff>
    </xdr:from>
    <xdr:to>
      <xdr:col>16</xdr:col>
      <xdr:colOff>304800</xdr:colOff>
      <xdr:row>70</xdr:row>
      <xdr:rowOff>95250</xdr:rowOff>
    </xdr:to>
    <xdr:sp macro="" textlink="">
      <xdr:nvSpPr>
        <xdr:cNvPr id="5132" name="AutoShape 12">
          <a:extLst>
            <a:ext uri="{FF2B5EF4-FFF2-40B4-BE49-F238E27FC236}">
              <a16:creationId xmlns:a16="http://schemas.microsoft.com/office/drawing/2014/main" id="{397CBBE5-AF8C-1CEE-FC3F-409A5B82B02D}"/>
            </a:ext>
          </a:extLst>
        </xdr:cNvPr>
        <xdr:cNvSpPr>
          <a:spLocks noChangeAspect="1" noChangeArrowheads="1"/>
        </xdr:cNvSpPr>
      </xdr:nvSpPr>
      <xdr:spPr bwMode="auto">
        <a:xfrm>
          <a:off x="14554200" y="14897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70</xdr:row>
      <xdr:rowOff>0</xdr:rowOff>
    </xdr:from>
    <xdr:to>
      <xdr:col>16</xdr:col>
      <xdr:colOff>304800</xdr:colOff>
      <xdr:row>71</xdr:row>
      <xdr:rowOff>95250</xdr:rowOff>
    </xdr:to>
    <xdr:sp macro="" textlink="">
      <xdr:nvSpPr>
        <xdr:cNvPr id="5133" name="AutoShape 13">
          <a:extLst>
            <a:ext uri="{FF2B5EF4-FFF2-40B4-BE49-F238E27FC236}">
              <a16:creationId xmlns:a16="http://schemas.microsoft.com/office/drawing/2014/main" id="{E25D9963-6224-1A8B-6FB5-CA8CE6C953D3}"/>
            </a:ext>
          </a:extLst>
        </xdr:cNvPr>
        <xdr:cNvSpPr>
          <a:spLocks noChangeAspect="1" noChangeArrowheads="1"/>
        </xdr:cNvSpPr>
      </xdr:nvSpPr>
      <xdr:spPr bwMode="auto">
        <a:xfrm>
          <a:off x="14554200" y="15116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71</xdr:row>
      <xdr:rowOff>0</xdr:rowOff>
    </xdr:from>
    <xdr:to>
      <xdr:col>16</xdr:col>
      <xdr:colOff>304800</xdr:colOff>
      <xdr:row>72</xdr:row>
      <xdr:rowOff>95250</xdr:rowOff>
    </xdr:to>
    <xdr:sp macro="" textlink="">
      <xdr:nvSpPr>
        <xdr:cNvPr id="5134" name="AutoShape 14">
          <a:extLst>
            <a:ext uri="{FF2B5EF4-FFF2-40B4-BE49-F238E27FC236}">
              <a16:creationId xmlns:a16="http://schemas.microsoft.com/office/drawing/2014/main" id="{BAC8CDF4-BF15-47C4-ED41-D0EAFEA4A8D9}"/>
            </a:ext>
          </a:extLst>
        </xdr:cNvPr>
        <xdr:cNvSpPr>
          <a:spLocks noChangeAspect="1" noChangeArrowheads="1"/>
        </xdr:cNvSpPr>
      </xdr:nvSpPr>
      <xdr:spPr bwMode="auto">
        <a:xfrm>
          <a:off x="14554200" y="1533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xdr:row>
      <xdr:rowOff>0</xdr:rowOff>
    </xdr:from>
    <xdr:to>
      <xdr:col>16</xdr:col>
      <xdr:colOff>304800</xdr:colOff>
      <xdr:row>73</xdr:row>
      <xdr:rowOff>95250</xdr:rowOff>
    </xdr:to>
    <xdr:sp macro="" textlink="">
      <xdr:nvSpPr>
        <xdr:cNvPr id="5135" name="AutoShape 15">
          <a:extLst>
            <a:ext uri="{FF2B5EF4-FFF2-40B4-BE49-F238E27FC236}">
              <a16:creationId xmlns:a16="http://schemas.microsoft.com/office/drawing/2014/main" id="{539CAAB9-6D28-70FA-5FD0-D29F35E29F7D}"/>
            </a:ext>
          </a:extLst>
        </xdr:cNvPr>
        <xdr:cNvSpPr>
          <a:spLocks noChangeAspect="1" noChangeArrowheads="1"/>
        </xdr:cNvSpPr>
      </xdr:nvSpPr>
      <xdr:spPr bwMode="auto">
        <a:xfrm>
          <a:off x="14554200" y="15554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73</xdr:row>
      <xdr:rowOff>0</xdr:rowOff>
    </xdr:from>
    <xdr:to>
      <xdr:col>16</xdr:col>
      <xdr:colOff>304800</xdr:colOff>
      <xdr:row>74</xdr:row>
      <xdr:rowOff>95250</xdr:rowOff>
    </xdr:to>
    <xdr:sp macro="" textlink="">
      <xdr:nvSpPr>
        <xdr:cNvPr id="5136" name="AutoShape 16">
          <a:extLst>
            <a:ext uri="{FF2B5EF4-FFF2-40B4-BE49-F238E27FC236}">
              <a16:creationId xmlns:a16="http://schemas.microsoft.com/office/drawing/2014/main" id="{F7A14D9E-0661-019B-F896-A6E9461A12C0}"/>
            </a:ext>
          </a:extLst>
        </xdr:cNvPr>
        <xdr:cNvSpPr>
          <a:spLocks noChangeAspect="1" noChangeArrowheads="1"/>
        </xdr:cNvSpPr>
      </xdr:nvSpPr>
      <xdr:spPr bwMode="auto">
        <a:xfrm>
          <a:off x="14554200" y="15773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276225</xdr:colOff>
      <xdr:row>81</xdr:row>
      <xdr:rowOff>171450</xdr:rowOff>
    </xdr:from>
    <xdr:to>
      <xdr:col>16</xdr:col>
      <xdr:colOff>581025</xdr:colOff>
      <xdr:row>83</xdr:row>
      <xdr:rowOff>57150</xdr:rowOff>
    </xdr:to>
    <xdr:sp macro="" textlink="">
      <xdr:nvSpPr>
        <xdr:cNvPr id="5139" name="AutoShape 19">
          <a:extLst>
            <a:ext uri="{FF2B5EF4-FFF2-40B4-BE49-F238E27FC236}">
              <a16:creationId xmlns:a16="http://schemas.microsoft.com/office/drawing/2014/main" id="{1B0FD48A-53F1-8B38-78DE-E6618FF1ADC9}"/>
            </a:ext>
          </a:extLst>
        </xdr:cNvPr>
        <xdr:cNvSpPr>
          <a:spLocks noChangeAspect="1" noChangeArrowheads="1"/>
        </xdr:cNvSpPr>
      </xdr:nvSpPr>
      <xdr:spPr bwMode="auto">
        <a:xfrm>
          <a:off x="12030075" y="1566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80</xdr:row>
      <xdr:rowOff>0</xdr:rowOff>
    </xdr:from>
    <xdr:to>
      <xdr:col>16</xdr:col>
      <xdr:colOff>304800</xdr:colOff>
      <xdr:row>81</xdr:row>
      <xdr:rowOff>95250</xdr:rowOff>
    </xdr:to>
    <xdr:sp macro="" textlink="">
      <xdr:nvSpPr>
        <xdr:cNvPr id="5141" name="AutoShape 21">
          <a:extLst>
            <a:ext uri="{FF2B5EF4-FFF2-40B4-BE49-F238E27FC236}">
              <a16:creationId xmlns:a16="http://schemas.microsoft.com/office/drawing/2014/main" id="{AB6158C7-3802-EB51-A7D9-41169E55668C}"/>
            </a:ext>
          </a:extLst>
        </xdr:cNvPr>
        <xdr:cNvSpPr>
          <a:spLocks noChangeAspect="1" noChangeArrowheads="1"/>
        </xdr:cNvSpPr>
      </xdr:nvSpPr>
      <xdr:spPr bwMode="auto">
        <a:xfrm>
          <a:off x="14554200" y="17240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81</xdr:row>
      <xdr:rowOff>0</xdr:rowOff>
    </xdr:from>
    <xdr:to>
      <xdr:col>16</xdr:col>
      <xdr:colOff>304800</xdr:colOff>
      <xdr:row>82</xdr:row>
      <xdr:rowOff>95250</xdr:rowOff>
    </xdr:to>
    <xdr:sp macro="" textlink="">
      <xdr:nvSpPr>
        <xdr:cNvPr id="5142" name="AutoShape 22">
          <a:extLst>
            <a:ext uri="{FF2B5EF4-FFF2-40B4-BE49-F238E27FC236}">
              <a16:creationId xmlns:a16="http://schemas.microsoft.com/office/drawing/2014/main" id="{E1923A49-21FB-D0CB-5C41-B9CDE026A0E2}"/>
            </a:ext>
          </a:extLst>
        </xdr:cNvPr>
        <xdr:cNvSpPr>
          <a:spLocks noChangeAspect="1" noChangeArrowheads="1"/>
        </xdr:cNvSpPr>
      </xdr:nvSpPr>
      <xdr:spPr bwMode="auto">
        <a:xfrm>
          <a:off x="14554200" y="17459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82</xdr:row>
      <xdr:rowOff>0</xdr:rowOff>
    </xdr:from>
    <xdr:to>
      <xdr:col>16</xdr:col>
      <xdr:colOff>304800</xdr:colOff>
      <xdr:row>83</xdr:row>
      <xdr:rowOff>95250</xdr:rowOff>
    </xdr:to>
    <xdr:sp macro="" textlink="">
      <xdr:nvSpPr>
        <xdr:cNvPr id="5143" name="AutoShape 23">
          <a:extLst>
            <a:ext uri="{FF2B5EF4-FFF2-40B4-BE49-F238E27FC236}">
              <a16:creationId xmlns:a16="http://schemas.microsoft.com/office/drawing/2014/main" id="{64D5DA7F-8556-BC23-E07E-B43FEC8C51CC}"/>
            </a:ext>
          </a:extLst>
        </xdr:cNvPr>
        <xdr:cNvSpPr>
          <a:spLocks noChangeAspect="1" noChangeArrowheads="1"/>
        </xdr:cNvSpPr>
      </xdr:nvSpPr>
      <xdr:spPr bwMode="auto">
        <a:xfrm>
          <a:off x="14554200" y="17678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83</xdr:row>
      <xdr:rowOff>0</xdr:rowOff>
    </xdr:from>
    <xdr:to>
      <xdr:col>16</xdr:col>
      <xdr:colOff>304800</xdr:colOff>
      <xdr:row>84</xdr:row>
      <xdr:rowOff>95250</xdr:rowOff>
    </xdr:to>
    <xdr:sp macro="" textlink="">
      <xdr:nvSpPr>
        <xdr:cNvPr id="5144" name="AutoShape 24">
          <a:extLst>
            <a:ext uri="{FF2B5EF4-FFF2-40B4-BE49-F238E27FC236}">
              <a16:creationId xmlns:a16="http://schemas.microsoft.com/office/drawing/2014/main" id="{91111CFB-9C46-A9DE-CD54-26564C6648D9}"/>
            </a:ext>
          </a:extLst>
        </xdr:cNvPr>
        <xdr:cNvSpPr>
          <a:spLocks noChangeAspect="1" noChangeArrowheads="1"/>
        </xdr:cNvSpPr>
      </xdr:nvSpPr>
      <xdr:spPr bwMode="auto">
        <a:xfrm>
          <a:off x="14554200" y="17897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84</xdr:row>
      <xdr:rowOff>0</xdr:rowOff>
    </xdr:from>
    <xdr:to>
      <xdr:col>16</xdr:col>
      <xdr:colOff>304800</xdr:colOff>
      <xdr:row>85</xdr:row>
      <xdr:rowOff>95250</xdr:rowOff>
    </xdr:to>
    <xdr:sp macro="" textlink="">
      <xdr:nvSpPr>
        <xdr:cNvPr id="5145" name="AutoShape 25">
          <a:extLst>
            <a:ext uri="{FF2B5EF4-FFF2-40B4-BE49-F238E27FC236}">
              <a16:creationId xmlns:a16="http://schemas.microsoft.com/office/drawing/2014/main" id="{349584D7-3C8F-CA2F-96BD-BEE0E551E2F3}"/>
            </a:ext>
          </a:extLst>
        </xdr:cNvPr>
        <xdr:cNvSpPr>
          <a:spLocks noChangeAspect="1" noChangeArrowheads="1"/>
        </xdr:cNvSpPr>
      </xdr:nvSpPr>
      <xdr:spPr bwMode="auto">
        <a:xfrm>
          <a:off x="14554200" y="1811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85</xdr:row>
      <xdr:rowOff>0</xdr:rowOff>
    </xdr:from>
    <xdr:to>
      <xdr:col>16</xdr:col>
      <xdr:colOff>304800</xdr:colOff>
      <xdr:row>86</xdr:row>
      <xdr:rowOff>95250</xdr:rowOff>
    </xdr:to>
    <xdr:sp macro="" textlink="">
      <xdr:nvSpPr>
        <xdr:cNvPr id="5146" name="AutoShape 26">
          <a:extLst>
            <a:ext uri="{FF2B5EF4-FFF2-40B4-BE49-F238E27FC236}">
              <a16:creationId xmlns:a16="http://schemas.microsoft.com/office/drawing/2014/main" id="{48B76B73-D071-59A7-0A68-9DDE8B3C6E2C}"/>
            </a:ext>
          </a:extLst>
        </xdr:cNvPr>
        <xdr:cNvSpPr>
          <a:spLocks noChangeAspect="1" noChangeArrowheads="1"/>
        </xdr:cNvSpPr>
      </xdr:nvSpPr>
      <xdr:spPr bwMode="auto">
        <a:xfrm>
          <a:off x="14554200" y="1833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89</xdr:row>
      <xdr:rowOff>0</xdr:rowOff>
    </xdr:from>
    <xdr:to>
      <xdr:col>16</xdr:col>
      <xdr:colOff>304800</xdr:colOff>
      <xdr:row>90</xdr:row>
      <xdr:rowOff>114300</xdr:rowOff>
    </xdr:to>
    <xdr:sp macro="" textlink="">
      <xdr:nvSpPr>
        <xdr:cNvPr id="5150" name="AutoShape 30">
          <a:extLst>
            <a:ext uri="{FF2B5EF4-FFF2-40B4-BE49-F238E27FC236}">
              <a16:creationId xmlns:a16="http://schemas.microsoft.com/office/drawing/2014/main" id="{66BB65E6-EAF3-DFDA-3CCA-E77D01AE3873}"/>
            </a:ext>
          </a:extLst>
        </xdr:cNvPr>
        <xdr:cNvSpPr>
          <a:spLocks noChangeAspect="1" noChangeArrowheads="1"/>
        </xdr:cNvSpPr>
      </xdr:nvSpPr>
      <xdr:spPr bwMode="auto">
        <a:xfrm>
          <a:off x="14554200" y="1921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90</xdr:row>
      <xdr:rowOff>0</xdr:rowOff>
    </xdr:from>
    <xdr:to>
      <xdr:col>16</xdr:col>
      <xdr:colOff>304800</xdr:colOff>
      <xdr:row>91</xdr:row>
      <xdr:rowOff>95250</xdr:rowOff>
    </xdr:to>
    <xdr:sp macro="" textlink="">
      <xdr:nvSpPr>
        <xdr:cNvPr id="5151" name="AutoShape 31">
          <a:extLst>
            <a:ext uri="{FF2B5EF4-FFF2-40B4-BE49-F238E27FC236}">
              <a16:creationId xmlns:a16="http://schemas.microsoft.com/office/drawing/2014/main" id="{4260739E-05A0-F3C5-DD84-22111FC6DCF6}"/>
            </a:ext>
          </a:extLst>
        </xdr:cNvPr>
        <xdr:cNvSpPr>
          <a:spLocks noChangeAspect="1" noChangeArrowheads="1"/>
        </xdr:cNvSpPr>
      </xdr:nvSpPr>
      <xdr:spPr bwMode="auto">
        <a:xfrm>
          <a:off x="145542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91</xdr:row>
      <xdr:rowOff>0</xdr:rowOff>
    </xdr:from>
    <xdr:to>
      <xdr:col>16</xdr:col>
      <xdr:colOff>304800</xdr:colOff>
      <xdr:row>92</xdr:row>
      <xdr:rowOff>95250</xdr:rowOff>
    </xdr:to>
    <xdr:sp macro="" textlink="">
      <xdr:nvSpPr>
        <xdr:cNvPr id="5152" name="AutoShape 32">
          <a:extLst>
            <a:ext uri="{FF2B5EF4-FFF2-40B4-BE49-F238E27FC236}">
              <a16:creationId xmlns:a16="http://schemas.microsoft.com/office/drawing/2014/main" id="{7F2A5927-7E55-A7B7-9D58-F663FAA1DFCC}"/>
            </a:ext>
          </a:extLst>
        </xdr:cNvPr>
        <xdr:cNvSpPr>
          <a:spLocks noChangeAspect="1" noChangeArrowheads="1"/>
        </xdr:cNvSpPr>
      </xdr:nvSpPr>
      <xdr:spPr bwMode="auto">
        <a:xfrm>
          <a:off x="14554200" y="19650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92</xdr:row>
      <xdr:rowOff>0</xdr:rowOff>
    </xdr:from>
    <xdr:to>
      <xdr:col>16</xdr:col>
      <xdr:colOff>304800</xdr:colOff>
      <xdr:row>93</xdr:row>
      <xdr:rowOff>95250</xdr:rowOff>
    </xdr:to>
    <xdr:sp macro="" textlink="">
      <xdr:nvSpPr>
        <xdr:cNvPr id="5153" name="AutoShape 33">
          <a:extLst>
            <a:ext uri="{FF2B5EF4-FFF2-40B4-BE49-F238E27FC236}">
              <a16:creationId xmlns:a16="http://schemas.microsoft.com/office/drawing/2014/main" id="{B41E40C8-1594-2458-0843-88D178845ABD}"/>
            </a:ext>
          </a:extLst>
        </xdr:cNvPr>
        <xdr:cNvSpPr>
          <a:spLocks noChangeAspect="1" noChangeArrowheads="1"/>
        </xdr:cNvSpPr>
      </xdr:nvSpPr>
      <xdr:spPr bwMode="auto">
        <a:xfrm>
          <a:off x="14554200" y="19869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93</xdr:row>
      <xdr:rowOff>0</xdr:rowOff>
    </xdr:from>
    <xdr:to>
      <xdr:col>16</xdr:col>
      <xdr:colOff>304800</xdr:colOff>
      <xdr:row>94</xdr:row>
      <xdr:rowOff>95250</xdr:rowOff>
    </xdr:to>
    <xdr:sp macro="" textlink="">
      <xdr:nvSpPr>
        <xdr:cNvPr id="5154" name="AutoShape 34">
          <a:extLst>
            <a:ext uri="{FF2B5EF4-FFF2-40B4-BE49-F238E27FC236}">
              <a16:creationId xmlns:a16="http://schemas.microsoft.com/office/drawing/2014/main" id="{13FD2B4E-B3C8-FDE7-0C92-0700C2765C92}"/>
            </a:ext>
          </a:extLst>
        </xdr:cNvPr>
        <xdr:cNvSpPr>
          <a:spLocks noChangeAspect="1" noChangeArrowheads="1"/>
        </xdr:cNvSpPr>
      </xdr:nvSpPr>
      <xdr:spPr bwMode="auto">
        <a:xfrm>
          <a:off x="14554200" y="2008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94</xdr:row>
      <xdr:rowOff>0</xdr:rowOff>
    </xdr:from>
    <xdr:to>
      <xdr:col>16</xdr:col>
      <xdr:colOff>304800</xdr:colOff>
      <xdr:row>95</xdr:row>
      <xdr:rowOff>95250</xdr:rowOff>
    </xdr:to>
    <xdr:sp macro="" textlink="">
      <xdr:nvSpPr>
        <xdr:cNvPr id="5155" name="AutoShape 35">
          <a:extLst>
            <a:ext uri="{FF2B5EF4-FFF2-40B4-BE49-F238E27FC236}">
              <a16:creationId xmlns:a16="http://schemas.microsoft.com/office/drawing/2014/main" id="{2FBBABF3-338D-BF0D-0A45-BCDCD293C5CD}"/>
            </a:ext>
          </a:extLst>
        </xdr:cNvPr>
        <xdr:cNvSpPr>
          <a:spLocks noChangeAspect="1" noChangeArrowheads="1"/>
        </xdr:cNvSpPr>
      </xdr:nvSpPr>
      <xdr:spPr bwMode="auto">
        <a:xfrm>
          <a:off x="14554200" y="2030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95</xdr:row>
      <xdr:rowOff>0</xdr:rowOff>
    </xdr:from>
    <xdr:to>
      <xdr:col>16</xdr:col>
      <xdr:colOff>304800</xdr:colOff>
      <xdr:row>96</xdr:row>
      <xdr:rowOff>95250</xdr:rowOff>
    </xdr:to>
    <xdr:sp macro="" textlink="">
      <xdr:nvSpPr>
        <xdr:cNvPr id="5156" name="AutoShape 36">
          <a:extLst>
            <a:ext uri="{FF2B5EF4-FFF2-40B4-BE49-F238E27FC236}">
              <a16:creationId xmlns:a16="http://schemas.microsoft.com/office/drawing/2014/main" id="{39D1C194-20B2-6D03-CDDC-BE3C0F61B8B3}"/>
            </a:ext>
          </a:extLst>
        </xdr:cNvPr>
        <xdr:cNvSpPr>
          <a:spLocks noChangeAspect="1" noChangeArrowheads="1"/>
        </xdr:cNvSpPr>
      </xdr:nvSpPr>
      <xdr:spPr bwMode="auto">
        <a:xfrm>
          <a:off x="14554200" y="20526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96</xdr:row>
      <xdr:rowOff>0</xdr:rowOff>
    </xdr:from>
    <xdr:to>
      <xdr:col>16</xdr:col>
      <xdr:colOff>304800</xdr:colOff>
      <xdr:row>97</xdr:row>
      <xdr:rowOff>95250</xdr:rowOff>
    </xdr:to>
    <xdr:sp macro="" textlink="">
      <xdr:nvSpPr>
        <xdr:cNvPr id="5157" name="AutoShape 37">
          <a:extLst>
            <a:ext uri="{FF2B5EF4-FFF2-40B4-BE49-F238E27FC236}">
              <a16:creationId xmlns:a16="http://schemas.microsoft.com/office/drawing/2014/main" id="{FA107ECB-D9D5-DD8C-8761-ED877B243FC7}"/>
            </a:ext>
          </a:extLst>
        </xdr:cNvPr>
        <xdr:cNvSpPr>
          <a:spLocks noChangeAspect="1" noChangeArrowheads="1"/>
        </xdr:cNvSpPr>
      </xdr:nvSpPr>
      <xdr:spPr bwMode="auto">
        <a:xfrm>
          <a:off x="14554200" y="20745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97</xdr:row>
      <xdr:rowOff>0</xdr:rowOff>
    </xdr:from>
    <xdr:to>
      <xdr:col>16</xdr:col>
      <xdr:colOff>304800</xdr:colOff>
      <xdr:row>98</xdr:row>
      <xdr:rowOff>95250</xdr:rowOff>
    </xdr:to>
    <xdr:sp macro="" textlink="">
      <xdr:nvSpPr>
        <xdr:cNvPr id="5158" name="AutoShape 38">
          <a:extLst>
            <a:ext uri="{FF2B5EF4-FFF2-40B4-BE49-F238E27FC236}">
              <a16:creationId xmlns:a16="http://schemas.microsoft.com/office/drawing/2014/main" id="{00AF5CB7-72A9-A240-D5AF-DA8EC337DA3F}"/>
            </a:ext>
          </a:extLst>
        </xdr:cNvPr>
        <xdr:cNvSpPr>
          <a:spLocks noChangeAspect="1" noChangeArrowheads="1"/>
        </xdr:cNvSpPr>
      </xdr:nvSpPr>
      <xdr:spPr bwMode="auto">
        <a:xfrm>
          <a:off x="14554200" y="20964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98</xdr:row>
      <xdr:rowOff>0</xdr:rowOff>
    </xdr:from>
    <xdr:to>
      <xdr:col>16</xdr:col>
      <xdr:colOff>304800</xdr:colOff>
      <xdr:row>99</xdr:row>
      <xdr:rowOff>95250</xdr:rowOff>
    </xdr:to>
    <xdr:sp macro="" textlink="">
      <xdr:nvSpPr>
        <xdr:cNvPr id="5159" name="AutoShape 39">
          <a:extLst>
            <a:ext uri="{FF2B5EF4-FFF2-40B4-BE49-F238E27FC236}">
              <a16:creationId xmlns:a16="http://schemas.microsoft.com/office/drawing/2014/main" id="{5A9D7803-4035-936F-3746-5C130EA5CE12}"/>
            </a:ext>
          </a:extLst>
        </xdr:cNvPr>
        <xdr:cNvSpPr>
          <a:spLocks noChangeAspect="1" noChangeArrowheads="1"/>
        </xdr:cNvSpPr>
      </xdr:nvSpPr>
      <xdr:spPr bwMode="auto">
        <a:xfrm>
          <a:off x="14554200" y="21183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99</xdr:row>
      <xdr:rowOff>0</xdr:rowOff>
    </xdr:from>
    <xdr:to>
      <xdr:col>16</xdr:col>
      <xdr:colOff>304800</xdr:colOff>
      <xdr:row>100</xdr:row>
      <xdr:rowOff>95250</xdr:rowOff>
    </xdr:to>
    <xdr:sp macro="" textlink="">
      <xdr:nvSpPr>
        <xdr:cNvPr id="5160" name="AutoShape 40">
          <a:extLst>
            <a:ext uri="{FF2B5EF4-FFF2-40B4-BE49-F238E27FC236}">
              <a16:creationId xmlns:a16="http://schemas.microsoft.com/office/drawing/2014/main" id="{FD2B5774-5D27-7C45-2A8D-E56B341B961D}"/>
            </a:ext>
          </a:extLst>
        </xdr:cNvPr>
        <xdr:cNvSpPr>
          <a:spLocks noChangeAspect="1" noChangeArrowheads="1"/>
        </xdr:cNvSpPr>
      </xdr:nvSpPr>
      <xdr:spPr bwMode="auto">
        <a:xfrm>
          <a:off x="14554200" y="21402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100</xdr:row>
      <xdr:rowOff>0</xdr:rowOff>
    </xdr:from>
    <xdr:to>
      <xdr:col>16</xdr:col>
      <xdr:colOff>304800</xdr:colOff>
      <xdr:row>101</xdr:row>
      <xdr:rowOff>95250</xdr:rowOff>
    </xdr:to>
    <xdr:sp macro="" textlink="">
      <xdr:nvSpPr>
        <xdr:cNvPr id="5161" name="AutoShape 41">
          <a:extLst>
            <a:ext uri="{FF2B5EF4-FFF2-40B4-BE49-F238E27FC236}">
              <a16:creationId xmlns:a16="http://schemas.microsoft.com/office/drawing/2014/main" id="{42F44824-5CB4-D8EB-CFC9-18380E0D015A}"/>
            </a:ext>
          </a:extLst>
        </xdr:cNvPr>
        <xdr:cNvSpPr>
          <a:spLocks noChangeAspect="1" noChangeArrowheads="1"/>
        </xdr:cNvSpPr>
      </xdr:nvSpPr>
      <xdr:spPr bwMode="auto">
        <a:xfrm>
          <a:off x="14554200" y="21621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101</xdr:row>
      <xdr:rowOff>0</xdr:rowOff>
    </xdr:from>
    <xdr:to>
      <xdr:col>16</xdr:col>
      <xdr:colOff>304800</xdr:colOff>
      <xdr:row>102</xdr:row>
      <xdr:rowOff>95250</xdr:rowOff>
    </xdr:to>
    <xdr:sp macro="" textlink="">
      <xdr:nvSpPr>
        <xdr:cNvPr id="5162" name="AutoShape 42">
          <a:extLst>
            <a:ext uri="{FF2B5EF4-FFF2-40B4-BE49-F238E27FC236}">
              <a16:creationId xmlns:a16="http://schemas.microsoft.com/office/drawing/2014/main" id="{B7C5BA04-67F8-0EB2-F3CC-CBF141B07278}"/>
            </a:ext>
          </a:extLst>
        </xdr:cNvPr>
        <xdr:cNvSpPr>
          <a:spLocks noChangeAspect="1" noChangeArrowheads="1"/>
        </xdr:cNvSpPr>
      </xdr:nvSpPr>
      <xdr:spPr bwMode="auto">
        <a:xfrm>
          <a:off x="14554200" y="21840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102</xdr:row>
      <xdr:rowOff>0</xdr:rowOff>
    </xdr:from>
    <xdr:to>
      <xdr:col>16</xdr:col>
      <xdr:colOff>304800</xdr:colOff>
      <xdr:row>103</xdr:row>
      <xdr:rowOff>95250</xdr:rowOff>
    </xdr:to>
    <xdr:sp macro="" textlink="">
      <xdr:nvSpPr>
        <xdr:cNvPr id="5163" name="AutoShape 43">
          <a:extLst>
            <a:ext uri="{FF2B5EF4-FFF2-40B4-BE49-F238E27FC236}">
              <a16:creationId xmlns:a16="http://schemas.microsoft.com/office/drawing/2014/main" id="{D0073865-59E7-9E8C-DD5F-CB23B237B1C7}"/>
            </a:ext>
          </a:extLst>
        </xdr:cNvPr>
        <xdr:cNvSpPr>
          <a:spLocks noChangeAspect="1" noChangeArrowheads="1"/>
        </xdr:cNvSpPr>
      </xdr:nvSpPr>
      <xdr:spPr bwMode="auto">
        <a:xfrm>
          <a:off x="14554200" y="2205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103</xdr:row>
      <xdr:rowOff>0</xdr:rowOff>
    </xdr:from>
    <xdr:to>
      <xdr:col>16</xdr:col>
      <xdr:colOff>304800</xdr:colOff>
      <xdr:row>104</xdr:row>
      <xdr:rowOff>95250</xdr:rowOff>
    </xdr:to>
    <xdr:sp macro="" textlink="">
      <xdr:nvSpPr>
        <xdr:cNvPr id="5164" name="AutoShape 44">
          <a:extLst>
            <a:ext uri="{FF2B5EF4-FFF2-40B4-BE49-F238E27FC236}">
              <a16:creationId xmlns:a16="http://schemas.microsoft.com/office/drawing/2014/main" id="{8F77B562-647C-51AF-3144-790B3CC83FE5}"/>
            </a:ext>
          </a:extLst>
        </xdr:cNvPr>
        <xdr:cNvSpPr>
          <a:spLocks noChangeAspect="1" noChangeArrowheads="1"/>
        </xdr:cNvSpPr>
      </xdr:nvSpPr>
      <xdr:spPr bwMode="auto">
        <a:xfrm>
          <a:off x="14554200" y="22278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104</xdr:row>
      <xdr:rowOff>0</xdr:rowOff>
    </xdr:from>
    <xdr:to>
      <xdr:col>16</xdr:col>
      <xdr:colOff>304800</xdr:colOff>
      <xdr:row>105</xdr:row>
      <xdr:rowOff>95250</xdr:rowOff>
    </xdr:to>
    <xdr:sp macro="" textlink="">
      <xdr:nvSpPr>
        <xdr:cNvPr id="5165" name="AutoShape 45">
          <a:extLst>
            <a:ext uri="{FF2B5EF4-FFF2-40B4-BE49-F238E27FC236}">
              <a16:creationId xmlns:a16="http://schemas.microsoft.com/office/drawing/2014/main" id="{23D9E2DA-1991-403F-D9E1-927C5238E069}"/>
            </a:ext>
          </a:extLst>
        </xdr:cNvPr>
        <xdr:cNvSpPr>
          <a:spLocks noChangeAspect="1" noChangeArrowheads="1"/>
        </xdr:cNvSpPr>
      </xdr:nvSpPr>
      <xdr:spPr bwMode="auto">
        <a:xfrm>
          <a:off x="14554200" y="22498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105</xdr:row>
      <xdr:rowOff>0</xdr:rowOff>
    </xdr:from>
    <xdr:to>
      <xdr:col>16</xdr:col>
      <xdr:colOff>304800</xdr:colOff>
      <xdr:row>106</xdr:row>
      <xdr:rowOff>95250</xdr:rowOff>
    </xdr:to>
    <xdr:sp macro="" textlink="">
      <xdr:nvSpPr>
        <xdr:cNvPr id="5166" name="AutoShape 46">
          <a:extLst>
            <a:ext uri="{FF2B5EF4-FFF2-40B4-BE49-F238E27FC236}">
              <a16:creationId xmlns:a16="http://schemas.microsoft.com/office/drawing/2014/main" id="{3B3C0613-564C-A31B-99F6-3E7121DA4460}"/>
            </a:ext>
          </a:extLst>
        </xdr:cNvPr>
        <xdr:cNvSpPr>
          <a:spLocks noChangeAspect="1" noChangeArrowheads="1"/>
        </xdr:cNvSpPr>
      </xdr:nvSpPr>
      <xdr:spPr bwMode="auto">
        <a:xfrm>
          <a:off x="14554200" y="22717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106</xdr:row>
      <xdr:rowOff>0</xdr:rowOff>
    </xdr:from>
    <xdr:to>
      <xdr:col>16</xdr:col>
      <xdr:colOff>304800</xdr:colOff>
      <xdr:row>107</xdr:row>
      <xdr:rowOff>95250</xdr:rowOff>
    </xdr:to>
    <xdr:sp macro="" textlink="">
      <xdr:nvSpPr>
        <xdr:cNvPr id="5167" name="AutoShape 47">
          <a:extLst>
            <a:ext uri="{FF2B5EF4-FFF2-40B4-BE49-F238E27FC236}">
              <a16:creationId xmlns:a16="http://schemas.microsoft.com/office/drawing/2014/main" id="{91078397-03BC-8FF1-145B-990217704627}"/>
            </a:ext>
          </a:extLst>
        </xdr:cNvPr>
        <xdr:cNvSpPr>
          <a:spLocks noChangeAspect="1" noChangeArrowheads="1"/>
        </xdr:cNvSpPr>
      </xdr:nvSpPr>
      <xdr:spPr bwMode="auto">
        <a:xfrm>
          <a:off x="14554200" y="22936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107</xdr:row>
      <xdr:rowOff>0</xdr:rowOff>
    </xdr:from>
    <xdr:to>
      <xdr:col>16</xdr:col>
      <xdr:colOff>304800</xdr:colOff>
      <xdr:row>108</xdr:row>
      <xdr:rowOff>95250</xdr:rowOff>
    </xdr:to>
    <xdr:sp macro="" textlink="">
      <xdr:nvSpPr>
        <xdr:cNvPr id="5168" name="AutoShape 48">
          <a:extLst>
            <a:ext uri="{FF2B5EF4-FFF2-40B4-BE49-F238E27FC236}">
              <a16:creationId xmlns:a16="http://schemas.microsoft.com/office/drawing/2014/main" id="{CC398C9B-28A0-7E3B-E366-7D540974D9D6}"/>
            </a:ext>
          </a:extLst>
        </xdr:cNvPr>
        <xdr:cNvSpPr>
          <a:spLocks noChangeAspect="1" noChangeArrowheads="1"/>
        </xdr:cNvSpPr>
      </xdr:nvSpPr>
      <xdr:spPr bwMode="auto">
        <a:xfrm>
          <a:off x="14554200" y="23155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95250</xdr:rowOff>
    </xdr:to>
    <xdr:sp macro="" textlink="">
      <xdr:nvSpPr>
        <xdr:cNvPr id="5169" name="AutoShape 49">
          <a:extLst>
            <a:ext uri="{FF2B5EF4-FFF2-40B4-BE49-F238E27FC236}">
              <a16:creationId xmlns:a16="http://schemas.microsoft.com/office/drawing/2014/main" id="{7F613168-FF48-A79C-9A62-825C850E0E7F}"/>
            </a:ext>
          </a:extLst>
        </xdr:cNvPr>
        <xdr:cNvSpPr>
          <a:spLocks noChangeAspect="1" noChangeArrowheads="1"/>
        </xdr:cNvSpPr>
      </xdr:nvSpPr>
      <xdr:spPr bwMode="auto">
        <a:xfrm>
          <a:off x="14554200" y="23374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109</xdr:row>
      <xdr:rowOff>0</xdr:rowOff>
    </xdr:from>
    <xdr:to>
      <xdr:col>16</xdr:col>
      <xdr:colOff>304800</xdr:colOff>
      <xdr:row>110</xdr:row>
      <xdr:rowOff>95250</xdr:rowOff>
    </xdr:to>
    <xdr:sp macro="" textlink="">
      <xdr:nvSpPr>
        <xdr:cNvPr id="5170" name="AutoShape 50">
          <a:extLst>
            <a:ext uri="{FF2B5EF4-FFF2-40B4-BE49-F238E27FC236}">
              <a16:creationId xmlns:a16="http://schemas.microsoft.com/office/drawing/2014/main" id="{CC90334E-3A4D-1002-97E7-BDFF3FAD301D}"/>
            </a:ext>
          </a:extLst>
        </xdr:cNvPr>
        <xdr:cNvSpPr>
          <a:spLocks noChangeAspect="1" noChangeArrowheads="1"/>
        </xdr:cNvSpPr>
      </xdr:nvSpPr>
      <xdr:spPr bwMode="auto">
        <a:xfrm>
          <a:off x="14554200" y="2359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110</xdr:row>
      <xdr:rowOff>0</xdr:rowOff>
    </xdr:from>
    <xdr:to>
      <xdr:col>16</xdr:col>
      <xdr:colOff>304800</xdr:colOff>
      <xdr:row>111</xdr:row>
      <xdr:rowOff>95250</xdr:rowOff>
    </xdr:to>
    <xdr:sp macro="" textlink="">
      <xdr:nvSpPr>
        <xdr:cNvPr id="5171" name="AutoShape 51">
          <a:extLst>
            <a:ext uri="{FF2B5EF4-FFF2-40B4-BE49-F238E27FC236}">
              <a16:creationId xmlns:a16="http://schemas.microsoft.com/office/drawing/2014/main" id="{45CCB519-AD1E-6D1A-5458-65EB3A7F539A}"/>
            </a:ext>
          </a:extLst>
        </xdr:cNvPr>
        <xdr:cNvSpPr>
          <a:spLocks noChangeAspect="1" noChangeArrowheads="1"/>
        </xdr:cNvSpPr>
      </xdr:nvSpPr>
      <xdr:spPr bwMode="auto">
        <a:xfrm>
          <a:off x="14554200" y="2381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111</xdr:row>
      <xdr:rowOff>0</xdr:rowOff>
    </xdr:from>
    <xdr:to>
      <xdr:col>16</xdr:col>
      <xdr:colOff>304800</xdr:colOff>
      <xdr:row>112</xdr:row>
      <xdr:rowOff>95250</xdr:rowOff>
    </xdr:to>
    <xdr:sp macro="" textlink="">
      <xdr:nvSpPr>
        <xdr:cNvPr id="5172" name="AutoShape 52">
          <a:extLst>
            <a:ext uri="{FF2B5EF4-FFF2-40B4-BE49-F238E27FC236}">
              <a16:creationId xmlns:a16="http://schemas.microsoft.com/office/drawing/2014/main" id="{B845CA80-CE01-5F92-CBAA-909DF8910E6D}"/>
            </a:ext>
          </a:extLst>
        </xdr:cNvPr>
        <xdr:cNvSpPr>
          <a:spLocks noChangeAspect="1" noChangeArrowheads="1"/>
        </xdr:cNvSpPr>
      </xdr:nvSpPr>
      <xdr:spPr bwMode="auto">
        <a:xfrm>
          <a:off x="14554200" y="24031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112</xdr:row>
      <xdr:rowOff>0</xdr:rowOff>
    </xdr:from>
    <xdr:to>
      <xdr:col>16</xdr:col>
      <xdr:colOff>304800</xdr:colOff>
      <xdr:row>113</xdr:row>
      <xdr:rowOff>95250</xdr:rowOff>
    </xdr:to>
    <xdr:sp macro="" textlink="">
      <xdr:nvSpPr>
        <xdr:cNvPr id="5173" name="AutoShape 53">
          <a:extLst>
            <a:ext uri="{FF2B5EF4-FFF2-40B4-BE49-F238E27FC236}">
              <a16:creationId xmlns:a16="http://schemas.microsoft.com/office/drawing/2014/main" id="{46BD82D5-103D-4C05-5179-727915F4965F}"/>
            </a:ext>
          </a:extLst>
        </xdr:cNvPr>
        <xdr:cNvSpPr>
          <a:spLocks noChangeAspect="1" noChangeArrowheads="1"/>
        </xdr:cNvSpPr>
      </xdr:nvSpPr>
      <xdr:spPr bwMode="auto">
        <a:xfrm>
          <a:off x="14554200" y="24250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0</xdr:colOff>
      <xdr:row>55</xdr:row>
      <xdr:rowOff>100012</xdr:rowOff>
    </xdr:from>
    <xdr:to>
      <xdr:col>9</xdr:col>
      <xdr:colOff>442913</xdr:colOff>
      <xdr:row>71</xdr:row>
      <xdr:rowOff>114300</xdr:rowOff>
    </xdr:to>
    <xdr:graphicFrame macro="">
      <xdr:nvGraphicFramePr>
        <xdr:cNvPr id="6" name="Chart 5">
          <a:extLst>
            <a:ext uri="{FF2B5EF4-FFF2-40B4-BE49-F238E27FC236}">
              <a16:creationId xmlns:a16="http://schemas.microsoft.com/office/drawing/2014/main" id="{94732844-5474-52DB-51E6-6ED7573CC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152400</xdr:colOff>
      <xdr:row>76</xdr:row>
      <xdr:rowOff>80962</xdr:rowOff>
    </xdr:from>
    <xdr:to>
      <xdr:col>9</xdr:col>
      <xdr:colOff>114300</xdr:colOff>
      <xdr:row>88</xdr:row>
      <xdr:rowOff>171450</xdr:rowOff>
    </xdr:to>
    <xdr:graphicFrame macro="">
      <xdr:nvGraphicFramePr>
        <xdr:cNvPr id="7" name="Chart 6">
          <a:extLst>
            <a:ext uri="{FF2B5EF4-FFF2-40B4-BE49-F238E27FC236}">
              <a16:creationId xmlns:a16="http://schemas.microsoft.com/office/drawing/2014/main" id="{1C0F7879-F8D2-3F0D-7A4F-C4630DFB8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190500</xdr:colOff>
      <xdr:row>76</xdr:row>
      <xdr:rowOff>85725</xdr:rowOff>
    </xdr:from>
    <xdr:to>
      <xdr:col>7</xdr:col>
      <xdr:colOff>761274</xdr:colOff>
      <xdr:row>89</xdr:row>
      <xdr:rowOff>113959</xdr:rowOff>
    </xdr:to>
    <xdr:pic>
      <xdr:nvPicPr>
        <xdr:cNvPr id="8" name="Picture 7">
          <a:extLst>
            <a:ext uri="{FF2B5EF4-FFF2-40B4-BE49-F238E27FC236}">
              <a16:creationId xmlns:a16="http://schemas.microsoft.com/office/drawing/2014/main" id="{9195CC0D-9289-DBF5-C4A2-D259F2C26808}"/>
            </a:ext>
          </a:extLst>
        </xdr:cNvPr>
        <xdr:cNvPicPr>
          <a:picLocks noChangeAspect="1"/>
        </xdr:cNvPicPr>
      </xdr:nvPicPr>
      <xdr:blipFill>
        <a:blip xmlns:r="http://schemas.openxmlformats.org/officeDocument/2006/relationships" r:embed="rId5"/>
        <a:stretch>
          <a:fillRect/>
        </a:stretch>
      </xdr:blipFill>
      <xdr:spPr>
        <a:xfrm>
          <a:off x="876300" y="14478000"/>
          <a:ext cx="5809524" cy="2723809"/>
        </a:xfrm>
        <a:prstGeom prst="rect">
          <a:avLst/>
        </a:prstGeom>
      </xdr:spPr>
    </xdr:pic>
    <xdr:clientData/>
  </xdr:twoCellAnchor>
  <xdr:oneCellAnchor>
    <xdr:from>
      <xdr:col>17</xdr:col>
      <xdr:colOff>0</xdr:colOff>
      <xdr:row>85</xdr:row>
      <xdr:rowOff>0</xdr:rowOff>
    </xdr:from>
    <xdr:ext cx="304800" cy="304800"/>
    <xdr:sp macro="" textlink="">
      <xdr:nvSpPr>
        <xdr:cNvPr id="9" name="AutoShape 26">
          <a:extLst>
            <a:ext uri="{FF2B5EF4-FFF2-40B4-BE49-F238E27FC236}">
              <a16:creationId xmlns:a16="http://schemas.microsoft.com/office/drawing/2014/main" id="{CDAFE1D1-8BDC-460C-A18F-1140F70BE776}"/>
            </a:ext>
          </a:extLst>
        </xdr:cNvPr>
        <xdr:cNvSpPr>
          <a:spLocks noChangeAspect="1" noChangeArrowheads="1"/>
        </xdr:cNvSpPr>
      </xdr:nvSpPr>
      <xdr:spPr bwMode="auto">
        <a:xfrm>
          <a:off x="11753850" y="1627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85</xdr:row>
      <xdr:rowOff>0</xdr:rowOff>
    </xdr:from>
    <xdr:ext cx="304800" cy="304800"/>
    <xdr:sp macro="" textlink="">
      <xdr:nvSpPr>
        <xdr:cNvPr id="10" name="AutoShape 26">
          <a:extLst>
            <a:ext uri="{FF2B5EF4-FFF2-40B4-BE49-F238E27FC236}">
              <a16:creationId xmlns:a16="http://schemas.microsoft.com/office/drawing/2014/main" id="{83B35997-7738-407C-8270-3360B583C0EB}"/>
            </a:ext>
          </a:extLst>
        </xdr:cNvPr>
        <xdr:cNvSpPr>
          <a:spLocks noChangeAspect="1" noChangeArrowheads="1"/>
        </xdr:cNvSpPr>
      </xdr:nvSpPr>
      <xdr:spPr bwMode="auto">
        <a:xfrm>
          <a:off x="11753850" y="1627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19</xdr:col>
      <xdr:colOff>0</xdr:colOff>
      <xdr:row>85</xdr:row>
      <xdr:rowOff>0</xdr:rowOff>
    </xdr:from>
    <xdr:ext cx="304800" cy="304800"/>
    <xdr:sp macro="" textlink="">
      <xdr:nvSpPr>
        <xdr:cNvPr id="11" name="AutoShape 26">
          <a:extLst>
            <a:ext uri="{FF2B5EF4-FFF2-40B4-BE49-F238E27FC236}">
              <a16:creationId xmlns:a16="http://schemas.microsoft.com/office/drawing/2014/main" id="{0C7F0EEE-BBB0-4A02-80C9-A5B40054B2CB}"/>
            </a:ext>
          </a:extLst>
        </xdr:cNvPr>
        <xdr:cNvSpPr>
          <a:spLocks noChangeAspect="1" noChangeArrowheads="1"/>
        </xdr:cNvSpPr>
      </xdr:nvSpPr>
      <xdr:spPr bwMode="auto">
        <a:xfrm>
          <a:off x="11753850" y="1627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95250</xdr:colOff>
      <xdr:row>95</xdr:row>
      <xdr:rowOff>52489</xdr:rowOff>
    </xdr:from>
    <xdr:to>
      <xdr:col>12</xdr:col>
      <xdr:colOff>131895</xdr:colOff>
      <xdr:row>113</xdr:row>
      <xdr:rowOff>18446</xdr:rowOff>
    </xdr:to>
    <xdr:pic>
      <xdr:nvPicPr>
        <xdr:cNvPr id="12" name="Picture 11">
          <a:extLst>
            <a:ext uri="{FF2B5EF4-FFF2-40B4-BE49-F238E27FC236}">
              <a16:creationId xmlns:a16="http://schemas.microsoft.com/office/drawing/2014/main" id="{69CBF981-A3D1-B841-F39C-9F8F3CB5F309}"/>
            </a:ext>
          </a:extLst>
        </xdr:cNvPr>
        <xdr:cNvPicPr>
          <a:picLocks noChangeAspect="1"/>
        </xdr:cNvPicPr>
      </xdr:nvPicPr>
      <xdr:blipFill>
        <a:blip xmlns:r="http://schemas.openxmlformats.org/officeDocument/2006/relationships" r:embed="rId6"/>
        <a:stretch>
          <a:fillRect/>
        </a:stretch>
      </xdr:blipFill>
      <xdr:spPr>
        <a:xfrm>
          <a:off x="781050" y="18378589"/>
          <a:ext cx="9009195" cy="3737857"/>
        </a:xfrm>
        <a:prstGeom prst="rect">
          <a:avLst/>
        </a:prstGeom>
      </xdr:spPr>
    </xdr:pic>
    <xdr:clientData/>
  </xdr:twoCellAnchor>
  <xdr:twoCellAnchor editAs="oneCell">
    <xdr:from>
      <xdr:col>1</xdr:col>
      <xdr:colOff>152400</xdr:colOff>
      <xdr:row>115</xdr:row>
      <xdr:rowOff>57150</xdr:rowOff>
    </xdr:from>
    <xdr:to>
      <xdr:col>12</xdr:col>
      <xdr:colOff>150914</xdr:colOff>
      <xdr:row>127</xdr:row>
      <xdr:rowOff>13203</xdr:rowOff>
    </xdr:to>
    <xdr:pic>
      <xdr:nvPicPr>
        <xdr:cNvPr id="13" name="Picture 12">
          <a:extLst>
            <a:ext uri="{FF2B5EF4-FFF2-40B4-BE49-F238E27FC236}">
              <a16:creationId xmlns:a16="http://schemas.microsoft.com/office/drawing/2014/main" id="{96086827-142A-D621-E957-A9236C0C0FAB}"/>
            </a:ext>
          </a:extLst>
        </xdr:cNvPr>
        <xdr:cNvPicPr>
          <a:picLocks noChangeAspect="1"/>
        </xdr:cNvPicPr>
      </xdr:nvPicPr>
      <xdr:blipFill>
        <a:blip xmlns:r="http://schemas.openxmlformats.org/officeDocument/2006/relationships" r:embed="rId7"/>
        <a:stretch>
          <a:fillRect/>
        </a:stretch>
      </xdr:blipFill>
      <xdr:spPr>
        <a:xfrm>
          <a:off x="838200" y="22517100"/>
          <a:ext cx="8971064" cy="2127753"/>
        </a:xfrm>
        <a:prstGeom prst="rect">
          <a:avLst/>
        </a:prstGeom>
      </xdr:spPr>
    </xdr:pic>
    <xdr:clientData/>
  </xdr:twoCellAnchor>
  <xdr:twoCellAnchor>
    <xdr:from>
      <xdr:col>8</xdr:col>
      <xdr:colOff>109537</xdr:colOff>
      <xdr:row>139</xdr:row>
      <xdr:rowOff>52386</xdr:rowOff>
    </xdr:from>
    <xdr:to>
      <xdr:col>17</xdr:col>
      <xdr:colOff>942975</xdr:colOff>
      <xdr:row>156</xdr:row>
      <xdr:rowOff>66674</xdr:rowOff>
    </xdr:to>
    <xdr:graphicFrame macro="">
      <xdr:nvGraphicFramePr>
        <xdr:cNvPr id="14" name="Chart 13">
          <a:extLst>
            <a:ext uri="{FF2B5EF4-FFF2-40B4-BE49-F238E27FC236}">
              <a16:creationId xmlns:a16="http://schemas.microsoft.com/office/drawing/2014/main" id="{E6A59B71-704F-3323-F1C5-1C3B7906F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309561</xdr:colOff>
      <xdr:row>156</xdr:row>
      <xdr:rowOff>157161</xdr:rowOff>
    </xdr:from>
    <xdr:to>
      <xdr:col>17</xdr:col>
      <xdr:colOff>1266825</xdr:colOff>
      <xdr:row>174</xdr:row>
      <xdr:rowOff>19049</xdr:rowOff>
    </xdr:to>
    <xdr:graphicFrame macro="">
      <xdr:nvGraphicFramePr>
        <xdr:cNvPr id="15" name="Chart 14">
          <a:extLst>
            <a:ext uri="{FF2B5EF4-FFF2-40B4-BE49-F238E27FC236}">
              <a16:creationId xmlns:a16="http://schemas.microsoft.com/office/drawing/2014/main" id="{EF5A417F-BC52-429C-5D54-F9F1AD861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361951</xdr:colOff>
      <xdr:row>156</xdr:row>
      <xdr:rowOff>190501</xdr:rowOff>
    </xdr:from>
    <xdr:to>
      <xdr:col>17</xdr:col>
      <xdr:colOff>1174521</xdr:colOff>
      <xdr:row>174</xdr:row>
      <xdr:rowOff>47626</xdr:rowOff>
    </xdr:to>
    <xdr:pic>
      <xdr:nvPicPr>
        <xdr:cNvPr id="16" name="Picture 15">
          <a:extLst>
            <a:ext uri="{FF2B5EF4-FFF2-40B4-BE49-F238E27FC236}">
              <a16:creationId xmlns:a16="http://schemas.microsoft.com/office/drawing/2014/main" id="{0F639678-358A-234F-F747-26B4F658C01D}"/>
            </a:ext>
          </a:extLst>
        </xdr:cNvPr>
        <xdr:cNvPicPr>
          <a:picLocks noChangeAspect="1"/>
        </xdr:cNvPicPr>
      </xdr:nvPicPr>
      <xdr:blipFill>
        <a:blip xmlns:r="http://schemas.openxmlformats.org/officeDocument/2006/relationships" r:embed="rId10"/>
        <a:stretch>
          <a:fillRect/>
        </a:stretch>
      </xdr:blipFill>
      <xdr:spPr>
        <a:xfrm>
          <a:off x="5591176" y="30318076"/>
          <a:ext cx="8508770" cy="3162300"/>
        </a:xfrm>
        <a:prstGeom prst="rect">
          <a:avLst/>
        </a:prstGeom>
      </xdr:spPr>
    </xdr:pic>
    <xdr:clientData/>
  </xdr:twoCellAnchor>
  <xdr:twoCellAnchor>
    <xdr:from>
      <xdr:col>8</xdr:col>
      <xdr:colOff>519112</xdr:colOff>
      <xdr:row>179</xdr:row>
      <xdr:rowOff>109537</xdr:rowOff>
    </xdr:from>
    <xdr:to>
      <xdr:col>17</xdr:col>
      <xdr:colOff>742950</xdr:colOff>
      <xdr:row>199</xdr:row>
      <xdr:rowOff>38100</xdr:rowOff>
    </xdr:to>
    <xdr:graphicFrame macro="">
      <xdr:nvGraphicFramePr>
        <xdr:cNvPr id="17" name="Chart 16">
          <a:extLst>
            <a:ext uri="{FF2B5EF4-FFF2-40B4-BE49-F238E27FC236}">
              <a16:creationId xmlns:a16="http://schemas.microsoft.com/office/drawing/2014/main" id="{ACF95B6B-4D63-ABA6-9DF7-5AA75D33A0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476249</xdr:colOff>
      <xdr:row>203</xdr:row>
      <xdr:rowOff>133350</xdr:rowOff>
    </xdr:from>
    <xdr:to>
      <xdr:col>19</xdr:col>
      <xdr:colOff>1257299</xdr:colOff>
      <xdr:row>224</xdr:row>
      <xdr:rowOff>47624</xdr:rowOff>
    </xdr:to>
    <xdr:graphicFrame macro="">
      <xdr:nvGraphicFramePr>
        <xdr:cNvPr id="18" name="Chart 17">
          <a:extLst>
            <a:ext uri="{FF2B5EF4-FFF2-40B4-BE49-F238E27FC236}">
              <a16:creationId xmlns:a16="http://schemas.microsoft.com/office/drawing/2014/main" id="{7B5F27E7-1CA6-9E37-105A-E072C4E31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257175</xdr:colOff>
      <xdr:row>224</xdr:row>
      <xdr:rowOff>171450</xdr:rowOff>
    </xdr:from>
    <xdr:to>
      <xdr:col>10</xdr:col>
      <xdr:colOff>600075</xdr:colOff>
      <xdr:row>243</xdr:row>
      <xdr:rowOff>66674</xdr:rowOff>
    </xdr:to>
    <xdr:graphicFrame macro="">
      <xdr:nvGraphicFramePr>
        <xdr:cNvPr id="19" name="Chart 18">
          <a:extLst>
            <a:ext uri="{FF2B5EF4-FFF2-40B4-BE49-F238E27FC236}">
              <a16:creationId xmlns:a16="http://schemas.microsoft.com/office/drawing/2014/main" id="{88E330AC-98D4-441D-0553-9B9995F8A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114300</xdr:colOff>
      <xdr:row>225</xdr:row>
      <xdr:rowOff>28575</xdr:rowOff>
    </xdr:from>
    <xdr:to>
      <xdr:col>19</xdr:col>
      <xdr:colOff>895350</xdr:colOff>
      <xdr:row>242</xdr:row>
      <xdr:rowOff>66675</xdr:rowOff>
    </xdr:to>
    <xdr:graphicFrame macro="">
      <xdr:nvGraphicFramePr>
        <xdr:cNvPr id="20" name="Chart 19">
          <a:extLst>
            <a:ext uri="{FF2B5EF4-FFF2-40B4-BE49-F238E27FC236}">
              <a16:creationId xmlns:a16="http://schemas.microsoft.com/office/drawing/2014/main" id="{9459BF2F-099D-4FFA-AD45-700D42131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10</xdr:col>
      <xdr:colOff>476250</xdr:colOff>
      <xdr:row>203</xdr:row>
      <xdr:rowOff>66675</xdr:rowOff>
    </xdr:from>
    <xdr:to>
      <xdr:col>19</xdr:col>
      <xdr:colOff>1361008</xdr:colOff>
      <xdr:row>224</xdr:row>
      <xdr:rowOff>66163</xdr:rowOff>
    </xdr:to>
    <xdr:pic>
      <xdr:nvPicPr>
        <xdr:cNvPr id="21" name="Picture 20">
          <a:extLst>
            <a:ext uri="{FF2B5EF4-FFF2-40B4-BE49-F238E27FC236}">
              <a16:creationId xmlns:a16="http://schemas.microsoft.com/office/drawing/2014/main" id="{79E63037-04E3-0D6D-3B2A-A0AA8675A936}"/>
            </a:ext>
          </a:extLst>
        </xdr:cNvPr>
        <xdr:cNvPicPr>
          <a:picLocks noChangeAspect="1"/>
        </xdr:cNvPicPr>
      </xdr:nvPicPr>
      <xdr:blipFill>
        <a:blip xmlns:r="http://schemas.openxmlformats.org/officeDocument/2006/relationships" r:embed="rId15"/>
        <a:stretch>
          <a:fillRect/>
        </a:stretch>
      </xdr:blipFill>
      <xdr:spPr>
        <a:xfrm>
          <a:off x="8686800" y="38757225"/>
          <a:ext cx="8533333" cy="4095238"/>
        </a:xfrm>
        <a:prstGeom prst="rect">
          <a:avLst/>
        </a:prstGeom>
      </xdr:spPr>
    </xdr:pic>
    <xdr:clientData/>
  </xdr:twoCellAnchor>
  <xdr:twoCellAnchor>
    <xdr:from>
      <xdr:col>6</xdr:col>
      <xdr:colOff>128586</xdr:colOff>
      <xdr:row>251</xdr:row>
      <xdr:rowOff>109537</xdr:rowOff>
    </xdr:from>
    <xdr:to>
      <xdr:col>13</xdr:col>
      <xdr:colOff>152399</xdr:colOff>
      <xdr:row>266</xdr:row>
      <xdr:rowOff>138112</xdr:rowOff>
    </xdr:to>
    <xdr:graphicFrame macro="">
      <xdr:nvGraphicFramePr>
        <xdr:cNvPr id="22" name="Chart 21">
          <a:extLst>
            <a:ext uri="{FF2B5EF4-FFF2-40B4-BE49-F238E27FC236}">
              <a16:creationId xmlns:a16="http://schemas.microsoft.com/office/drawing/2014/main" id="{2C37A558-F61D-0E57-FEB1-00CC0F340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347661</xdr:colOff>
      <xdr:row>251</xdr:row>
      <xdr:rowOff>90487</xdr:rowOff>
    </xdr:from>
    <xdr:to>
      <xdr:col>18</xdr:col>
      <xdr:colOff>561974</xdr:colOff>
      <xdr:row>266</xdr:row>
      <xdr:rowOff>104775</xdr:rowOff>
    </xdr:to>
    <xdr:graphicFrame macro="">
      <xdr:nvGraphicFramePr>
        <xdr:cNvPr id="24" name="Chart 23">
          <a:extLst>
            <a:ext uri="{FF2B5EF4-FFF2-40B4-BE49-F238E27FC236}">
              <a16:creationId xmlns:a16="http://schemas.microsoft.com/office/drawing/2014/main" id="{E5A55812-224F-D29E-0CB9-D2890A467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376236</xdr:colOff>
      <xdr:row>268</xdr:row>
      <xdr:rowOff>176212</xdr:rowOff>
    </xdr:from>
    <xdr:to>
      <xdr:col>19</xdr:col>
      <xdr:colOff>1419224</xdr:colOff>
      <xdr:row>290</xdr:row>
      <xdr:rowOff>114300</xdr:rowOff>
    </xdr:to>
    <xdr:graphicFrame macro="">
      <xdr:nvGraphicFramePr>
        <xdr:cNvPr id="25" name="Chart 24">
          <a:extLst>
            <a:ext uri="{FF2B5EF4-FFF2-40B4-BE49-F238E27FC236}">
              <a16:creationId xmlns:a16="http://schemas.microsoft.com/office/drawing/2014/main" id="{DCB3CC23-23C1-5E96-20D8-215DE9DBE3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74544</xdr:colOff>
      <xdr:row>0</xdr:row>
      <xdr:rowOff>66261</xdr:rowOff>
    </xdr:from>
    <xdr:to>
      <xdr:col>1</xdr:col>
      <xdr:colOff>132522</xdr:colOff>
      <xdr:row>1</xdr:row>
      <xdr:rowOff>216828</xdr:rowOff>
    </xdr:to>
    <xdr:pic>
      <xdr:nvPicPr>
        <xdr:cNvPr id="2" name="Picture 1" descr="History of McDonald's - Wikipedia">
          <a:extLst>
            <a:ext uri="{FF2B5EF4-FFF2-40B4-BE49-F238E27FC236}">
              <a16:creationId xmlns:a16="http://schemas.microsoft.com/office/drawing/2014/main" id="{E7811400-E48C-4AF9-BD8A-6F362698A93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544" y="66261"/>
          <a:ext cx="331304" cy="332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133350</xdr:colOff>
      <xdr:row>0</xdr:row>
      <xdr:rowOff>161925</xdr:rowOff>
    </xdr:from>
    <xdr:to>
      <xdr:col>0</xdr:col>
      <xdr:colOff>464654</xdr:colOff>
      <xdr:row>2</xdr:row>
      <xdr:rowOff>132759</xdr:rowOff>
    </xdr:to>
    <xdr:pic>
      <xdr:nvPicPr>
        <xdr:cNvPr id="2" name="Picture 1" descr="History of McDonald's - Wikipedia">
          <a:extLst>
            <a:ext uri="{FF2B5EF4-FFF2-40B4-BE49-F238E27FC236}">
              <a16:creationId xmlns:a16="http://schemas.microsoft.com/office/drawing/2014/main" id="{FE84A3A2-C273-4354-BB92-59DA7FA5BC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161925"/>
          <a:ext cx="331304" cy="332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c2016\Desktop\borsa\DCF\Companies\specifics\AAPL\5.5.24\histimpl.xls" TargetMode="External"/><Relationship Id="rId1" Type="http://schemas.openxmlformats.org/officeDocument/2006/relationships/externalLinkPath" Target="/Users/cc2016/Desktop/borsa/DCF/Companies/specifics/AAPL/5.5.24/histi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istorical Impl Premiums"/>
      <sheetName val="Implied Premiums"/>
      <sheetName val="implpremvsriskfree"/>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row r="7">
          <cell r="N7" t="str">
            <v>Implied Premium (DDM)</v>
          </cell>
        </row>
        <row r="8">
          <cell r="A8">
            <v>1960</v>
          </cell>
        </row>
        <row r="9">
          <cell r="A9">
            <v>1961</v>
          </cell>
          <cell r="Q9">
            <v>2.92E-2</v>
          </cell>
        </row>
        <row r="10">
          <cell r="A10">
            <v>1962</v>
          </cell>
          <cell r="Q10">
            <v>3.56E-2</v>
          </cell>
        </row>
        <row r="11">
          <cell r="A11">
            <v>1963</v>
          </cell>
          <cell r="Q11">
            <v>3.3799999999999997E-2</v>
          </cell>
        </row>
        <row r="12">
          <cell r="A12">
            <v>1964</v>
          </cell>
          <cell r="Q12">
            <v>3.3099999999999997E-2</v>
          </cell>
        </row>
        <row r="13">
          <cell r="A13">
            <v>1965</v>
          </cell>
          <cell r="Q13">
            <v>3.32E-2</v>
          </cell>
        </row>
        <row r="14">
          <cell r="A14">
            <v>1966</v>
          </cell>
          <cell r="Q14">
            <v>3.6799999999999999E-2</v>
          </cell>
        </row>
        <row r="15">
          <cell r="A15">
            <v>1967</v>
          </cell>
          <cell r="Q15">
            <v>3.2000000000000001E-2</v>
          </cell>
        </row>
        <row r="16">
          <cell r="A16">
            <v>1968</v>
          </cell>
          <cell r="Q16">
            <v>0.03</v>
          </cell>
        </row>
        <row r="17">
          <cell r="A17">
            <v>1969</v>
          </cell>
          <cell r="Q17">
            <v>3.7400000000000003E-2</v>
          </cell>
        </row>
        <row r="18">
          <cell r="A18">
            <v>1970</v>
          </cell>
          <cell r="Q18">
            <v>3.4099999999999998E-2</v>
          </cell>
        </row>
        <row r="19">
          <cell r="A19">
            <v>1971</v>
          </cell>
          <cell r="Q19">
            <v>3.09E-2</v>
          </cell>
        </row>
        <row r="20">
          <cell r="A20">
            <v>1972</v>
          </cell>
          <cell r="Q20">
            <v>2.7199999999999998E-2</v>
          </cell>
        </row>
        <row r="21">
          <cell r="A21">
            <v>1973</v>
          </cell>
          <cell r="Q21">
            <v>4.2999999999999997E-2</v>
          </cell>
        </row>
        <row r="22">
          <cell r="A22">
            <v>1974</v>
          </cell>
          <cell r="Q22">
            <v>5.5899999999999998E-2</v>
          </cell>
        </row>
        <row r="23">
          <cell r="A23">
            <v>1975</v>
          </cell>
          <cell r="Q23">
            <v>4.1300000000000003E-2</v>
          </cell>
        </row>
        <row r="24">
          <cell r="A24">
            <v>1976</v>
          </cell>
          <cell r="Q24">
            <v>4.5499999999999999E-2</v>
          </cell>
        </row>
        <row r="25">
          <cell r="A25">
            <v>1977</v>
          </cell>
          <cell r="Q25">
            <v>5.9200000000000003E-2</v>
          </cell>
        </row>
        <row r="26">
          <cell r="A26">
            <v>1978</v>
          </cell>
          <cell r="Q26">
            <v>5.7200000000000001E-2</v>
          </cell>
        </row>
        <row r="27">
          <cell r="A27">
            <v>1979</v>
          </cell>
          <cell r="Q27">
            <v>6.4500000000000002E-2</v>
          </cell>
        </row>
        <row r="28">
          <cell r="A28">
            <v>1980</v>
          </cell>
          <cell r="Q28">
            <v>5.0299999999999997E-2</v>
          </cell>
        </row>
        <row r="29">
          <cell r="A29">
            <v>1981</v>
          </cell>
          <cell r="Q29">
            <v>5.7299999999999997E-2</v>
          </cell>
        </row>
        <row r="30">
          <cell r="A30">
            <v>1982</v>
          </cell>
          <cell r="Q30">
            <v>4.9000000000000002E-2</v>
          </cell>
        </row>
        <row r="31">
          <cell r="A31">
            <v>1983</v>
          </cell>
          <cell r="Q31">
            <v>4.3099999999999999E-2</v>
          </cell>
        </row>
        <row r="32">
          <cell r="A32">
            <v>1984</v>
          </cell>
          <cell r="Q32">
            <v>5.11E-2</v>
          </cell>
        </row>
        <row r="33">
          <cell r="A33">
            <v>1985</v>
          </cell>
          <cell r="Q33">
            <v>3.8399999999999997E-2</v>
          </cell>
        </row>
        <row r="34">
          <cell r="A34">
            <v>1986</v>
          </cell>
          <cell r="Q34">
            <v>3.5799999999999998E-2</v>
          </cell>
        </row>
        <row r="35">
          <cell r="A35">
            <v>1987</v>
          </cell>
          <cell r="Q35">
            <v>3.9899999999999998E-2</v>
          </cell>
        </row>
        <row r="36">
          <cell r="A36">
            <v>1988</v>
          </cell>
          <cell r="Q36">
            <v>3.7699999999999997E-2</v>
          </cell>
        </row>
        <row r="37">
          <cell r="A37">
            <v>1989</v>
          </cell>
          <cell r="Q37">
            <v>3.5099999999999999E-2</v>
          </cell>
        </row>
        <row r="38">
          <cell r="A38">
            <v>1990</v>
          </cell>
          <cell r="Q38">
            <v>3.8899999999999997E-2</v>
          </cell>
        </row>
        <row r="39">
          <cell r="A39">
            <v>1991</v>
          </cell>
          <cell r="Q39">
            <v>3.4799999999999998E-2</v>
          </cell>
        </row>
        <row r="40">
          <cell r="A40">
            <v>1992</v>
          </cell>
          <cell r="Q40">
            <v>3.5499999999999997E-2</v>
          </cell>
        </row>
        <row r="41">
          <cell r="A41">
            <v>1993</v>
          </cell>
          <cell r="Q41">
            <v>3.1699999999999999E-2</v>
          </cell>
        </row>
        <row r="42">
          <cell r="A42">
            <v>1994</v>
          </cell>
          <cell r="Q42">
            <v>3.5499999999999997E-2</v>
          </cell>
        </row>
        <row r="43">
          <cell r="A43">
            <v>1995</v>
          </cell>
          <cell r="Q43">
            <v>3.2899999999999999E-2</v>
          </cell>
        </row>
        <row r="44">
          <cell r="A44">
            <v>1996</v>
          </cell>
          <cell r="Q44">
            <v>3.2000000000000001E-2</v>
          </cell>
        </row>
        <row r="45">
          <cell r="A45">
            <v>1997</v>
          </cell>
          <cell r="Q45">
            <v>2.7300000000000001E-2</v>
          </cell>
        </row>
        <row r="46">
          <cell r="A46">
            <v>1998</v>
          </cell>
          <cell r="Q46">
            <v>2.2599999999999999E-2</v>
          </cell>
        </row>
        <row r="47">
          <cell r="A47">
            <v>1999</v>
          </cell>
          <cell r="Q47">
            <v>2.0500000000000001E-2</v>
          </cell>
        </row>
        <row r="48">
          <cell r="A48">
            <v>2000</v>
          </cell>
          <cell r="Q48">
            <v>2.87E-2</v>
          </cell>
        </row>
        <row r="49">
          <cell r="A49">
            <v>2001</v>
          </cell>
          <cell r="Q49">
            <v>3.6200000000000003E-2</v>
          </cell>
        </row>
        <row r="50">
          <cell r="A50">
            <v>2002</v>
          </cell>
          <cell r="Q50">
            <v>4.1000000000000002E-2</v>
          </cell>
        </row>
        <row r="51">
          <cell r="A51">
            <v>2003</v>
          </cell>
          <cell r="Q51">
            <v>3.6900000000000002E-2</v>
          </cell>
        </row>
        <row r="52">
          <cell r="A52">
            <v>2004</v>
          </cell>
          <cell r="Q52">
            <v>3.6499999999999998E-2</v>
          </cell>
        </row>
        <row r="53">
          <cell r="A53">
            <v>2005</v>
          </cell>
          <cell r="Q53">
            <v>4.0800000000000003E-2</v>
          </cell>
        </row>
        <row r="54">
          <cell r="A54">
            <v>2006</v>
          </cell>
          <cell r="Q54">
            <v>4.1599999999999998E-2</v>
          </cell>
        </row>
        <row r="55">
          <cell r="A55">
            <v>2007</v>
          </cell>
          <cell r="Q55">
            <v>4.3700000000000003E-2</v>
          </cell>
        </row>
        <row r="56">
          <cell r="A56">
            <v>2008</v>
          </cell>
          <cell r="Q56">
            <v>6.4299999999999996E-2</v>
          </cell>
        </row>
        <row r="57">
          <cell r="A57">
            <v>2009</v>
          </cell>
          <cell r="Q57">
            <v>4.36E-2</v>
          </cell>
        </row>
        <row r="58">
          <cell r="A58">
            <v>2010</v>
          </cell>
          <cell r="Q58">
            <v>5.1999999999999998E-2</v>
          </cell>
        </row>
        <row r="59">
          <cell r="A59">
            <v>2011</v>
          </cell>
          <cell r="Q59">
            <v>6.0100000000000001E-2</v>
          </cell>
        </row>
        <row r="60">
          <cell r="A60">
            <v>2012</v>
          </cell>
          <cell r="Q60">
            <v>5.7799999999999997E-2</v>
          </cell>
        </row>
        <row r="61">
          <cell r="A61">
            <v>2013</v>
          </cell>
          <cell r="Q61">
            <v>4.9599999999999998E-2</v>
          </cell>
        </row>
        <row r="62">
          <cell r="A62">
            <v>2014</v>
          </cell>
          <cell r="Q62">
            <v>5.7799999999999997E-2</v>
          </cell>
        </row>
        <row r="63">
          <cell r="A63">
            <v>2015</v>
          </cell>
          <cell r="Q63">
            <v>6.1199999999999997E-2</v>
          </cell>
        </row>
        <row r="64">
          <cell r="A64">
            <v>2016</v>
          </cell>
          <cell r="Q64">
            <v>5.6899999999999999E-2</v>
          </cell>
        </row>
        <row r="65">
          <cell r="A65">
            <v>2017</v>
          </cell>
          <cell r="Q65">
            <v>5.0799999999999998E-2</v>
          </cell>
        </row>
        <row r="66">
          <cell r="A66">
            <v>2018</v>
          </cell>
          <cell r="Q66">
            <v>5.96E-2</v>
          </cell>
        </row>
        <row r="67">
          <cell r="A67">
            <v>2019</v>
          </cell>
          <cell r="Q67">
            <v>5.1999999999999998E-2</v>
          </cell>
        </row>
        <row r="68">
          <cell r="A68">
            <v>2020</v>
          </cell>
          <cell r="Q68">
            <v>4.7199999999999999E-2</v>
          </cell>
        </row>
        <row r="69">
          <cell r="A69">
            <v>2021</v>
          </cell>
          <cell r="Q69">
            <v>4.24E-2</v>
          </cell>
        </row>
        <row r="70">
          <cell r="A70">
            <v>2022</v>
          </cell>
          <cell r="Q70">
            <v>5.9400000000000001E-2</v>
          </cell>
        </row>
        <row r="71">
          <cell r="A71">
            <v>2023</v>
          </cell>
          <cell r="Q71">
            <v>4.5999999999999999E-2</v>
          </cell>
        </row>
      </sheetData>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3:M14"/>
  <sheetViews>
    <sheetView showGridLines="0" showRowColHeaders="0" tabSelected="1" workbookViewId="0">
      <selection activeCell="G3" sqref="G3"/>
    </sheetView>
  </sheetViews>
  <sheetFormatPr defaultRowHeight="14.25" x14ac:dyDescent="0.2"/>
  <sheetData>
    <row r="3" spans="2:13" x14ac:dyDescent="0.2">
      <c r="M3" t="s">
        <v>0</v>
      </c>
    </row>
    <row r="6" spans="2:13" x14ac:dyDescent="0.2">
      <c r="B6" s="216" t="s">
        <v>1</v>
      </c>
      <c r="C6" s="216"/>
      <c r="D6" s="216"/>
      <c r="E6" s="216"/>
      <c r="F6" s="216"/>
      <c r="G6" s="216"/>
      <c r="H6" s="216"/>
    </row>
    <row r="7" spans="2:13" x14ac:dyDescent="0.2">
      <c r="B7" s="216"/>
      <c r="C7" s="216"/>
      <c r="D7" s="216"/>
      <c r="E7" s="216"/>
      <c r="F7" s="216"/>
      <c r="G7" s="216"/>
      <c r="H7" s="216"/>
    </row>
    <row r="8" spans="2:13" x14ac:dyDescent="0.2">
      <c r="B8" s="216"/>
      <c r="C8" s="216"/>
      <c r="D8" s="216"/>
      <c r="E8" s="216"/>
      <c r="F8" s="216"/>
      <c r="G8" s="216"/>
      <c r="H8" s="216"/>
    </row>
    <row r="9" spans="2:13" x14ac:dyDescent="0.2">
      <c r="B9" s="216"/>
      <c r="C9" s="216"/>
      <c r="D9" s="216"/>
      <c r="E9" s="216"/>
      <c r="F9" s="216"/>
      <c r="G9" s="216"/>
      <c r="H9" s="216"/>
    </row>
    <row r="10" spans="2:13" x14ac:dyDescent="0.2">
      <c r="B10" s="216"/>
      <c r="C10" s="216"/>
      <c r="D10" s="216"/>
      <c r="E10" s="216"/>
      <c r="F10" s="216"/>
      <c r="G10" s="216"/>
      <c r="H10" s="216"/>
    </row>
    <row r="11" spans="2:13" x14ac:dyDescent="0.2">
      <c r="B11" t="s">
        <v>2</v>
      </c>
    </row>
    <row r="12" spans="2:13" x14ac:dyDescent="0.2">
      <c r="B12" t="s">
        <v>276</v>
      </c>
    </row>
    <row r="13" spans="2:13" x14ac:dyDescent="0.2">
      <c r="B13" t="s">
        <v>275</v>
      </c>
    </row>
    <row r="14" spans="2:13" x14ac:dyDescent="0.2">
      <c r="B14" t="s">
        <v>274</v>
      </c>
    </row>
  </sheetData>
  <mergeCells count="1">
    <mergeCell ref="B6:H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E7A83-3A12-4531-A611-229854E72908}">
  <sheetPr>
    <tabColor rgb="FFFFFF00"/>
  </sheetPr>
  <dimension ref="A3:T177"/>
  <sheetViews>
    <sheetView showGridLines="0" showRowColHeaders="0" workbookViewId="0">
      <selection activeCell="C175" sqref="C175"/>
    </sheetView>
  </sheetViews>
  <sheetFormatPr defaultRowHeight="14.25" x14ac:dyDescent="0.2"/>
  <cols>
    <col min="2" max="2" width="26.375" customWidth="1"/>
    <col min="3" max="3" width="15.875" customWidth="1"/>
    <col min="4" max="4" width="16.25" customWidth="1"/>
    <col min="6" max="6" width="16.5" customWidth="1"/>
    <col min="7" max="7" width="20.875" customWidth="1"/>
    <col min="8" max="8" width="14.375" customWidth="1"/>
    <col min="15" max="15" width="22.125" customWidth="1"/>
  </cols>
  <sheetData>
    <row r="3" spans="2:9" x14ac:dyDescent="0.2">
      <c r="B3" s="219" t="s">
        <v>3</v>
      </c>
      <c r="C3" s="219"/>
      <c r="D3" s="219"/>
      <c r="E3" s="219"/>
      <c r="F3" s="219"/>
      <c r="G3" s="219"/>
      <c r="H3" s="219"/>
      <c r="I3" s="219"/>
    </row>
    <row r="4" spans="2:9" x14ac:dyDescent="0.2">
      <c r="B4" s="219"/>
      <c r="C4" s="219"/>
      <c r="D4" s="219"/>
      <c r="E4" s="219"/>
      <c r="F4" s="219"/>
      <c r="G4" s="219"/>
      <c r="H4" s="219"/>
      <c r="I4" s="219"/>
    </row>
    <row r="5" spans="2:9" x14ac:dyDescent="0.2">
      <c r="B5" s="219"/>
      <c r="C5" s="219"/>
      <c r="D5" s="219"/>
      <c r="E5" s="219"/>
      <c r="F5" s="219"/>
      <c r="G5" s="219"/>
      <c r="H5" s="219"/>
      <c r="I5" s="219"/>
    </row>
    <row r="6" spans="2:9" x14ac:dyDescent="0.2">
      <c r="B6" s="219"/>
      <c r="C6" s="219"/>
      <c r="D6" s="219"/>
      <c r="E6" s="219"/>
      <c r="F6" s="219"/>
      <c r="G6" s="219"/>
      <c r="H6" s="219"/>
      <c r="I6" s="219"/>
    </row>
    <row r="7" spans="2:9" x14ac:dyDescent="0.2">
      <c r="B7" s="219"/>
      <c r="C7" s="219"/>
      <c r="D7" s="219"/>
      <c r="E7" s="219"/>
      <c r="F7" s="219"/>
      <c r="G7" s="219"/>
      <c r="H7" s="219"/>
      <c r="I7" s="219"/>
    </row>
    <row r="9" spans="2:9" ht="15" x14ac:dyDescent="0.25">
      <c r="B9" s="22" t="s">
        <v>4</v>
      </c>
    </row>
    <row r="11" spans="2:9" x14ac:dyDescent="0.2">
      <c r="B11" t="s">
        <v>6</v>
      </c>
    </row>
    <row r="12" spans="2:9" x14ac:dyDescent="0.2">
      <c r="B12" t="s">
        <v>7</v>
      </c>
    </row>
    <row r="16" spans="2:9" x14ac:dyDescent="0.2">
      <c r="C16" t="s">
        <v>4</v>
      </c>
      <c r="E16" t="s">
        <v>8</v>
      </c>
    </row>
    <row r="17" spans="2:5" x14ac:dyDescent="0.2">
      <c r="B17" t="s">
        <v>5</v>
      </c>
      <c r="C17" s="2">
        <v>4.48E-2</v>
      </c>
      <c r="E17" t="s">
        <v>9</v>
      </c>
    </row>
    <row r="18" spans="2:5" x14ac:dyDescent="0.2">
      <c r="B18">
        <v>1</v>
      </c>
      <c r="C18" s="2">
        <v>0.05</v>
      </c>
      <c r="E18" t="s">
        <v>10</v>
      </c>
    </row>
    <row r="19" spans="2:5" x14ac:dyDescent="0.2">
      <c r="B19">
        <v>2</v>
      </c>
      <c r="C19" s="2">
        <v>4.4999999999999998E-2</v>
      </c>
    </row>
    <row r="20" spans="2:5" x14ac:dyDescent="0.2">
      <c r="B20">
        <v>3</v>
      </c>
      <c r="C20" s="2">
        <v>0.04</v>
      </c>
    </row>
    <row r="21" spans="2:5" x14ac:dyDescent="0.2">
      <c r="B21">
        <v>4</v>
      </c>
      <c r="C21" s="2">
        <v>3.5000000000000003E-2</v>
      </c>
    </row>
    <row r="22" spans="2:5" x14ac:dyDescent="0.2">
      <c r="B22">
        <v>5</v>
      </c>
      <c r="C22" s="2">
        <v>0.03</v>
      </c>
    </row>
    <row r="23" spans="2:5" x14ac:dyDescent="0.2">
      <c r="B23" t="s">
        <v>75</v>
      </c>
      <c r="C23" s="2"/>
    </row>
    <row r="33" spans="1:5" ht="15" x14ac:dyDescent="0.25">
      <c r="B33" s="22" t="s">
        <v>11</v>
      </c>
    </row>
    <row r="34" spans="1:5" ht="15.75" x14ac:dyDescent="0.25">
      <c r="B34" s="3"/>
    </row>
    <row r="35" spans="1:5" x14ac:dyDescent="0.2">
      <c r="B35" s="4" t="s">
        <v>12</v>
      </c>
      <c r="C35" s="4"/>
    </row>
    <row r="36" spans="1:5" x14ac:dyDescent="0.2">
      <c r="B36" s="5" t="s">
        <v>13</v>
      </c>
      <c r="C36" s="6"/>
    </row>
    <row r="37" spans="1:5" x14ac:dyDescent="0.2">
      <c r="B37" s="7" t="s">
        <v>14</v>
      </c>
      <c r="C37" s="8"/>
    </row>
    <row r="38" spans="1:5" ht="15" x14ac:dyDescent="0.2">
      <c r="B38" s="9" t="s">
        <v>15</v>
      </c>
      <c r="C38" s="10"/>
    </row>
    <row r="39" spans="1:5" x14ac:dyDescent="0.2">
      <c r="B39" s="9"/>
      <c r="C39" s="10"/>
    </row>
    <row r="40" spans="1:5" x14ac:dyDescent="0.2">
      <c r="B40" s="9" t="s">
        <v>16</v>
      </c>
      <c r="C40" s="10"/>
    </row>
    <row r="41" spans="1:5" x14ac:dyDescent="0.2">
      <c r="B41" s="9" t="s">
        <v>17</v>
      </c>
      <c r="C41" s="10"/>
    </row>
    <row r="42" spans="1:5" x14ac:dyDescent="0.2">
      <c r="B42" s="9" t="s">
        <v>18</v>
      </c>
      <c r="C42" s="10"/>
      <c r="D42" t="s">
        <v>19</v>
      </c>
      <c r="E42" s="19">
        <f>AVERAGE(C47:C53)</f>
        <v>5.1400000000000001E-2</v>
      </c>
    </row>
    <row r="43" spans="1:5" x14ac:dyDescent="0.2">
      <c r="B43" s="11" t="s">
        <v>20</v>
      </c>
      <c r="C43" s="12">
        <f>AVERAGE(4.24%,4.93%)</f>
        <v>4.5850000000000002E-2</v>
      </c>
    </row>
    <row r="44" spans="1:5" ht="15" thickBot="1" x14ac:dyDescent="0.25">
      <c r="B44" s="11"/>
      <c r="C44" s="12"/>
    </row>
    <row r="45" spans="1:5" x14ac:dyDescent="0.2">
      <c r="B45" s="13" t="s">
        <v>21</v>
      </c>
      <c r="C45" s="14" t="s">
        <v>22</v>
      </c>
    </row>
    <row r="46" spans="1:5" x14ac:dyDescent="0.2">
      <c r="B46" s="39" t="s">
        <v>5</v>
      </c>
      <c r="C46" s="40">
        <f>4.15%</f>
        <v>4.1500000000000002E-2</v>
      </c>
    </row>
    <row r="47" spans="1:5" x14ac:dyDescent="0.2">
      <c r="A47">
        <v>1</v>
      </c>
      <c r="B47" s="15">
        <v>2024</v>
      </c>
      <c r="C47" s="16">
        <v>0.05</v>
      </c>
    </row>
    <row r="48" spans="1:5" x14ac:dyDescent="0.2">
      <c r="A48">
        <v>2</v>
      </c>
      <c r="B48" s="15">
        <v>2025</v>
      </c>
      <c r="C48" s="16">
        <v>5.2999999999999999E-2</v>
      </c>
    </row>
    <row r="49" spans="1:3" x14ac:dyDescent="0.2">
      <c r="A49">
        <v>3</v>
      </c>
      <c r="B49" s="15" t="s">
        <v>23</v>
      </c>
      <c r="C49" s="16">
        <v>0.06</v>
      </c>
    </row>
    <row r="50" spans="1:3" x14ac:dyDescent="0.2">
      <c r="A50">
        <v>4</v>
      </c>
      <c r="B50" s="15">
        <v>2026</v>
      </c>
      <c r="C50" s="16">
        <v>5.2999999999999999E-2</v>
      </c>
    </row>
    <row r="51" spans="1:3" ht="15" thickBot="1" x14ac:dyDescent="0.25">
      <c r="A51">
        <v>5</v>
      </c>
      <c r="B51" s="21" t="s">
        <v>24</v>
      </c>
      <c r="C51" s="17">
        <v>0.05</v>
      </c>
    </row>
    <row r="52" spans="1:3" x14ac:dyDescent="0.2">
      <c r="B52" s="18" t="s">
        <v>75</v>
      </c>
      <c r="C52" s="20">
        <v>4.24E-2</v>
      </c>
    </row>
    <row r="53" spans="1:3" x14ac:dyDescent="0.2">
      <c r="B53" s="18"/>
      <c r="C53" s="20"/>
    </row>
    <row r="55" spans="1:3" ht="15" x14ac:dyDescent="0.25">
      <c r="B55" s="22" t="s">
        <v>25</v>
      </c>
    </row>
    <row r="72" spans="2:7" x14ac:dyDescent="0.2">
      <c r="B72" t="s">
        <v>26</v>
      </c>
    </row>
    <row r="74" spans="2:7" ht="15" thickBot="1" x14ac:dyDescent="0.25">
      <c r="B74" t="s">
        <v>29</v>
      </c>
      <c r="D74" t="s">
        <v>30</v>
      </c>
      <c r="E74" t="s">
        <v>22</v>
      </c>
    </row>
    <row r="75" spans="2:7" x14ac:dyDescent="0.2">
      <c r="B75" s="29" t="s">
        <v>27</v>
      </c>
      <c r="C75" s="30"/>
      <c r="D75" s="25">
        <v>0.41</v>
      </c>
      <c r="E75" s="31">
        <v>4.1500000000000002E-2</v>
      </c>
      <c r="G75" t="s">
        <v>31</v>
      </c>
    </row>
    <row r="76" spans="2:7" ht="15" thickBot="1" x14ac:dyDescent="0.25">
      <c r="B76" s="26" t="s">
        <v>28</v>
      </c>
      <c r="C76" s="27"/>
      <c r="D76" s="28">
        <f>1-D75</f>
        <v>0.59000000000000008</v>
      </c>
      <c r="G76" t="s">
        <v>32</v>
      </c>
    </row>
    <row r="77" spans="2:7" x14ac:dyDescent="0.2">
      <c r="G77" t="s">
        <v>54</v>
      </c>
    </row>
    <row r="78" spans="2:7" ht="15" thickBot="1" x14ac:dyDescent="0.25"/>
    <row r="79" spans="2:7" ht="17.25" thickBot="1" x14ac:dyDescent="0.25">
      <c r="B79" t="s">
        <v>33</v>
      </c>
      <c r="C79" s="37">
        <v>253.56</v>
      </c>
      <c r="D79" s="34">
        <v>45447</v>
      </c>
      <c r="E79">
        <f>C79</f>
        <v>253.56</v>
      </c>
    </row>
    <row r="80" spans="2:7" ht="17.25" thickBot="1" x14ac:dyDescent="0.25">
      <c r="B80" t="s">
        <v>34</v>
      </c>
      <c r="C80" s="37">
        <v>61.3</v>
      </c>
      <c r="D80" s="34">
        <v>45447</v>
      </c>
      <c r="E80">
        <f t="shared" ref="E80:E99" si="0">C80</f>
        <v>61.3</v>
      </c>
    </row>
    <row r="81" spans="2:20" ht="17.25" thickBot="1" x14ac:dyDescent="0.25">
      <c r="B81" t="s">
        <v>35</v>
      </c>
      <c r="C81" s="37">
        <v>36.880000000000003</v>
      </c>
      <c r="D81" s="34">
        <v>45447</v>
      </c>
      <c r="E81">
        <f t="shared" si="0"/>
        <v>36.880000000000003</v>
      </c>
    </row>
    <row r="82" spans="2:20" ht="17.25" thickBot="1" x14ac:dyDescent="0.25">
      <c r="B82" t="s">
        <v>36</v>
      </c>
      <c r="C82" s="37">
        <v>23.7</v>
      </c>
      <c r="D82" s="34">
        <v>45447</v>
      </c>
      <c r="E82">
        <f t="shared" si="0"/>
        <v>23.7</v>
      </c>
    </row>
    <row r="83" spans="2:20" ht="17.25" thickBot="1" x14ac:dyDescent="0.25">
      <c r="B83" t="s">
        <v>37</v>
      </c>
      <c r="C83" s="37">
        <v>34.76</v>
      </c>
      <c r="D83" s="34">
        <v>45447</v>
      </c>
      <c r="E83">
        <f t="shared" si="0"/>
        <v>34.76</v>
      </c>
    </row>
    <row r="84" spans="2:20" ht="17.25" thickBot="1" x14ac:dyDescent="0.25">
      <c r="B84" t="s">
        <v>38</v>
      </c>
      <c r="C84" s="37">
        <v>141.83000000000001</v>
      </c>
      <c r="D84" s="34">
        <v>45447</v>
      </c>
      <c r="E84">
        <f t="shared" si="0"/>
        <v>141.83000000000001</v>
      </c>
    </row>
    <row r="85" spans="2:20" ht="17.25" thickBot="1" x14ac:dyDescent="0.25">
      <c r="B85" t="s">
        <v>39</v>
      </c>
      <c r="C85" s="37">
        <v>13.15</v>
      </c>
      <c r="D85" s="34">
        <v>45447</v>
      </c>
      <c r="E85">
        <f t="shared" si="0"/>
        <v>13.15</v>
      </c>
    </row>
    <row r="86" spans="2:20" ht="17.25" thickBot="1" x14ac:dyDescent="0.25">
      <c r="B86" t="s">
        <v>40</v>
      </c>
      <c r="C86" s="37">
        <v>39.6</v>
      </c>
      <c r="D86" s="34">
        <v>45617</v>
      </c>
      <c r="E86">
        <f t="shared" si="0"/>
        <v>39.6</v>
      </c>
    </row>
    <row r="87" spans="2:20" ht="17.25" thickBot="1" x14ac:dyDescent="0.25">
      <c r="B87" t="s">
        <v>41</v>
      </c>
      <c r="C87" s="37">
        <v>101.97</v>
      </c>
      <c r="D87" s="34">
        <v>45447</v>
      </c>
      <c r="E87">
        <f t="shared" si="0"/>
        <v>101.97</v>
      </c>
    </row>
    <row r="88" spans="2:20" ht="17.25" thickBot="1" x14ac:dyDescent="0.25">
      <c r="B88" t="s">
        <v>42</v>
      </c>
      <c r="C88" s="37">
        <v>24</v>
      </c>
      <c r="D88" s="34">
        <v>45447</v>
      </c>
      <c r="E88">
        <f t="shared" si="0"/>
        <v>24</v>
      </c>
    </row>
    <row r="89" spans="2:20" ht="14.25" customHeight="1" thickBot="1" x14ac:dyDescent="0.25">
      <c r="B89" t="s">
        <v>43</v>
      </c>
      <c r="C89" s="37">
        <v>121.85</v>
      </c>
      <c r="D89" s="34">
        <v>45447</v>
      </c>
      <c r="E89">
        <f t="shared" si="0"/>
        <v>121.85</v>
      </c>
      <c r="O89" s="32"/>
    </row>
    <row r="90" spans="2:20" ht="15" customHeight="1" thickBot="1" x14ac:dyDescent="0.25">
      <c r="B90" t="s">
        <v>44</v>
      </c>
      <c r="C90" s="37">
        <v>558.54999999999995</v>
      </c>
      <c r="D90" s="34">
        <v>45447</v>
      </c>
      <c r="E90">
        <f t="shared" si="0"/>
        <v>558.54999999999995</v>
      </c>
      <c r="R90" s="33"/>
      <c r="S90" s="33"/>
      <c r="T90" s="33"/>
    </row>
    <row r="91" spans="2:20" ht="17.25" thickBot="1" x14ac:dyDescent="0.25">
      <c r="B91" t="s">
        <v>45</v>
      </c>
      <c r="C91" s="37">
        <v>61.75</v>
      </c>
      <c r="D91" s="34">
        <v>45447</v>
      </c>
      <c r="E91">
        <f t="shared" si="0"/>
        <v>61.75</v>
      </c>
      <c r="R91" s="33"/>
      <c r="S91" s="33"/>
      <c r="T91" s="33"/>
    </row>
    <row r="92" spans="2:20" ht="17.25" thickBot="1" x14ac:dyDescent="0.25">
      <c r="B92" t="s">
        <v>46</v>
      </c>
      <c r="C92" s="37">
        <v>72.239999999999995</v>
      </c>
      <c r="D92" s="34">
        <v>45447</v>
      </c>
      <c r="E92">
        <f t="shared" si="0"/>
        <v>72.239999999999995</v>
      </c>
      <c r="R92" s="33"/>
      <c r="S92" s="33"/>
      <c r="T92" s="33"/>
    </row>
    <row r="93" spans="2:20" ht="17.25" thickBot="1" x14ac:dyDescent="0.25">
      <c r="B93" t="s">
        <v>47</v>
      </c>
      <c r="C93" s="37">
        <v>84.1</v>
      </c>
      <c r="D93" s="34">
        <v>45447</v>
      </c>
      <c r="E93">
        <f t="shared" si="0"/>
        <v>84.1</v>
      </c>
      <c r="R93" s="33"/>
      <c r="S93" s="33"/>
      <c r="T93" s="33"/>
    </row>
    <row r="94" spans="2:20" ht="17.25" thickBot="1" x14ac:dyDescent="0.25">
      <c r="B94" t="s">
        <v>48</v>
      </c>
      <c r="C94" s="37">
        <v>49.2</v>
      </c>
      <c r="D94" s="34">
        <v>45447</v>
      </c>
      <c r="E94">
        <f t="shared" si="0"/>
        <v>49.2</v>
      </c>
      <c r="R94" s="33"/>
      <c r="S94" s="33"/>
      <c r="T94" s="33"/>
    </row>
    <row r="95" spans="2:20" ht="17.25" thickBot="1" x14ac:dyDescent="0.25">
      <c r="B95" t="s">
        <v>49</v>
      </c>
      <c r="C95" s="37">
        <v>23.22</v>
      </c>
      <c r="D95" s="34">
        <v>45447</v>
      </c>
      <c r="E95">
        <f t="shared" si="0"/>
        <v>23.22</v>
      </c>
      <c r="R95" s="33"/>
      <c r="S95" s="33"/>
      <c r="T95" s="33"/>
    </row>
    <row r="96" spans="2:20" ht="17.25" thickBot="1" x14ac:dyDescent="0.25">
      <c r="B96" t="s">
        <v>50</v>
      </c>
      <c r="C96" s="37">
        <v>6.02</v>
      </c>
      <c r="D96" s="34">
        <v>45443</v>
      </c>
      <c r="E96">
        <f t="shared" si="0"/>
        <v>6.02</v>
      </c>
      <c r="R96" s="33"/>
      <c r="S96" s="33"/>
      <c r="T96" s="33"/>
    </row>
    <row r="97" spans="2:20" ht="17.25" thickBot="1" x14ac:dyDescent="0.25">
      <c r="B97" t="s">
        <v>51</v>
      </c>
      <c r="C97" s="37">
        <v>34.619999999999997</v>
      </c>
      <c r="D97" s="34">
        <v>45447</v>
      </c>
      <c r="E97">
        <f t="shared" si="0"/>
        <v>34.619999999999997</v>
      </c>
      <c r="R97" s="33"/>
      <c r="S97" s="33"/>
      <c r="T97" s="33"/>
    </row>
    <row r="98" spans="2:20" ht="17.25" thickBot="1" x14ac:dyDescent="0.25">
      <c r="B98" t="s">
        <v>52</v>
      </c>
      <c r="C98" s="37">
        <v>231.19</v>
      </c>
      <c r="D98" s="34">
        <v>45447</v>
      </c>
      <c r="E98">
        <f t="shared" si="0"/>
        <v>231.19</v>
      </c>
      <c r="R98" s="33"/>
      <c r="S98" s="33"/>
      <c r="T98" s="33"/>
    </row>
    <row r="99" spans="2:20" ht="17.25" thickBot="1" x14ac:dyDescent="0.25">
      <c r="B99" t="s">
        <v>53</v>
      </c>
      <c r="C99" s="38">
        <v>8.26</v>
      </c>
      <c r="D99" s="36">
        <v>45447</v>
      </c>
      <c r="E99">
        <f t="shared" si="0"/>
        <v>8.26</v>
      </c>
      <c r="R99" s="33"/>
      <c r="S99" s="33"/>
      <c r="T99" s="33"/>
    </row>
    <row r="100" spans="2:20" ht="17.25" thickBot="1" x14ac:dyDescent="0.25">
      <c r="R100" s="33"/>
      <c r="S100" s="33"/>
      <c r="T100" s="33"/>
    </row>
    <row r="101" spans="2:20" ht="17.25" thickBot="1" x14ac:dyDescent="0.3">
      <c r="B101" s="1" t="s">
        <v>55</v>
      </c>
      <c r="C101">
        <f>AVERAGE(E79:E100)</f>
        <v>94.36904761904762</v>
      </c>
      <c r="D101" t="s">
        <v>56</v>
      </c>
      <c r="F101">
        <f>C101/100</f>
        <v>0.94369047619047619</v>
      </c>
      <c r="G101" t="s">
        <v>57</v>
      </c>
      <c r="R101" s="33"/>
      <c r="S101" s="33"/>
      <c r="T101" s="33"/>
    </row>
    <row r="102" spans="2:20" ht="17.25" thickBot="1" x14ac:dyDescent="0.25">
      <c r="R102" s="33"/>
      <c r="S102" s="33"/>
      <c r="T102" s="33"/>
    </row>
    <row r="103" spans="2:20" ht="17.25" thickBot="1" x14ac:dyDescent="0.3">
      <c r="B103" s="1" t="s">
        <v>58</v>
      </c>
      <c r="R103" s="33"/>
      <c r="S103" s="33"/>
      <c r="T103" s="33"/>
    </row>
    <row r="104" spans="2:20" ht="17.25" thickBot="1" x14ac:dyDescent="0.25">
      <c r="R104" s="33"/>
      <c r="S104" s="33"/>
      <c r="T104" s="33"/>
    </row>
    <row r="105" spans="2:20" ht="17.25" thickBot="1" x14ac:dyDescent="0.25">
      <c r="B105" s="23" t="s">
        <v>21</v>
      </c>
      <c r="C105" s="23" t="s">
        <v>59</v>
      </c>
      <c r="D105" s="23" t="s">
        <v>60</v>
      </c>
      <c r="E105" s="23"/>
      <c r="F105" s="23" t="s">
        <v>61</v>
      </c>
      <c r="G105" s="44" t="s">
        <v>62</v>
      </c>
      <c r="H105" s="46" t="s">
        <v>63</v>
      </c>
      <c r="R105" s="33"/>
      <c r="S105" s="33"/>
      <c r="T105" s="33"/>
    </row>
    <row r="106" spans="2:20" ht="17.25" thickBot="1" x14ac:dyDescent="0.25">
      <c r="B106" s="41" t="s">
        <v>5</v>
      </c>
      <c r="C106" s="42">
        <f>C46</f>
        <v>4.1500000000000002E-2</v>
      </c>
      <c r="D106" s="42">
        <f>C106+0.94369%</f>
        <v>5.09369E-2</v>
      </c>
      <c r="E106" s="23"/>
      <c r="F106" s="24">
        <f>D75</f>
        <v>0.41</v>
      </c>
      <c r="G106" s="45">
        <v>0.59</v>
      </c>
      <c r="H106" s="47">
        <f>C106*F106+D106*G106</f>
        <v>4.7067770999999994E-2</v>
      </c>
      <c r="J106" t="s">
        <v>64</v>
      </c>
      <c r="R106" s="33"/>
      <c r="S106" s="33"/>
      <c r="T106" s="33"/>
    </row>
    <row r="107" spans="2:20" ht="17.25" thickBot="1" x14ac:dyDescent="0.25">
      <c r="B107" s="41">
        <v>1</v>
      </c>
      <c r="C107" s="42">
        <f t="shared" ref="C107:C112" si="1">C47</f>
        <v>0.05</v>
      </c>
      <c r="D107" s="42">
        <f t="shared" ref="D107:D112" si="2">C107+0.94369%</f>
        <v>5.9436900000000001E-2</v>
      </c>
      <c r="E107" s="23"/>
      <c r="F107" s="43">
        <v>0.41</v>
      </c>
      <c r="G107" s="45">
        <f>1-F107</f>
        <v>0.59000000000000008</v>
      </c>
      <c r="H107" s="47">
        <f t="shared" ref="H107:H110" si="3">C107*F107+D107*G107</f>
        <v>5.5567771000000002E-2</v>
      </c>
      <c r="J107" t="s">
        <v>65</v>
      </c>
      <c r="R107" s="33"/>
      <c r="S107" s="33"/>
      <c r="T107" s="33"/>
    </row>
    <row r="108" spans="2:20" ht="17.25" thickBot="1" x14ac:dyDescent="0.25">
      <c r="B108" s="41">
        <v>2</v>
      </c>
      <c r="C108" s="42">
        <f t="shared" si="1"/>
        <v>5.2999999999999999E-2</v>
      </c>
      <c r="D108" s="42">
        <f t="shared" si="2"/>
        <v>6.2436899999999997E-2</v>
      </c>
      <c r="E108" s="23"/>
      <c r="F108" s="43">
        <v>0.4</v>
      </c>
      <c r="G108" s="45">
        <f t="shared" ref="G108:G112" si="4">1-F108</f>
        <v>0.6</v>
      </c>
      <c r="H108" s="47">
        <f t="shared" si="3"/>
        <v>5.8662140000000002E-2</v>
      </c>
      <c r="R108" s="33"/>
      <c r="S108" s="33"/>
      <c r="T108" s="33"/>
    </row>
    <row r="109" spans="2:20" ht="17.25" thickBot="1" x14ac:dyDescent="0.25">
      <c r="B109" s="41">
        <v>3</v>
      </c>
      <c r="C109" s="42">
        <f t="shared" si="1"/>
        <v>0.06</v>
      </c>
      <c r="D109" s="42">
        <f t="shared" si="2"/>
        <v>6.9436899999999996E-2</v>
      </c>
      <c r="E109" s="23"/>
      <c r="F109" s="43">
        <v>0.39</v>
      </c>
      <c r="G109" s="45">
        <f t="shared" si="4"/>
        <v>0.61</v>
      </c>
      <c r="H109" s="47">
        <f t="shared" si="3"/>
        <v>6.5756508999999991E-2</v>
      </c>
      <c r="R109" s="33"/>
      <c r="S109" s="33"/>
      <c r="T109" s="33"/>
    </row>
    <row r="110" spans="2:20" ht="17.25" thickBot="1" x14ac:dyDescent="0.25">
      <c r="B110" s="41">
        <v>4</v>
      </c>
      <c r="C110" s="42">
        <f t="shared" si="1"/>
        <v>5.2999999999999999E-2</v>
      </c>
      <c r="D110" s="42">
        <f t="shared" si="2"/>
        <v>6.2436899999999997E-2</v>
      </c>
      <c r="E110" s="23"/>
      <c r="F110" s="43">
        <v>0.38</v>
      </c>
      <c r="G110" s="45">
        <f t="shared" si="4"/>
        <v>0.62</v>
      </c>
      <c r="H110" s="47">
        <f t="shared" si="3"/>
        <v>5.8850877999999995E-2</v>
      </c>
      <c r="R110" s="33"/>
      <c r="S110" s="33"/>
      <c r="T110" s="33"/>
    </row>
    <row r="111" spans="2:20" ht="17.25" thickBot="1" x14ac:dyDescent="0.25">
      <c r="B111" s="41">
        <v>5</v>
      </c>
      <c r="C111" s="42">
        <f t="shared" si="1"/>
        <v>0.05</v>
      </c>
      <c r="D111" s="42">
        <f t="shared" si="2"/>
        <v>5.9436900000000001E-2</v>
      </c>
      <c r="E111" s="23"/>
      <c r="F111" s="43">
        <v>0.37</v>
      </c>
      <c r="G111" s="45">
        <f t="shared" si="4"/>
        <v>0.63</v>
      </c>
      <c r="H111" s="48">
        <f>C111*F111+D111*G111</f>
        <v>5.5945247000000004E-2</v>
      </c>
      <c r="R111" s="35"/>
      <c r="S111" s="35"/>
      <c r="T111" s="35"/>
    </row>
    <row r="112" spans="2:20" x14ac:dyDescent="0.2">
      <c r="B112" t="s">
        <v>75</v>
      </c>
      <c r="C112" s="42">
        <f t="shared" si="1"/>
        <v>4.24E-2</v>
      </c>
      <c r="D112" s="42">
        <f t="shared" si="2"/>
        <v>5.1836899999999998E-2</v>
      </c>
      <c r="F112" s="52">
        <v>0.37</v>
      </c>
      <c r="G112" s="53">
        <f t="shared" si="4"/>
        <v>0.63</v>
      </c>
      <c r="H112" s="54">
        <f>C112*F112+D112*G112</f>
        <v>4.8345247000000001E-2</v>
      </c>
    </row>
    <row r="131" spans="2:3" ht="15" x14ac:dyDescent="0.25">
      <c r="B131" s="22" t="s">
        <v>71</v>
      </c>
    </row>
    <row r="133" spans="2:3" x14ac:dyDescent="0.2">
      <c r="B133" t="s">
        <v>66</v>
      </c>
    </row>
    <row r="134" spans="2:3" x14ac:dyDescent="0.2">
      <c r="B134" t="s">
        <v>67</v>
      </c>
    </row>
    <row r="135" spans="2:3" x14ac:dyDescent="0.2">
      <c r="B135" t="s">
        <v>68</v>
      </c>
    </row>
    <row r="136" spans="2:3" ht="15" x14ac:dyDescent="0.25">
      <c r="B136" t="s">
        <v>69</v>
      </c>
    </row>
    <row r="137" spans="2:3" x14ac:dyDescent="0.2">
      <c r="B137" t="s">
        <v>70</v>
      </c>
    </row>
    <row r="139" spans="2:3" x14ac:dyDescent="0.2">
      <c r="B139" s="23" t="s">
        <v>21</v>
      </c>
      <c r="C139" s="23" t="s">
        <v>72</v>
      </c>
    </row>
    <row r="140" spans="2:3" x14ac:dyDescent="0.2">
      <c r="B140" s="49" t="s">
        <v>5</v>
      </c>
      <c r="C140" s="23">
        <v>1.1200000000000001</v>
      </c>
    </row>
    <row r="141" spans="2:3" x14ac:dyDescent="0.2">
      <c r="B141" s="49">
        <v>1</v>
      </c>
      <c r="C141" s="23">
        <v>1.1000000000000001</v>
      </c>
    </row>
    <row r="142" spans="2:3" x14ac:dyDescent="0.2">
      <c r="B142" s="49">
        <v>2</v>
      </c>
      <c r="C142" s="23">
        <v>1.05</v>
      </c>
    </row>
    <row r="143" spans="2:3" x14ac:dyDescent="0.2">
      <c r="B143" s="49">
        <v>3</v>
      </c>
      <c r="C143" s="23">
        <v>1.02</v>
      </c>
    </row>
    <row r="144" spans="2:3" x14ac:dyDescent="0.2">
      <c r="B144" s="49">
        <v>4</v>
      </c>
      <c r="C144" s="23">
        <v>1</v>
      </c>
    </row>
    <row r="145" spans="2:6" x14ac:dyDescent="0.2">
      <c r="B145" s="49">
        <v>5</v>
      </c>
      <c r="C145" s="23">
        <v>1</v>
      </c>
    </row>
    <row r="146" spans="2:6" x14ac:dyDescent="0.2">
      <c r="B146" t="s">
        <v>75</v>
      </c>
      <c r="C146" s="51">
        <v>1</v>
      </c>
    </row>
    <row r="150" spans="2:6" x14ac:dyDescent="0.2">
      <c r="C150" s="50"/>
    </row>
    <row r="151" spans="2:6" x14ac:dyDescent="0.2">
      <c r="C151" s="50"/>
    </row>
    <row r="152" spans="2:6" x14ac:dyDescent="0.2">
      <c r="B152" s="217" t="s">
        <v>73</v>
      </c>
      <c r="C152" s="217"/>
    </row>
    <row r="153" spans="2:6" x14ac:dyDescent="0.2">
      <c r="B153" s="217"/>
      <c r="C153" s="217"/>
    </row>
    <row r="155" spans="2:6" x14ac:dyDescent="0.2">
      <c r="B155" t="s">
        <v>74</v>
      </c>
    </row>
    <row r="156" spans="2:6" ht="15" thickBot="1" x14ac:dyDescent="0.25"/>
    <row r="157" spans="2:6" x14ac:dyDescent="0.2">
      <c r="B157" s="23" t="s">
        <v>21</v>
      </c>
      <c r="C157" s="23" t="s">
        <v>76</v>
      </c>
      <c r="D157" s="23" t="s">
        <v>22</v>
      </c>
      <c r="E157" s="44" t="s">
        <v>25</v>
      </c>
      <c r="F157" s="58" t="s">
        <v>73</v>
      </c>
    </row>
    <row r="158" spans="2:6" x14ac:dyDescent="0.2">
      <c r="B158" s="55" t="s">
        <v>5</v>
      </c>
      <c r="C158" s="56">
        <f>C17</f>
        <v>4.48E-2</v>
      </c>
      <c r="D158" s="42">
        <f>H106</f>
        <v>4.7067770999999994E-2</v>
      </c>
      <c r="E158" s="44">
        <f>C140</f>
        <v>1.1200000000000001</v>
      </c>
      <c r="F158" s="59">
        <f>C158+(D158*E158)</f>
        <v>9.7515903520000002E-2</v>
      </c>
    </row>
    <row r="159" spans="2:6" x14ac:dyDescent="0.2">
      <c r="B159" s="55">
        <v>1</v>
      </c>
      <c r="C159" s="56">
        <f t="shared" ref="C159:C163" si="5">C18</f>
        <v>0.05</v>
      </c>
      <c r="D159" s="42">
        <f t="shared" ref="D159:D164" si="6">H107</f>
        <v>5.5567771000000002E-2</v>
      </c>
      <c r="E159" s="44">
        <f t="shared" ref="E159:E164" si="7">C141</f>
        <v>1.1000000000000001</v>
      </c>
      <c r="F159" s="59">
        <f t="shared" ref="F159:F163" si="8">C159+(D159*E159)</f>
        <v>0.11112454810000001</v>
      </c>
    </row>
    <row r="160" spans="2:6" x14ac:dyDescent="0.2">
      <c r="B160" s="55">
        <v>2</v>
      </c>
      <c r="C160" s="56">
        <f t="shared" si="5"/>
        <v>4.4999999999999998E-2</v>
      </c>
      <c r="D160" s="42">
        <f t="shared" si="6"/>
        <v>5.8662140000000002E-2</v>
      </c>
      <c r="E160" s="44">
        <f t="shared" si="7"/>
        <v>1.05</v>
      </c>
      <c r="F160" s="59">
        <f t="shared" si="8"/>
        <v>0.106595247</v>
      </c>
    </row>
    <row r="161" spans="2:6" x14ac:dyDescent="0.2">
      <c r="B161" s="55">
        <v>3</v>
      </c>
      <c r="C161" s="56">
        <f t="shared" si="5"/>
        <v>0.04</v>
      </c>
      <c r="D161" s="42">
        <f t="shared" si="6"/>
        <v>6.5756508999999991E-2</v>
      </c>
      <c r="E161" s="44">
        <f t="shared" si="7"/>
        <v>1.02</v>
      </c>
      <c r="F161" s="59">
        <f t="shared" si="8"/>
        <v>0.10707163917999998</v>
      </c>
    </row>
    <row r="162" spans="2:6" x14ac:dyDescent="0.2">
      <c r="B162" s="55">
        <v>4</v>
      </c>
      <c r="C162" s="56">
        <f t="shared" si="5"/>
        <v>3.5000000000000003E-2</v>
      </c>
      <c r="D162" s="42">
        <f t="shared" si="6"/>
        <v>5.8850877999999995E-2</v>
      </c>
      <c r="E162" s="44">
        <f t="shared" si="7"/>
        <v>1</v>
      </c>
      <c r="F162" s="59">
        <f t="shared" si="8"/>
        <v>9.3850877999999999E-2</v>
      </c>
    </row>
    <row r="163" spans="2:6" x14ac:dyDescent="0.2">
      <c r="B163" s="55">
        <v>5</v>
      </c>
      <c r="C163" s="56">
        <f t="shared" si="5"/>
        <v>0.03</v>
      </c>
      <c r="D163" s="42">
        <f t="shared" si="6"/>
        <v>5.5945247000000004E-2</v>
      </c>
      <c r="E163" s="44">
        <f t="shared" si="7"/>
        <v>1</v>
      </c>
      <c r="F163" s="59">
        <f t="shared" si="8"/>
        <v>8.5945247000000002E-2</v>
      </c>
    </row>
    <row r="164" spans="2:6" x14ac:dyDescent="0.2">
      <c r="B164" s="55" t="s">
        <v>75</v>
      </c>
      <c r="C164" s="56"/>
      <c r="D164" s="42">
        <f t="shared" si="6"/>
        <v>4.8345247000000001E-2</v>
      </c>
      <c r="E164" s="44">
        <f t="shared" si="7"/>
        <v>1</v>
      </c>
      <c r="F164" s="59">
        <f>8%</f>
        <v>0.08</v>
      </c>
    </row>
    <row r="171" spans="2:6" x14ac:dyDescent="0.2">
      <c r="B171" s="218" t="s">
        <v>78</v>
      </c>
      <c r="C171" s="218"/>
    </row>
    <row r="172" spans="2:6" x14ac:dyDescent="0.2">
      <c r="B172" s="218"/>
      <c r="C172" s="218"/>
    </row>
    <row r="174" spans="2:6" x14ac:dyDescent="0.2">
      <c r="B174" t="s">
        <v>79</v>
      </c>
      <c r="C174" s="50">
        <v>261</v>
      </c>
    </row>
    <row r="175" spans="2:6" x14ac:dyDescent="0.2">
      <c r="B175" t="s">
        <v>80</v>
      </c>
      <c r="C175" s="60">
        <f>720681656/1000000</f>
        <v>720.68165599999998</v>
      </c>
      <c r="D175" t="s">
        <v>81</v>
      </c>
    </row>
    <row r="177" spans="2:3" x14ac:dyDescent="0.2">
      <c r="B177" t="s">
        <v>82</v>
      </c>
      <c r="C177" s="61">
        <f>C174*C175</f>
        <v>188097.912216</v>
      </c>
    </row>
  </sheetData>
  <mergeCells count="3">
    <mergeCell ref="B152:C153"/>
    <mergeCell ref="B171:C172"/>
    <mergeCell ref="B3:I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1332-53B5-4406-934C-F104BD649E00}">
  <sheetPr>
    <tabColor rgb="FFFFFF00"/>
  </sheetPr>
  <dimension ref="A4:R121"/>
  <sheetViews>
    <sheetView showGridLines="0" showRowColHeaders="0" workbookViewId="0">
      <selection activeCell="C58" sqref="C58"/>
    </sheetView>
  </sheetViews>
  <sheetFormatPr defaultRowHeight="14.25" x14ac:dyDescent="0.2"/>
  <cols>
    <col min="2" max="2" width="17" customWidth="1"/>
    <col min="3" max="3" width="11.375" customWidth="1"/>
    <col min="4" max="5" width="11.125" customWidth="1"/>
    <col min="6" max="15" width="10" bestFit="1" customWidth="1"/>
    <col min="17" max="17" width="11" bestFit="1" customWidth="1"/>
    <col min="18" max="18" width="10" bestFit="1" customWidth="1"/>
  </cols>
  <sheetData>
    <row r="4" spans="2:7" x14ac:dyDescent="0.2">
      <c r="B4" s="219" t="s">
        <v>77</v>
      </c>
      <c r="C4" s="219"/>
      <c r="D4" s="219"/>
      <c r="E4" s="219"/>
      <c r="F4" s="219"/>
      <c r="G4" s="219"/>
    </row>
    <row r="5" spans="2:7" x14ac:dyDescent="0.2">
      <c r="B5" s="219"/>
      <c r="C5" s="219"/>
      <c r="D5" s="219"/>
      <c r="E5" s="219"/>
      <c r="F5" s="219"/>
      <c r="G5" s="219"/>
    </row>
    <row r="6" spans="2:7" x14ac:dyDescent="0.2">
      <c r="B6" s="219"/>
      <c r="C6" s="219"/>
      <c r="D6" s="219"/>
      <c r="E6" s="219"/>
      <c r="F6" s="219"/>
      <c r="G6" s="219"/>
    </row>
    <row r="7" spans="2:7" x14ac:dyDescent="0.2">
      <c r="B7" s="219"/>
      <c r="C7" s="219"/>
      <c r="D7" s="219"/>
      <c r="E7" s="219"/>
      <c r="F7" s="219"/>
      <c r="G7" s="219"/>
    </row>
    <row r="10" spans="2:7" ht="15" x14ac:dyDescent="0.25">
      <c r="B10" s="1" t="s">
        <v>83</v>
      </c>
    </row>
    <row r="11" spans="2:7" ht="15" x14ac:dyDescent="0.25">
      <c r="B11" t="s">
        <v>85</v>
      </c>
    </row>
    <row r="13" spans="2:7" ht="15" x14ac:dyDescent="0.25">
      <c r="B13" s="220" t="s">
        <v>84</v>
      </c>
      <c r="C13" s="220"/>
      <c r="D13" s="220"/>
      <c r="E13" s="220"/>
    </row>
    <row r="15" spans="2:7" x14ac:dyDescent="0.2">
      <c r="B15" s="23" t="s">
        <v>21</v>
      </c>
      <c r="C15" s="23" t="s">
        <v>4</v>
      </c>
    </row>
    <row r="16" spans="2:7" x14ac:dyDescent="0.2">
      <c r="B16" s="41" t="s">
        <v>5</v>
      </c>
      <c r="C16" s="62">
        <v>4.48E-2</v>
      </c>
    </row>
    <row r="17" spans="2:3" x14ac:dyDescent="0.2">
      <c r="B17" s="41">
        <v>1</v>
      </c>
      <c r="C17" s="62">
        <v>0.05</v>
      </c>
    </row>
    <row r="18" spans="2:3" x14ac:dyDescent="0.2">
      <c r="B18" s="41">
        <v>2</v>
      </c>
      <c r="C18" s="62">
        <v>4.4999999999999998E-2</v>
      </c>
    </row>
    <row r="19" spans="2:3" x14ac:dyDescent="0.2">
      <c r="B19" s="41">
        <v>3</v>
      </c>
      <c r="C19" s="62">
        <v>0.04</v>
      </c>
    </row>
    <row r="20" spans="2:3" x14ac:dyDescent="0.2">
      <c r="B20" s="41">
        <v>4</v>
      </c>
      <c r="C20" s="62">
        <v>3.5000000000000003E-2</v>
      </c>
    </row>
    <row r="21" spans="2:3" x14ac:dyDescent="0.2">
      <c r="B21" s="41">
        <v>5</v>
      </c>
      <c r="C21" s="62">
        <v>0.03</v>
      </c>
    </row>
    <row r="22" spans="2:3" x14ac:dyDescent="0.2">
      <c r="C22" s="2"/>
    </row>
    <row r="24" spans="2:3" x14ac:dyDescent="0.2">
      <c r="B24" t="s">
        <v>86</v>
      </c>
    </row>
    <row r="53" spans="2:6" x14ac:dyDescent="0.2">
      <c r="B53" t="s">
        <v>21</v>
      </c>
      <c r="C53" t="s">
        <v>87</v>
      </c>
      <c r="D53" t="s">
        <v>88</v>
      </c>
    </row>
    <row r="54" spans="2:6" x14ac:dyDescent="0.2">
      <c r="B54" t="s">
        <v>5</v>
      </c>
      <c r="C54" t="s">
        <v>91</v>
      </c>
      <c r="D54" s="31">
        <v>1.47E-2</v>
      </c>
    </row>
    <row r="55" spans="2:6" x14ac:dyDescent="0.2">
      <c r="B55">
        <v>1</v>
      </c>
      <c r="C55" t="s">
        <v>91</v>
      </c>
      <c r="D55" s="31">
        <v>1.47E-2</v>
      </c>
    </row>
    <row r="56" spans="2:6" x14ac:dyDescent="0.2">
      <c r="B56">
        <v>2</v>
      </c>
      <c r="C56" t="s">
        <v>91</v>
      </c>
      <c r="D56" s="31">
        <v>1.47E-2</v>
      </c>
    </row>
    <row r="57" spans="2:6" x14ac:dyDescent="0.2">
      <c r="B57">
        <v>3</v>
      </c>
      <c r="C57" t="s">
        <v>91</v>
      </c>
      <c r="D57" s="31">
        <v>1.47E-2</v>
      </c>
    </row>
    <row r="58" spans="2:6" x14ac:dyDescent="0.2">
      <c r="B58">
        <v>4</v>
      </c>
      <c r="C58" t="s">
        <v>91</v>
      </c>
      <c r="D58" s="31">
        <v>1.47E-2</v>
      </c>
    </row>
    <row r="59" spans="2:6" x14ac:dyDescent="0.2">
      <c r="B59">
        <v>5</v>
      </c>
      <c r="C59" t="s">
        <v>91</v>
      </c>
      <c r="D59" s="31">
        <v>1.47E-2</v>
      </c>
    </row>
    <row r="60" spans="2:6" x14ac:dyDescent="0.2">
      <c r="B60" t="s">
        <v>75</v>
      </c>
      <c r="C60" t="s">
        <v>89</v>
      </c>
      <c r="D60" s="31">
        <v>2.7E-2</v>
      </c>
      <c r="F60" t="s">
        <v>90</v>
      </c>
    </row>
    <row r="63" spans="2:6" x14ac:dyDescent="0.2">
      <c r="B63" s="218" t="s">
        <v>92</v>
      </c>
      <c r="C63" s="218"/>
      <c r="D63" s="218"/>
    </row>
    <row r="64" spans="2:6" ht="15" thickBot="1" x14ac:dyDescent="0.25">
      <c r="B64" s="218"/>
      <c r="C64" s="218"/>
      <c r="D64" s="218"/>
    </row>
    <row r="65" spans="2:5" x14ac:dyDescent="0.2">
      <c r="B65" s="23" t="s">
        <v>21</v>
      </c>
      <c r="C65" s="23" t="s">
        <v>4</v>
      </c>
      <c r="D65" s="44" t="s">
        <v>88</v>
      </c>
      <c r="E65" s="64" t="s">
        <v>92</v>
      </c>
    </row>
    <row r="66" spans="2:5" x14ac:dyDescent="0.2">
      <c r="B66" s="23" t="s">
        <v>5</v>
      </c>
      <c r="C66" s="56">
        <f>C16</f>
        <v>4.48E-2</v>
      </c>
      <c r="D66" s="63">
        <v>1.47E-2</v>
      </c>
      <c r="E66" s="57">
        <f>C66+D66</f>
        <v>5.9499999999999997E-2</v>
      </c>
    </row>
    <row r="67" spans="2:5" x14ac:dyDescent="0.2">
      <c r="B67" s="23">
        <v>1</v>
      </c>
      <c r="C67" s="56">
        <f t="shared" ref="C67:C71" si="0">C17</f>
        <v>0.05</v>
      </c>
      <c r="D67" s="63">
        <v>1.47E-2</v>
      </c>
      <c r="E67" s="57">
        <f t="shared" ref="E67:E71" si="1">C67+D67</f>
        <v>6.4700000000000008E-2</v>
      </c>
    </row>
    <row r="68" spans="2:5" x14ac:dyDescent="0.2">
      <c r="B68" s="23">
        <v>2</v>
      </c>
      <c r="C68" s="56">
        <f t="shared" si="0"/>
        <v>4.4999999999999998E-2</v>
      </c>
      <c r="D68" s="63">
        <v>1.47E-2</v>
      </c>
      <c r="E68" s="57">
        <f t="shared" si="1"/>
        <v>5.9699999999999996E-2</v>
      </c>
    </row>
    <row r="69" spans="2:5" x14ac:dyDescent="0.2">
      <c r="B69" s="23">
        <v>3</v>
      </c>
      <c r="C69" s="56">
        <f t="shared" si="0"/>
        <v>0.04</v>
      </c>
      <c r="D69" s="63">
        <v>1.47E-2</v>
      </c>
      <c r="E69" s="57">
        <f t="shared" si="1"/>
        <v>5.4699999999999999E-2</v>
      </c>
    </row>
    <row r="70" spans="2:5" x14ac:dyDescent="0.2">
      <c r="B70" s="23">
        <v>4</v>
      </c>
      <c r="C70" s="56">
        <f t="shared" si="0"/>
        <v>3.5000000000000003E-2</v>
      </c>
      <c r="D70" s="63">
        <v>1.47E-2</v>
      </c>
      <c r="E70" s="57">
        <f t="shared" si="1"/>
        <v>4.9700000000000001E-2</v>
      </c>
    </row>
    <row r="71" spans="2:5" x14ac:dyDescent="0.2">
      <c r="B71" s="23">
        <v>5</v>
      </c>
      <c r="C71" s="56">
        <f t="shared" si="0"/>
        <v>0.03</v>
      </c>
      <c r="D71" s="63">
        <v>1.47E-2</v>
      </c>
      <c r="E71" s="57">
        <f t="shared" si="1"/>
        <v>4.4699999999999997E-2</v>
      </c>
    </row>
    <row r="72" spans="2:5" ht="15" thickBot="1" x14ac:dyDescent="0.25">
      <c r="B72" s="23" t="s">
        <v>75</v>
      </c>
      <c r="C72" s="56"/>
      <c r="D72" s="63">
        <v>2.7E-2</v>
      </c>
      <c r="E72" s="65">
        <f>5%</f>
        <v>0.05</v>
      </c>
    </row>
    <row r="80" spans="2:5" x14ac:dyDescent="0.2">
      <c r="B80" s="218" t="s">
        <v>93</v>
      </c>
      <c r="C80" s="221"/>
      <c r="D80" s="221"/>
    </row>
    <row r="81" spans="1:4" x14ac:dyDescent="0.2">
      <c r="B81" s="221"/>
      <c r="C81" s="221"/>
      <c r="D81" s="221"/>
    </row>
    <row r="82" spans="1:4" x14ac:dyDescent="0.2">
      <c r="A82" t="s">
        <v>96</v>
      </c>
    </row>
    <row r="83" spans="1:4" x14ac:dyDescent="0.2">
      <c r="A83" t="s">
        <v>94</v>
      </c>
    </row>
    <row r="85" spans="1:4" x14ac:dyDescent="0.2">
      <c r="A85" t="s">
        <v>95</v>
      </c>
    </row>
    <row r="99" spans="2:15" x14ac:dyDescent="0.2">
      <c r="B99" t="s">
        <v>21</v>
      </c>
      <c r="C99" t="s">
        <v>98</v>
      </c>
      <c r="D99" t="s">
        <v>57</v>
      </c>
    </row>
    <row r="100" spans="2:15" x14ac:dyDescent="0.2">
      <c r="B100">
        <v>2024</v>
      </c>
      <c r="C100" s="50">
        <v>2192.4</v>
      </c>
      <c r="D100" s="66">
        <f>C100/C106</f>
        <v>5.5409671166196162E-2</v>
      </c>
      <c r="E100" s="67">
        <f>C106</f>
        <v>39567.1</v>
      </c>
    </row>
    <row r="101" spans="2:15" x14ac:dyDescent="0.2">
      <c r="B101">
        <v>2025</v>
      </c>
      <c r="C101" s="50">
        <v>3092.7</v>
      </c>
      <c r="D101" s="66">
        <f>C101/E101</f>
        <v>7.8163423652478956E-2</v>
      </c>
      <c r="E101" s="67">
        <f>E100</f>
        <v>39567.1</v>
      </c>
    </row>
    <row r="102" spans="2:15" x14ac:dyDescent="0.2">
      <c r="B102">
        <v>2026</v>
      </c>
      <c r="C102" s="50">
        <v>2436.3000000000002</v>
      </c>
      <c r="D102" s="66">
        <f t="shared" ref="D102:D105" si="2">C102/E102</f>
        <v>6.157388335258334E-2</v>
      </c>
      <c r="E102" s="67">
        <f t="shared" ref="E102:E106" si="3">E101</f>
        <v>39567.1</v>
      </c>
    </row>
    <row r="103" spans="2:15" x14ac:dyDescent="0.2">
      <c r="B103">
        <v>2027</v>
      </c>
      <c r="C103" s="50">
        <v>3113</v>
      </c>
      <c r="D103" s="66">
        <f t="shared" si="2"/>
        <v>7.8676476163277068E-2</v>
      </c>
      <c r="E103" s="67">
        <f t="shared" si="3"/>
        <v>39567.1</v>
      </c>
    </row>
    <row r="104" spans="2:15" x14ac:dyDescent="0.2">
      <c r="B104">
        <v>2028</v>
      </c>
      <c r="C104" s="50">
        <v>4293.3999999999996</v>
      </c>
      <c r="D104" s="66">
        <f t="shared" si="2"/>
        <v>0.10850934235766584</v>
      </c>
      <c r="E104" s="67">
        <f t="shared" si="3"/>
        <v>39567.1</v>
      </c>
    </row>
    <row r="105" spans="2:15" x14ac:dyDescent="0.2">
      <c r="B105" t="s">
        <v>97</v>
      </c>
      <c r="C105" s="50">
        <v>24439.3</v>
      </c>
      <c r="D105" s="66">
        <f t="shared" si="2"/>
        <v>0.61766720330779867</v>
      </c>
      <c r="E105" s="67">
        <f t="shared" si="3"/>
        <v>39567.1</v>
      </c>
    </row>
    <row r="106" spans="2:15" x14ac:dyDescent="0.2">
      <c r="B106" t="s">
        <v>99</v>
      </c>
      <c r="C106" s="50">
        <f>SUM(C100:C105)</f>
        <v>39567.1</v>
      </c>
      <c r="D106" s="66">
        <f>SUM(D100:D105)</f>
        <v>1</v>
      </c>
      <c r="E106" s="67">
        <f t="shared" si="3"/>
        <v>39567.1</v>
      </c>
    </row>
    <row r="109" spans="2:15" x14ac:dyDescent="0.2">
      <c r="B109" t="s">
        <v>100</v>
      </c>
      <c r="E109" s="50">
        <f>AVERAGE(C100:C104)</f>
        <v>3025.5600000000004</v>
      </c>
    </row>
    <row r="110" spans="2:15" x14ac:dyDescent="0.2">
      <c r="B110" t="s">
        <v>101</v>
      </c>
      <c r="E110">
        <f>C105/E109</f>
        <v>8.0776120784251493</v>
      </c>
    </row>
    <row r="112" spans="2:15" x14ac:dyDescent="0.2">
      <c r="C112">
        <v>1</v>
      </c>
      <c r="D112">
        <v>2</v>
      </c>
      <c r="E112">
        <v>3</v>
      </c>
      <c r="F112">
        <v>4</v>
      </c>
      <c r="G112">
        <v>5</v>
      </c>
      <c r="H112">
        <v>6</v>
      </c>
      <c r="I112">
        <v>7</v>
      </c>
      <c r="J112">
        <v>8</v>
      </c>
      <c r="K112">
        <v>9</v>
      </c>
      <c r="L112">
        <v>10</v>
      </c>
      <c r="M112">
        <v>11</v>
      </c>
      <c r="N112">
        <v>12</v>
      </c>
      <c r="O112">
        <v>13</v>
      </c>
    </row>
    <row r="113" spans="2:18" x14ac:dyDescent="0.2">
      <c r="H113">
        <v>1</v>
      </c>
      <c r="I113">
        <v>2</v>
      </c>
      <c r="J113">
        <v>3</v>
      </c>
      <c r="K113">
        <v>4</v>
      </c>
      <c r="L113">
        <v>5</v>
      </c>
      <c r="M113">
        <v>6</v>
      </c>
      <c r="N113">
        <v>7</v>
      </c>
      <c r="O113">
        <v>8</v>
      </c>
      <c r="Q113" s="68">
        <f>SUM(C115:N115)</f>
        <v>36306.720000000001</v>
      </c>
      <c r="R113" s="68">
        <f>C106-Q113</f>
        <v>3260.3799999999974</v>
      </c>
    </row>
    <row r="114" spans="2:18" x14ac:dyDescent="0.2">
      <c r="B114" s="23" t="s">
        <v>21</v>
      </c>
      <c r="C114" s="23">
        <v>2024</v>
      </c>
      <c r="D114" s="23">
        <v>2025</v>
      </c>
      <c r="E114" s="23">
        <v>2026</v>
      </c>
      <c r="F114" s="23">
        <v>2027</v>
      </c>
      <c r="G114" s="23">
        <v>2028</v>
      </c>
      <c r="H114" s="23">
        <v>2029</v>
      </c>
      <c r="I114" s="23">
        <v>2030</v>
      </c>
      <c r="J114" s="23">
        <v>2031</v>
      </c>
      <c r="K114" s="23">
        <v>2032</v>
      </c>
      <c r="L114" s="23">
        <v>2033</v>
      </c>
      <c r="M114" s="23">
        <v>2034</v>
      </c>
      <c r="N114" s="23">
        <v>2035</v>
      </c>
      <c r="O114" s="23">
        <v>2036</v>
      </c>
    </row>
    <row r="115" spans="2:18" x14ac:dyDescent="0.2">
      <c r="B115" s="23" t="s">
        <v>98</v>
      </c>
      <c r="C115" s="69">
        <f>C100</f>
        <v>2192.4</v>
      </c>
      <c r="D115" s="69">
        <f>C101</f>
        <v>3092.7</v>
      </c>
      <c r="E115" s="69">
        <f>C102</f>
        <v>2436.3000000000002</v>
      </c>
      <c r="F115" s="69">
        <f>C103</f>
        <v>3113</v>
      </c>
      <c r="G115" s="69">
        <f>C104</f>
        <v>4293.3999999999996</v>
      </c>
      <c r="H115" s="69">
        <f>E109</f>
        <v>3025.5600000000004</v>
      </c>
      <c r="I115" s="69">
        <f>E109</f>
        <v>3025.5600000000004</v>
      </c>
      <c r="J115" s="69">
        <f>E109</f>
        <v>3025.5600000000004</v>
      </c>
      <c r="K115" s="69">
        <f>E109</f>
        <v>3025.5600000000004</v>
      </c>
      <c r="L115" s="69">
        <f>E109</f>
        <v>3025.5600000000004</v>
      </c>
      <c r="M115" s="69">
        <f>E109</f>
        <v>3025.5600000000004</v>
      </c>
      <c r="N115" s="69">
        <f>E109</f>
        <v>3025.5600000000004</v>
      </c>
      <c r="O115" s="69">
        <f>R113</f>
        <v>3260.3799999999974</v>
      </c>
      <c r="P115" t="s">
        <v>99</v>
      </c>
      <c r="Q115" s="50">
        <f>SUM(C115:O115)</f>
        <v>39567.1</v>
      </c>
    </row>
    <row r="116" spans="2:18" x14ac:dyDescent="0.2">
      <c r="B116" s="23" t="s">
        <v>92</v>
      </c>
      <c r="C116" s="56">
        <f>E67</f>
        <v>6.4700000000000008E-2</v>
      </c>
      <c r="D116" s="56">
        <f>E68</f>
        <v>5.9699999999999996E-2</v>
      </c>
      <c r="E116" s="56">
        <f>E69</f>
        <v>5.4699999999999999E-2</v>
      </c>
      <c r="F116" s="56">
        <f>E70</f>
        <v>4.9700000000000001E-2</v>
      </c>
      <c r="G116" s="56">
        <f>E71</f>
        <v>4.4699999999999997E-2</v>
      </c>
      <c r="H116" s="56">
        <f>E72</f>
        <v>0.05</v>
      </c>
      <c r="I116" s="56">
        <f>H116</f>
        <v>0.05</v>
      </c>
      <c r="J116" s="56">
        <f t="shared" ref="J116:O116" si="4">I116</f>
        <v>0.05</v>
      </c>
      <c r="K116" s="56">
        <f t="shared" si="4"/>
        <v>0.05</v>
      </c>
      <c r="L116" s="56">
        <f t="shared" si="4"/>
        <v>0.05</v>
      </c>
      <c r="M116" s="56">
        <f t="shared" si="4"/>
        <v>0.05</v>
      </c>
      <c r="N116" s="56">
        <f t="shared" si="4"/>
        <v>0.05</v>
      </c>
      <c r="O116" s="56">
        <f t="shared" si="4"/>
        <v>0.05</v>
      </c>
    </row>
    <row r="117" spans="2:18" x14ac:dyDescent="0.2">
      <c r="B117" s="23" t="s">
        <v>102</v>
      </c>
      <c r="C117" s="69">
        <v>1402.8</v>
      </c>
      <c r="D117" s="69">
        <v>1402.8</v>
      </c>
      <c r="E117" s="69">
        <v>1402.8</v>
      </c>
      <c r="F117" s="69">
        <v>1402.8</v>
      </c>
      <c r="G117" s="69">
        <v>1402.8</v>
      </c>
      <c r="H117" s="69">
        <v>1402.8</v>
      </c>
      <c r="I117" s="69">
        <v>1402.8</v>
      </c>
      <c r="J117" s="69">
        <v>1402.8</v>
      </c>
      <c r="K117" s="69">
        <v>1402.8</v>
      </c>
      <c r="L117" s="69">
        <v>1402.8</v>
      </c>
      <c r="M117" s="69">
        <v>1402.8</v>
      </c>
      <c r="N117" s="69">
        <v>1402.8</v>
      </c>
      <c r="O117" s="69">
        <v>1402.8</v>
      </c>
    </row>
    <row r="118" spans="2:18" x14ac:dyDescent="0.2">
      <c r="B118" t="s">
        <v>103</v>
      </c>
      <c r="C118" s="50">
        <f>C117/((1+C116)^C112)</f>
        <v>1317.5542406311638</v>
      </c>
      <c r="D118" s="50">
        <f t="shared" ref="D118:O118" si="5">D117/((1+D116)^D112)</f>
        <v>1249.1939969335972</v>
      </c>
      <c r="E118" s="50">
        <f t="shared" si="5"/>
        <v>1195.6633552730834</v>
      </c>
      <c r="F118" s="50">
        <f t="shared" si="5"/>
        <v>1155.4069308961193</v>
      </c>
      <c r="G118" s="50">
        <f t="shared" si="5"/>
        <v>1127.2955267797909</v>
      </c>
      <c r="H118" s="50">
        <f t="shared" si="5"/>
        <v>1046.7909584018612</v>
      </c>
      <c r="I118" s="50">
        <f t="shared" si="5"/>
        <v>996.94376990653438</v>
      </c>
      <c r="J118" s="50">
        <f t="shared" si="5"/>
        <v>949.47025705384237</v>
      </c>
      <c r="K118" s="50">
        <f t="shared" si="5"/>
        <v>904.25738767032601</v>
      </c>
      <c r="L118" s="50">
        <f t="shared" si="5"/>
        <v>861.19751206697708</v>
      </c>
      <c r="M118" s="50">
        <f t="shared" si="5"/>
        <v>820.18810673045436</v>
      </c>
      <c r="N118" s="50">
        <f t="shared" si="5"/>
        <v>781.13153021948051</v>
      </c>
      <c r="O118" s="50">
        <f t="shared" si="5"/>
        <v>743.93479068521935</v>
      </c>
      <c r="P118" t="s">
        <v>99</v>
      </c>
      <c r="Q118" s="50">
        <f>SUM(C118:O118)</f>
        <v>13149.028363248452</v>
      </c>
    </row>
    <row r="120" spans="2:18" ht="15" x14ac:dyDescent="0.25">
      <c r="B120" t="s">
        <v>105</v>
      </c>
      <c r="C120" s="70"/>
      <c r="D120" s="50"/>
      <c r="E120" s="50">
        <f>37152.9</f>
        <v>37152.9</v>
      </c>
    </row>
    <row r="121" spans="2:18" ht="15" x14ac:dyDescent="0.25">
      <c r="B121" t="s">
        <v>104</v>
      </c>
      <c r="E121" s="71">
        <f>E120+Q118</f>
        <v>50301.928363248451</v>
      </c>
    </row>
  </sheetData>
  <mergeCells count="4">
    <mergeCell ref="B4:G7"/>
    <mergeCell ref="B13:E13"/>
    <mergeCell ref="B63:D64"/>
    <mergeCell ref="B80:D8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88427-1A9F-4652-9072-282BA14AFA21}">
  <sheetPr>
    <tabColor rgb="FFFFFF00"/>
  </sheetPr>
  <dimension ref="B4:Q44"/>
  <sheetViews>
    <sheetView showGridLines="0" showRowColHeaders="0" topLeftCell="C1" workbookViewId="0">
      <selection activeCell="C2" sqref="C2"/>
    </sheetView>
  </sheetViews>
  <sheetFormatPr defaultRowHeight="14.25" x14ac:dyDescent="0.2"/>
  <cols>
    <col min="2" max="2" width="19.25" customWidth="1"/>
    <col min="3" max="8" width="18.125" customWidth="1"/>
    <col min="11" max="11" width="10" bestFit="1" customWidth="1"/>
    <col min="13" max="13" width="9.75" bestFit="1" customWidth="1"/>
    <col min="17" max="17" width="20.5" bestFit="1" customWidth="1"/>
  </cols>
  <sheetData>
    <row r="4" spans="2:8" x14ac:dyDescent="0.2">
      <c r="B4" s="219" t="s">
        <v>106</v>
      </c>
      <c r="C4" s="219"/>
      <c r="D4" s="219"/>
      <c r="E4" s="219"/>
      <c r="F4" s="219"/>
      <c r="G4" s="219"/>
      <c r="H4" s="219"/>
    </row>
    <row r="5" spans="2:8" x14ac:dyDescent="0.2">
      <c r="B5" s="219"/>
      <c r="C5" s="219"/>
      <c r="D5" s="219"/>
      <c r="E5" s="219"/>
      <c r="F5" s="219"/>
      <c r="G5" s="219"/>
      <c r="H5" s="219"/>
    </row>
    <row r="6" spans="2:8" x14ac:dyDescent="0.2">
      <c r="B6" s="219"/>
      <c r="C6" s="219"/>
      <c r="D6" s="219"/>
      <c r="E6" s="219"/>
      <c r="F6" s="219"/>
      <c r="G6" s="219"/>
      <c r="H6" s="219"/>
    </row>
    <row r="8" spans="2:8" x14ac:dyDescent="0.2">
      <c r="C8" s="72">
        <v>1</v>
      </c>
      <c r="D8" s="72">
        <v>2</v>
      </c>
      <c r="E8" s="72">
        <v>3</v>
      </c>
      <c r="F8" s="72">
        <v>4</v>
      </c>
      <c r="G8" s="72">
        <v>5</v>
      </c>
      <c r="H8" s="72" t="s">
        <v>75</v>
      </c>
    </row>
    <row r="9" spans="2:8" x14ac:dyDescent="0.2">
      <c r="B9" s="23" t="s">
        <v>73</v>
      </c>
      <c r="C9" s="79">
        <f>'2.Equity'!$F$159</f>
        <v>0.11112454810000001</v>
      </c>
      <c r="D9" s="79">
        <f>'2.Equity'!$F$160</f>
        <v>0.106595247</v>
      </c>
      <c r="E9" s="79">
        <f>'2.Equity'!$F$161</f>
        <v>0.10707163917999998</v>
      </c>
      <c r="F9" s="79">
        <f>'2.Equity'!$F$162</f>
        <v>9.3850877999999999E-2</v>
      </c>
      <c r="G9" s="79">
        <f>'2.Equity'!$F$163</f>
        <v>8.5945247000000002E-2</v>
      </c>
      <c r="H9" s="79">
        <f>'2.Equity'!$F$164</f>
        <v>0.08</v>
      </c>
    </row>
    <row r="10" spans="2:8" x14ac:dyDescent="0.2">
      <c r="B10" s="23" t="s">
        <v>107</v>
      </c>
      <c r="C10" s="69">
        <f>'2.Equity'!$C$177</f>
        <v>188097.912216</v>
      </c>
      <c r="D10" s="69">
        <f>'2.Equity'!$C$177</f>
        <v>188097.912216</v>
      </c>
      <c r="E10" s="69">
        <f>'2.Equity'!$C$177</f>
        <v>188097.912216</v>
      </c>
      <c r="F10" s="69">
        <f>'2.Equity'!$C$177</f>
        <v>188097.912216</v>
      </c>
      <c r="G10" s="69">
        <f>'2.Equity'!$C$177</f>
        <v>188097.912216</v>
      </c>
      <c r="H10" s="69">
        <f>'2.Equity'!$C$177</f>
        <v>188097.912216</v>
      </c>
    </row>
    <row r="11" spans="2:8" x14ac:dyDescent="0.2">
      <c r="B11" s="23" t="s">
        <v>92</v>
      </c>
      <c r="C11" s="79">
        <f>'3.Debt'!E67</f>
        <v>6.4700000000000008E-2</v>
      </c>
      <c r="D11" s="79">
        <f>'3.Debt'!E68</f>
        <v>5.9699999999999996E-2</v>
      </c>
      <c r="E11" s="79">
        <f>'3.Debt'!E69</f>
        <v>5.4699999999999999E-2</v>
      </c>
      <c r="F11" s="79">
        <f>'3.Debt'!E70</f>
        <v>4.9700000000000001E-2</v>
      </c>
      <c r="G11" s="79">
        <f>'3.Debt'!E71</f>
        <v>4.4699999999999997E-2</v>
      </c>
      <c r="H11" s="79">
        <f>'3.Debt'!E72</f>
        <v>0.05</v>
      </c>
    </row>
    <row r="12" spans="2:8" x14ac:dyDescent="0.2">
      <c r="B12" s="23" t="s">
        <v>108</v>
      </c>
      <c r="C12" s="43">
        <f>20%</f>
        <v>0.2</v>
      </c>
      <c r="D12" s="43">
        <f>20%</f>
        <v>0.2</v>
      </c>
      <c r="E12" s="43">
        <f>20%</f>
        <v>0.2</v>
      </c>
      <c r="F12" s="24">
        <v>0.21</v>
      </c>
      <c r="G12" s="24">
        <v>0.21</v>
      </c>
      <c r="H12" s="24">
        <v>0.21</v>
      </c>
    </row>
    <row r="13" spans="2:8" x14ac:dyDescent="0.2">
      <c r="B13" s="23" t="s">
        <v>109</v>
      </c>
      <c r="C13" s="80">
        <f>C11*(1-C12)</f>
        <v>5.1760000000000007E-2</v>
      </c>
      <c r="D13" s="80">
        <f t="shared" ref="D13:H13" si="0">D11*(1-D12)</f>
        <v>4.7759999999999997E-2</v>
      </c>
      <c r="E13" s="80">
        <f t="shared" si="0"/>
        <v>4.376E-2</v>
      </c>
      <c r="F13" s="80">
        <f t="shared" si="0"/>
        <v>3.9262999999999999E-2</v>
      </c>
      <c r="G13" s="80">
        <f t="shared" si="0"/>
        <v>3.5312999999999997E-2</v>
      </c>
      <c r="H13" s="80">
        <f t="shared" si="0"/>
        <v>3.9500000000000007E-2</v>
      </c>
    </row>
    <row r="14" spans="2:8" ht="15" thickBot="1" x14ac:dyDescent="0.25">
      <c r="B14" s="73" t="s">
        <v>93</v>
      </c>
      <c r="C14" s="81">
        <f>'3.Debt'!E121</f>
        <v>50301.928363248451</v>
      </c>
      <c r="D14" s="81">
        <f>C14</f>
        <v>50301.928363248451</v>
      </c>
      <c r="E14" s="81">
        <f t="shared" ref="E14:H14" si="1">D14</f>
        <v>50301.928363248451</v>
      </c>
      <c r="F14" s="81">
        <f t="shared" si="1"/>
        <v>50301.928363248451</v>
      </c>
      <c r="G14" s="81">
        <f t="shared" si="1"/>
        <v>50301.928363248451</v>
      </c>
      <c r="H14" s="81">
        <f t="shared" si="1"/>
        <v>50301.928363248451</v>
      </c>
    </row>
    <row r="15" spans="2:8" ht="15.75" thickBot="1" x14ac:dyDescent="0.3">
      <c r="B15" s="82" t="s">
        <v>106</v>
      </c>
      <c r="C15" s="83">
        <f>C9*(C10/(C10+C14))+C13*(C14/(C14+C10))</f>
        <v>9.8598737518133597E-2</v>
      </c>
      <c r="D15" s="83">
        <f t="shared" ref="D15:H15" si="2">D9*(D10/(D10+D14))+D13*(D14/(D14+D10))</f>
        <v>9.4181117977777659E-2</v>
      </c>
      <c r="E15" s="83">
        <f t="shared" si="2"/>
        <v>9.371299963202788E-2</v>
      </c>
      <c r="F15" s="83">
        <f t="shared" si="2"/>
        <v>8.2332936033319176E-2</v>
      </c>
      <c r="G15" s="83">
        <f t="shared" si="2"/>
        <v>7.5261935906854927E-2</v>
      </c>
      <c r="H15" s="83">
        <f t="shared" si="2"/>
        <v>7.1454574408432336E-2</v>
      </c>
    </row>
    <row r="19" spans="2:17" ht="15" x14ac:dyDescent="0.25">
      <c r="B19" s="22" t="s">
        <v>108</v>
      </c>
    </row>
    <row r="20" spans="2:17" ht="15" thickBot="1" x14ac:dyDescent="0.25">
      <c r="K20" t="s">
        <v>110</v>
      </c>
      <c r="M20" t="s">
        <v>111</v>
      </c>
      <c r="O20" t="s">
        <v>112</v>
      </c>
      <c r="Q20" t="s">
        <v>114</v>
      </c>
    </row>
    <row r="21" spans="2:17" ht="15.75" thickBot="1" x14ac:dyDescent="0.25">
      <c r="J21">
        <v>2009</v>
      </c>
      <c r="K21" s="75">
        <v>1936</v>
      </c>
      <c r="L21">
        <f>J21</f>
        <v>2009</v>
      </c>
      <c r="M21" s="76">
        <v>6487</v>
      </c>
      <c r="N21">
        <f>L21</f>
        <v>2009</v>
      </c>
      <c r="O21" s="66">
        <f>K21/M21</f>
        <v>0.29844303992600585</v>
      </c>
      <c r="P21" s="74"/>
      <c r="Q21" s="74"/>
    </row>
    <row r="22" spans="2:17" ht="15.75" thickBot="1" x14ac:dyDescent="0.25">
      <c r="J22">
        <v>2010</v>
      </c>
      <c r="K22" s="75">
        <v>2054</v>
      </c>
      <c r="L22">
        <f t="shared" ref="L22:L35" si="3">J22</f>
        <v>2010</v>
      </c>
      <c r="M22" s="76">
        <v>7000</v>
      </c>
      <c r="N22">
        <f t="shared" ref="N22:N35" si="4">L22</f>
        <v>2010</v>
      </c>
      <c r="O22" s="66">
        <f t="shared" ref="O22:O35" si="5">K22/M22</f>
        <v>0.29342857142857143</v>
      </c>
      <c r="P22" s="74"/>
      <c r="Q22" s="78">
        <f>(O22-O21)/O21</f>
        <v>-1.6802095631641058E-2</v>
      </c>
    </row>
    <row r="23" spans="2:17" ht="15.75" thickBot="1" x14ac:dyDescent="0.25">
      <c r="J23">
        <v>2011</v>
      </c>
      <c r="K23" s="75">
        <v>2509</v>
      </c>
      <c r="L23">
        <f t="shared" si="3"/>
        <v>2011</v>
      </c>
      <c r="M23" s="76">
        <v>8012</v>
      </c>
      <c r="N23">
        <f t="shared" si="4"/>
        <v>2011</v>
      </c>
      <c r="O23" s="66">
        <f t="shared" si="5"/>
        <v>0.31315526709935099</v>
      </c>
      <c r="P23" s="74"/>
      <c r="Q23" s="78">
        <f t="shared" ref="Q23:Q35" si="6">(O23-O22)/O22</f>
        <v>6.7228271516775517E-2</v>
      </c>
    </row>
    <row r="24" spans="2:17" ht="15.75" thickBot="1" x14ac:dyDescent="0.25">
      <c r="J24">
        <v>2012</v>
      </c>
      <c r="K24" s="75">
        <v>2614</v>
      </c>
      <c r="L24">
        <f t="shared" si="3"/>
        <v>2012</v>
      </c>
      <c r="M24" s="76">
        <v>8079</v>
      </c>
      <c r="N24">
        <f t="shared" si="4"/>
        <v>2012</v>
      </c>
      <c r="O24" s="66">
        <f t="shared" si="5"/>
        <v>0.32355489540784749</v>
      </c>
      <c r="P24" s="74"/>
      <c r="Q24" s="78">
        <f t="shared" si="6"/>
        <v>3.3209175770296515E-2</v>
      </c>
    </row>
    <row r="25" spans="2:17" ht="15.75" thickBot="1" x14ac:dyDescent="0.25">
      <c r="J25">
        <v>2013</v>
      </c>
      <c r="K25" s="75">
        <v>2619</v>
      </c>
      <c r="L25">
        <f t="shared" si="3"/>
        <v>2013</v>
      </c>
      <c r="M25" s="76">
        <v>8205</v>
      </c>
      <c r="N25">
        <f t="shared" si="4"/>
        <v>2013</v>
      </c>
      <c r="O25" s="66">
        <f t="shared" si="5"/>
        <v>0.31919561243144423</v>
      </c>
      <c r="P25" s="74"/>
      <c r="Q25" s="78">
        <f t="shared" si="6"/>
        <v>-1.347308613862353E-2</v>
      </c>
    </row>
    <row r="26" spans="2:17" ht="15.75" thickBot="1" x14ac:dyDescent="0.25">
      <c r="J26">
        <v>2014</v>
      </c>
      <c r="K26" s="75">
        <v>2614</v>
      </c>
      <c r="L26">
        <f t="shared" si="3"/>
        <v>2014</v>
      </c>
      <c r="M26" s="76">
        <v>7372</v>
      </c>
      <c r="N26">
        <f t="shared" si="4"/>
        <v>2014</v>
      </c>
      <c r="O26" s="66">
        <f t="shared" si="5"/>
        <v>0.3545849158979924</v>
      </c>
      <c r="P26" s="74"/>
      <c r="Q26" s="78">
        <f t="shared" si="6"/>
        <v>0.11087026916495905</v>
      </c>
    </row>
    <row r="27" spans="2:17" ht="15.75" thickBot="1" x14ac:dyDescent="0.25">
      <c r="J27">
        <v>2015</v>
      </c>
      <c r="K27" s="75">
        <v>2026</v>
      </c>
      <c r="L27">
        <f t="shared" si="3"/>
        <v>2015</v>
      </c>
      <c r="M27" s="76">
        <v>6556</v>
      </c>
      <c r="N27">
        <f t="shared" si="4"/>
        <v>2015</v>
      </c>
      <c r="O27" s="66">
        <f t="shared" si="5"/>
        <v>0.30902989627821842</v>
      </c>
      <c r="P27" s="74"/>
      <c r="Q27" s="78">
        <f t="shared" si="6"/>
        <v>-0.12847421753518509</v>
      </c>
    </row>
    <row r="28" spans="2:17" ht="15.75" thickBot="1" x14ac:dyDescent="0.25">
      <c r="J28">
        <v>2016</v>
      </c>
      <c r="K28" s="75">
        <v>2180</v>
      </c>
      <c r="L28">
        <f t="shared" si="3"/>
        <v>2016</v>
      </c>
      <c r="M28" s="76">
        <v>6866</v>
      </c>
      <c r="N28">
        <f t="shared" si="4"/>
        <v>2016</v>
      </c>
      <c r="O28" s="66">
        <f t="shared" si="5"/>
        <v>0.31750655403437228</v>
      </c>
      <c r="P28" s="74"/>
      <c r="Q28" s="78">
        <f t="shared" si="6"/>
        <v>2.7429895483388308E-2</v>
      </c>
    </row>
    <row r="29" spans="2:17" ht="15.75" thickBot="1" x14ac:dyDescent="0.25">
      <c r="J29">
        <v>2017</v>
      </c>
      <c r="K29" s="75">
        <v>3381</v>
      </c>
      <c r="L29">
        <f t="shared" si="3"/>
        <v>2017</v>
      </c>
      <c r="M29" s="76">
        <v>8574</v>
      </c>
      <c r="N29">
        <f t="shared" si="4"/>
        <v>2017</v>
      </c>
      <c r="O29" s="66">
        <f t="shared" si="5"/>
        <v>0.39433170048985305</v>
      </c>
      <c r="P29" s="74"/>
      <c r="Q29" s="78">
        <f t="shared" si="6"/>
        <v>0.24196397044189494</v>
      </c>
    </row>
    <row r="30" spans="2:17" ht="15.75" thickBot="1" x14ac:dyDescent="0.25">
      <c r="J30">
        <v>2018</v>
      </c>
      <c r="K30" s="75">
        <v>1892</v>
      </c>
      <c r="L30">
        <f t="shared" si="3"/>
        <v>2018</v>
      </c>
      <c r="M30" s="76">
        <v>7816</v>
      </c>
      <c r="N30">
        <f t="shared" si="4"/>
        <v>2018</v>
      </c>
      <c r="O30" s="66">
        <f t="shared" si="5"/>
        <v>0.24206755373592631</v>
      </c>
      <c r="P30" s="74"/>
      <c r="Q30" s="78">
        <f t="shared" si="6"/>
        <v>-0.38613214855609818</v>
      </c>
    </row>
    <row r="31" spans="2:17" ht="15.75" thickBot="1" x14ac:dyDescent="0.25">
      <c r="J31">
        <v>2019</v>
      </c>
      <c r="K31" s="75">
        <v>1993</v>
      </c>
      <c r="L31">
        <f t="shared" si="3"/>
        <v>2019</v>
      </c>
      <c r="M31" s="76">
        <v>8018</v>
      </c>
      <c r="N31">
        <f t="shared" si="4"/>
        <v>2019</v>
      </c>
      <c r="O31" s="66">
        <f t="shared" si="5"/>
        <v>0.24856572711399352</v>
      </c>
      <c r="P31" s="74"/>
      <c r="Q31" s="78">
        <f t="shared" si="6"/>
        <v>2.6844462538569414E-2</v>
      </c>
    </row>
    <row r="32" spans="2:17" ht="15.75" thickBot="1" x14ac:dyDescent="0.25">
      <c r="J32">
        <v>2020</v>
      </c>
      <c r="K32" s="75">
        <v>1410</v>
      </c>
      <c r="L32">
        <f t="shared" si="3"/>
        <v>2020</v>
      </c>
      <c r="M32" s="76">
        <v>6141</v>
      </c>
      <c r="N32">
        <f t="shared" si="4"/>
        <v>2020</v>
      </c>
      <c r="O32" s="66">
        <f t="shared" si="5"/>
        <v>0.22960429897410845</v>
      </c>
      <c r="P32" s="74"/>
      <c r="Q32" s="78">
        <f t="shared" si="6"/>
        <v>-7.6283357162869311E-2</v>
      </c>
    </row>
    <row r="33" spans="2:17" ht="15.75" thickBot="1" x14ac:dyDescent="0.25">
      <c r="J33">
        <v>2021</v>
      </c>
      <c r="K33" s="75">
        <v>1583</v>
      </c>
      <c r="L33">
        <f t="shared" si="3"/>
        <v>2021</v>
      </c>
      <c r="M33" s="76">
        <v>9128</v>
      </c>
      <c r="N33">
        <f t="shared" si="4"/>
        <v>2021</v>
      </c>
      <c r="O33" s="66">
        <f t="shared" si="5"/>
        <v>0.17342243645924627</v>
      </c>
      <c r="P33" s="74"/>
      <c r="Q33" s="78">
        <f t="shared" si="6"/>
        <v>-0.24468994163387847</v>
      </c>
    </row>
    <row r="34" spans="2:17" ht="15.75" thickBot="1" x14ac:dyDescent="0.25">
      <c r="J34">
        <v>2022</v>
      </c>
      <c r="K34" s="75">
        <v>1648</v>
      </c>
      <c r="L34">
        <f t="shared" si="3"/>
        <v>2022</v>
      </c>
      <c r="M34" s="76">
        <v>7825</v>
      </c>
      <c r="N34">
        <f t="shared" si="4"/>
        <v>2022</v>
      </c>
      <c r="O34" s="66">
        <f t="shared" si="5"/>
        <v>0.21060702875399362</v>
      </c>
      <c r="P34" s="74"/>
      <c r="Q34" s="78">
        <f t="shared" si="6"/>
        <v>0.2144162719307984</v>
      </c>
    </row>
    <row r="35" spans="2:17" ht="15" x14ac:dyDescent="0.2">
      <c r="J35">
        <v>2023</v>
      </c>
      <c r="K35" s="75">
        <v>2053</v>
      </c>
      <c r="L35">
        <f t="shared" si="3"/>
        <v>2023</v>
      </c>
      <c r="M35" s="76">
        <v>10522</v>
      </c>
      <c r="N35">
        <f t="shared" si="4"/>
        <v>2023</v>
      </c>
      <c r="O35" s="66">
        <f t="shared" si="5"/>
        <v>0.19511499714883102</v>
      </c>
      <c r="P35" s="74"/>
      <c r="Q35" s="78">
        <f t="shared" si="6"/>
        <v>-7.3558948610678021E-2</v>
      </c>
    </row>
    <row r="36" spans="2:17" x14ac:dyDescent="0.2">
      <c r="B36" t="s">
        <v>113</v>
      </c>
      <c r="D36" s="77">
        <v>0.21</v>
      </c>
      <c r="P36" t="s">
        <v>55</v>
      </c>
      <c r="Q36" s="31">
        <f>AVERAGE(Q22:Q35)</f>
        <v>-1.5532248458735106E-2</v>
      </c>
    </row>
    <row r="39" spans="2:17" x14ac:dyDescent="0.2">
      <c r="F39">
        <v>2024</v>
      </c>
    </row>
    <row r="40" spans="2:17" x14ac:dyDescent="0.2">
      <c r="F40">
        <v>2025</v>
      </c>
    </row>
    <row r="41" spans="2:17" x14ac:dyDescent="0.2">
      <c r="F41">
        <v>2026</v>
      </c>
    </row>
    <row r="42" spans="2:17" x14ac:dyDescent="0.2">
      <c r="F42">
        <v>2027</v>
      </c>
    </row>
    <row r="43" spans="2:17" x14ac:dyDescent="0.2">
      <c r="F43">
        <v>2028</v>
      </c>
    </row>
    <row r="44" spans="2:17" x14ac:dyDescent="0.2">
      <c r="F44" t="s">
        <v>75</v>
      </c>
    </row>
  </sheetData>
  <mergeCells count="1">
    <mergeCell ref="B4:H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2DA65-AB87-4107-8431-E3DF526C15F4}">
  <sheetPr>
    <tabColor rgb="FF00B050"/>
  </sheetPr>
  <dimension ref="B4:BB285"/>
  <sheetViews>
    <sheetView showGridLines="0" showRowColHeaders="0" workbookViewId="0">
      <selection activeCell="J206" sqref="J206"/>
    </sheetView>
  </sheetViews>
  <sheetFormatPr defaultRowHeight="14.25" x14ac:dyDescent="0.2"/>
  <cols>
    <col min="3" max="3" width="13.625" customWidth="1"/>
    <col min="4" max="4" width="15.75" customWidth="1"/>
    <col min="5" max="5" width="11" bestFit="1" customWidth="1"/>
    <col min="6" max="6" width="9.5" bestFit="1" customWidth="1"/>
    <col min="7" max="7" width="9.875" bestFit="1" customWidth="1"/>
    <col min="8" max="8" width="11" bestFit="1" customWidth="1"/>
    <col min="9" max="12" width="9.5" bestFit="1" customWidth="1"/>
    <col min="13" max="13" width="11" bestFit="1" customWidth="1"/>
    <col min="14" max="16" width="9.5" bestFit="1" customWidth="1"/>
    <col min="17" max="17" width="12.5" bestFit="1" customWidth="1"/>
    <col min="18" max="18" width="20.5" customWidth="1"/>
    <col min="19" max="19" width="8.875" customWidth="1"/>
    <col min="20" max="20" width="21.125" customWidth="1"/>
    <col min="21" max="54" width="9.5" bestFit="1" customWidth="1"/>
  </cols>
  <sheetData>
    <row r="4" spans="2:11" x14ac:dyDescent="0.2">
      <c r="B4" s="222" t="s">
        <v>115</v>
      </c>
      <c r="C4" s="222"/>
      <c r="D4" s="222"/>
      <c r="E4" s="222"/>
      <c r="F4" s="222"/>
      <c r="G4" s="222"/>
      <c r="H4" s="222"/>
      <c r="I4" s="222"/>
      <c r="J4" s="222"/>
      <c r="K4" s="222"/>
    </row>
    <row r="5" spans="2:11" x14ac:dyDescent="0.2">
      <c r="B5" s="222"/>
      <c r="C5" s="222"/>
      <c r="D5" s="222"/>
      <c r="E5" s="222"/>
      <c r="F5" s="222"/>
      <c r="G5" s="222"/>
      <c r="H5" s="222"/>
      <c r="I5" s="222"/>
      <c r="J5" s="222"/>
      <c r="K5" s="222"/>
    </row>
    <row r="6" spans="2:11" x14ac:dyDescent="0.2">
      <c r="B6" s="222"/>
      <c r="C6" s="222"/>
      <c r="D6" s="222"/>
      <c r="E6" s="222"/>
      <c r="F6" s="222"/>
      <c r="G6" s="222"/>
      <c r="H6" s="222"/>
      <c r="I6" s="222"/>
      <c r="J6" s="222"/>
      <c r="K6" s="222"/>
    </row>
    <row r="9" spans="2:11" x14ac:dyDescent="0.2">
      <c r="B9" t="s">
        <v>119</v>
      </c>
    </row>
    <row r="10" spans="2:11" x14ac:dyDescent="0.2">
      <c r="B10" t="s">
        <v>116</v>
      </c>
    </row>
    <row r="12" spans="2:11" x14ac:dyDescent="0.2">
      <c r="B12" t="s">
        <v>117</v>
      </c>
    </row>
    <row r="13" spans="2:11" x14ac:dyDescent="0.2">
      <c r="B13" t="s">
        <v>120</v>
      </c>
    </row>
    <row r="15" spans="2:11" x14ac:dyDescent="0.2">
      <c r="B15" t="s">
        <v>121</v>
      </c>
    </row>
    <row r="17" spans="2:2" x14ac:dyDescent="0.2">
      <c r="B17" t="s">
        <v>118</v>
      </c>
    </row>
    <row r="18" spans="2:2" x14ac:dyDescent="0.2">
      <c r="B18" t="s">
        <v>124</v>
      </c>
    </row>
    <row r="19" spans="2:2" x14ac:dyDescent="0.2">
      <c r="B19" t="s">
        <v>122</v>
      </c>
    </row>
    <row r="34" spans="2:3" x14ac:dyDescent="0.2">
      <c r="C34" t="s">
        <v>123</v>
      </c>
    </row>
    <row r="35" spans="2:3" x14ac:dyDescent="0.2">
      <c r="C35" t="s">
        <v>133</v>
      </c>
    </row>
    <row r="40" spans="2:3" ht="15" x14ac:dyDescent="0.25">
      <c r="B40" s="22" t="s">
        <v>125</v>
      </c>
    </row>
    <row r="41" spans="2:3" x14ac:dyDescent="0.2">
      <c r="B41" t="s">
        <v>126</v>
      </c>
    </row>
    <row r="42" spans="2:3" x14ac:dyDescent="0.2">
      <c r="B42" t="s">
        <v>127</v>
      </c>
    </row>
    <row r="43" spans="2:3" x14ac:dyDescent="0.2">
      <c r="B43" t="s">
        <v>128</v>
      </c>
    </row>
    <row r="44" spans="2:3" x14ac:dyDescent="0.2">
      <c r="B44" t="s">
        <v>129</v>
      </c>
    </row>
    <row r="45" spans="2:3" x14ac:dyDescent="0.2">
      <c r="B45" t="s">
        <v>130</v>
      </c>
    </row>
    <row r="46" spans="2:3" x14ac:dyDescent="0.2">
      <c r="B46" t="s">
        <v>131</v>
      </c>
    </row>
    <row r="50" spans="2:54" ht="15" x14ac:dyDescent="0.25">
      <c r="B50" s="22" t="s">
        <v>134</v>
      </c>
    </row>
    <row r="52" spans="2:54" ht="15" x14ac:dyDescent="0.25">
      <c r="B52" s="1" t="s">
        <v>135</v>
      </c>
      <c r="C52" t="s">
        <v>136</v>
      </c>
      <c r="D52" t="s">
        <v>137</v>
      </c>
      <c r="E52" t="s">
        <v>138</v>
      </c>
      <c r="F52" t="s">
        <v>139</v>
      </c>
      <c r="G52" t="s">
        <v>140</v>
      </c>
      <c r="H52" t="s">
        <v>141</v>
      </c>
      <c r="I52" t="s">
        <v>142</v>
      </c>
      <c r="J52" t="s">
        <v>143</v>
      </c>
      <c r="K52" t="s">
        <v>144</v>
      </c>
      <c r="L52" t="s">
        <v>145</v>
      </c>
      <c r="M52" t="s">
        <v>146</v>
      </c>
      <c r="N52" t="s">
        <v>147</v>
      </c>
      <c r="O52" t="s">
        <v>148</v>
      </c>
      <c r="P52" t="s">
        <v>149</v>
      </c>
      <c r="Q52" t="s">
        <v>150</v>
      </c>
      <c r="R52" t="s">
        <v>151</v>
      </c>
      <c r="S52" t="s">
        <v>152</v>
      </c>
      <c r="T52" t="s">
        <v>153</v>
      </c>
      <c r="U52" t="s">
        <v>154</v>
      </c>
      <c r="V52" t="s">
        <v>155</v>
      </c>
      <c r="W52" t="s">
        <v>156</v>
      </c>
      <c r="X52" t="s">
        <v>157</v>
      </c>
      <c r="Y52" t="s">
        <v>158</v>
      </c>
      <c r="Z52" t="s">
        <v>159</v>
      </c>
      <c r="AA52" t="s">
        <v>160</v>
      </c>
      <c r="AB52" t="s">
        <v>161</v>
      </c>
      <c r="AC52" t="s">
        <v>162</v>
      </c>
      <c r="AD52" t="s">
        <v>163</v>
      </c>
      <c r="AE52" t="s">
        <v>164</v>
      </c>
      <c r="AF52" t="s">
        <v>165</v>
      </c>
      <c r="AG52" t="s">
        <v>166</v>
      </c>
      <c r="AH52" t="s">
        <v>167</v>
      </c>
      <c r="AI52" t="s">
        <v>168</v>
      </c>
      <c r="AJ52" t="s">
        <v>169</v>
      </c>
      <c r="AK52" t="s">
        <v>170</v>
      </c>
      <c r="AL52" t="s">
        <v>171</v>
      </c>
      <c r="AM52" t="s">
        <v>172</v>
      </c>
      <c r="AN52" t="s">
        <v>173</v>
      </c>
      <c r="AO52" t="s">
        <v>174</v>
      </c>
      <c r="AP52" t="s">
        <v>175</v>
      </c>
      <c r="AQ52" t="s">
        <v>176</v>
      </c>
      <c r="AR52" t="s">
        <v>177</v>
      </c>
      <c r="AS52" t="s">
        <v>178</v>
      </c>
      <c r="AT52" t="s">
        <v>179</v>
      </c>
      <c r="AU52" t="s">
        <v>180</v>
      </c>
      <c r="AV52" t="s">
        <v>181</v>
      </c>
      <c r="AW52" t="s">
        <v>182</v>
      </c>
      <c r="AX52" t="s">
        <v>183</v>
      </c>
      <c r="AY52" t="s">
        <v>184</v>
      </c>
      <c r="AZ52" t="s">
        <v>185</v>
      </c>
      <c r="BA52" t="s">
        <v>186</v>
      </c>
      <c r="BB52" t="s">
        <v>187</v>
      </c>
    </row>
    <row r="53" spans="2:54" ht="15" x14ac:dyDescent="0.25">
      <c r="B53" s="1" t="s">
        <v>134</v>
      </c>
      <c r="C53" s="75">
        <v>25765</v>
      </c>
      <c r="D53" s="75">
        <v>36502</v>
      </c>
      <c r="E53" s="75">
        <v>10205</v>
      </c>
      <c r="F53" s="75">
        <v>7029</v>
      </c>
      <c r="G53" s="75">
        <v>7140</v>
      </c>
      <c r="H53" s="75">
        <v>4540</v>
      </c>
      <c r="I53" s="75">
        <v>11202</v>
      </c>
      <c r="J53" s="75">
        <v>11019</v>
      </c>
      <c r="K53" s="75">
        <v>4779</v>
      </c>
      <c r="L53" s="75">
        <v>497.12299999999999</v>
      </c>
      <c r="M53" s="75">
        <v>784.62300000000005</v>
      </c>
      <c r="N53" s="75">
        <v>18258</v>
      </c>
      <c r="O53" s="75">
        <v>1125</v>
      </c>
      <c r="P53" s="75">
        <v>616.82899999999995</v>
      </c>
      <c r="Q53" s="75">
        <v>2188</v>
      </c>
      <c r="R53" s="75">
        <v>4282</v>
      </c>
      <c r="S53" s="75">
        <v>4422</v>
      </c>
      <c r="T53" s="75">
        <v>3465</v>
      </c>
      <c r="U53" s="75">
        <v>4622</v>
      </c>
      <c r="V53" s="75">
        <v>2123</v>
      </c>
      <c r="W53" s="75">
        <v>687</v>
      </c>
      <c r="X53" s="75">
        <v>922</v>
      </c>
      <c r="Y53" s="75">
        <v>526</v>
      </c>
      <c r="Z53" s="75">
        <v>3413</v>
      </c>
      <c r="AA53" s="75">
        <v>1622</v>
      </c>
      <c r="AB53" s="75">
        <v>212</v>
      </c>
      <c r="AC53" s="75">
        <v>1329</v>
      </c>
      <c r="AD53" s="75">
        <v>689</v>
      </c>
      <c r="AE53" s="75">
        <v>364</v>
      </c>
      <c r="AF53" s="75">
        <v>823</v>
      </c>
      <c r="AG53" s="75">
        <v>459</v>
      </c>
      <c r="AH53" s="75">
        <v>298</v>
      </c>
      <c r="AI53" s="75">
        <v>456</v>
      </c>
      <c r="AJ53" s="75">
        <v>187</v>
      </c>
      <c r="AK53" s="75">
        <v>470</v>
      </c>
      <c r="AL53" s="75">
        <v>137</v>
      </c>
      <c r="AM53" s="75">
        <v>484</v>
      </c>
      <c r="AN53" s="75">
        <v>335</v>
      </c>
      <c r="AO53" s="75">
        <v>219</v>
      </c>
      <c r="AP53" s="75">
        <v>1274</v>
      </c>
      <c r="AQ53" s="75">
        <v>526</v>
      </c>
      <c r="AR53" s="75">
        <v>526</v>
      </c>
      <c r="AS53" s="75">
        <v>498</v>
      </c>
      <c r="AT53" s="75">
        <v>185</v>
      </c>
      <c r="AU53" s="75">
        <v>182</v>
      </c>
      <c r="AV53" s="75">
        <v>12</v>
      </c>
      <c r="AW53" s="75">
        <v>139</v>
      </c>
      <c r="AX53" s="75">
        <v>622</v>
      </c>
      <c r="AY53" s="75">
        <v>6</v>
      </c>
      <c r="AZ53" s="75">
        <v>14</v>
      </c>
      <c r="BA53" s="75">
        <v>168</v>
      </c>
      <c r="BB53" s="75">
        <v>9.1999999999999993</v>
      </c>
    </row>
    <row r="54" spans="2:54" x14ac:dyDescent="0.2">
      <c r="B54" t="s">
        <v>188</v>
      </c>
      <c r="C54" s="66">
        <f>C53/C55</f>
        <v>0.14445683682699001</v>
      </c>
      <c r="D54" s="66">
        <f t="shared" ref="D54:BB54" si="0">D53/D55</f>
        <v>0.20465606279288914</v>
      </c>
      <c r="E54" s="66">
        <f t="shared" si="0"/>
        <v>5.7216457202384358E-2</v>
      </c>
      <c r="F54" s="66">
        <f t="shared" si="0"/>
        <v>3.9409551952529119E-2</v>
      </c>
      <c r="G54" s="66">
        <f t="shared" si="0"/>
        <v>4.0031896562961716E-2</v>
      </c>
      <c r="H54" s="66">
        <f t="shared" si="0"/>
        <v>2.5454455237513472E-2</v>
      </c>
      <c r="I54" s="66">
        <f t="shared" si="0"/>
        <v>6.2806345279873554E-2</v>
      </c>
      <c r="J54" s="66">
        <f t="shared" si="0"/>
        <v>6.1780317678890077E-2</v>
      </c>
      <c r="K54" s="66">
        <f t="shared" si="0"/>
        <v>2.679445849781429E-2</v>
      </c>
      <c r="L54" s="66">
        <f t="shared" si="0"/>
        <v>2.7872236015503106E-3</v>
      </c>
      <c r="M54" s="66">
        <f t="shared" si="0"/>
        <v>4.3991522096527612E-3</v>
      </c>
      <c r="N54" s="66">
        <f t="shared" si="0"/>
        <v>0.10236727835385924</v>
      </c>
      <c r="O54" s="66">
        <f t="shared" si="0"/>
        <v>6.3075467273574128E-3</v>
      </c>
      <c r="P54" s="66">
        <f t="shared" si="0"/>
        <v>3.4583802135903516E-3</v>
      </c>
      <c r="Q54" s="66">
        <f t="shared" si="0"/>
        <v>1.2267477546184907E-2</v>
      </c>
      <c r="R54" s="66">
        <f t="shared" si="0"/>
        <v>2.4007924521372837E-2</v>
      </c>
      <c r="S54" s="66">
        <f t="shared" si="0"/>
        <v>2.4792863669666206E-2</v>
      </c>
      <c r="T54" s="66">
        <f t="shared" si="0"/>
        <v>1.9427243920260833E-2</v>
      </c>
      <c r="U54" s="66">
        <f t="shared" si="0"/>
        <v>2.59142053100853E-2</v>
      </c>
      <c r="V54" s="66">
        <f t="shared" si="0"/>
        <v>1.19030415130487E-2</v>
      </c>
      <c r="W54" s="66">
        <f t="shared" si="0"/>
        <v>3.8518085348395936E-3</v>
      </c>
      <c r="X54" s="66">
        <f t="shared" si="0"/>
        <v>5.1693849623320309E-3</v>
      </c>
      <c r="Y54" s="66">
        <f t="shared" si="0"/>
        <v>2.9491285143022215E-3</v>
      </c>
      <c r="Z54" s="66">
        <f t="shared" si="0"/>
        <v>1.9135695093751869E-2</v>
      </c>
      <c r="AA54" s="66">
        <f t="shared" si="0"/>
        <v>9.0940807037988656E-3</v>
      </c>
      <c r="AB54" s="66">
        <f t="shared" si="0"/>
        <v>1.1886221388442415E-3</v>
      </c>
      <c r="AC54" s="66">
        <f t="shared" si="0"/>
        <v>7.4513152005848907E-3</v>
      </c>
      <c r="AD54" s="66">
        <f t="shared" si="0"/>
        <v>3.8630219512437846E-3</v>
      </c>
      <c r="AE54" s="66">
        <f t="shared" si="0"/>
        <v>2.040841785562754E-3</v>
      </c>
      <c r="AF54" s="66">
        <f t="shared" si="0"/>
        <v>4.6143208503245789E-3</v>
      </c>
      <c r="AG54" s="66">
        <f t="shared" si="0"/>
        <v>2.5734790647618244E-3</v>
      </c>
      <c r="AH54" s="66">
        <f t="shared" si="0"/>
        <v>1.6707990442244526E-3</v>
      </c>
      <c r="AI54" s="66">
        <f t="shared" si="0"/>
        <v>2.5566589401555383E-3</v>
      </c>
      <c r="AJ54" s="66">
        <f t="shared" si="0"/>
        <v>1.0484544337918545E-3</v>
      </c>
      <c r="AK54" s="66">
        <f t="shared" si="0"/>
        <v>2.635152854984875E-3</v>
      </c>
      <c r="AL54" s="66">
        <f t="shared" si="0"/>
        <v>7.6811902368708056E-4</v>
      </c>
      <c r="AM54" s="66">
        <f t="shared" si="0"/>
        <v>2.7136467698142116E-3</v>
      </c>
      <c r="AN54" s="66">
        <f t="shared" si="0"/>
        <v>1.8782472477019852E-3</v>
      </c>
      <c r="AO54" s="66">
        <f t="shared" si="0"/>
        <v>1.2278690962589098E-3</v>
      </c>
      <c r="AP54" s="66">
        <f t="shared" si="0"/>
        <v>7.1429462494696392E-3</v>
      </c>
      <c r="AQ54" s="66">
        <f t="shared" si="0"/>
        <v>2.9491285143022215E-3</v>
      </c>
      <c r="AR54" s="66">
        <f t="shared" si="0"/>
        <v>2.9491285143022215E-3</v>
      </c>
      <c r="AS54" s="66">
        <f t="shared" si="0"/>
        <v>2.7921406846435483E-3</v>
      </c>
      <c r="AT54" s="66">
        <f t="shared" si="0"/>
        <v>1.0372410173876635E-3</v>
      </c>
      <c r="AU54" s="66">
        <f t="shared" si="0"/>
        <v>1.020420892781377E-3</v>
      </c>
      <c r="AV54" s="66">
        <f t="shared" si="0"/>
        <v>6.728049842514574E-5</v>
      </c>
      <c r="AW54" s="66">
        <f t="shared" si="0"/>
        <v>7.7933244009127146E-4</v>
      </c>
      <c r="AX54" s="66">
        <f t="shared" si="0"/>
        <v>3.4873725017033875E-3</v>
      </c>
      <c r="AY54" s="66">
        <f t="shared" si="0"/>
        <v>3.364024921257287E-5</v>
      </c>
      <c r="AZ54" s="66">
        <f t="shared" si="0"/>
        <v>7.8493914829336697E-5</v>
      </c>
      <c r="BA54" s="66">
        <f t="shared" si="0"/>
        <v>9.4192697795204036E-4</v>
      </c>
      <c r="BB54" s="66">
        <f t="shared" si="0"/>
        <v>5.1581715459278397E-5</v>
      </c>
    </row>
    <row r="55" spans="2:54" s="94" customFormat="1" x14ac:dyDescent="0.2">
      <c r="C55" s="95">
        <f>SUM(C53:BB53)</f>
        <v>178357.77500000002</v>
      </c>
      <c r="D55" s="95">
        <f>C55</f>
        <v>178357.77500000002</v>
      </c>
      <c r="E55" s="95">
        <f t="shared" ref="E55:BB55" si="1">D55</f>
        <v>178357.77500000002</v>
      </c>
      <c r="F55" s="95">
        <f t="shared" si="1"/>
        <v>178357.77500000002</v>
      </c>
      <c r="G55" s="95">
        <f t="shared" si="1"/>
        <v>178357.77500000002</v>
      </c>
      <c r="H55" s="95">
        <f t="shared" si="1"/>
        <v>178357.77500000002</v>
      </c>
      <c r="I55" s="95">
        <f t="shared" si="1"/>
        <v>178357.77500000002</v>
      </c>
      <c r="J55" s="95">
        <f t="shared" si="1"/>
        <v>178357.77500000002</v>
      </c>
      <c r="K55" s="95">
        <f t="shared" si="1"/>
        <v>178357.77500000002</v>
      </c>
      <c r="L55" s="95">
        <f t="shared" si="1"/>
        <v>178357.77500000002</v>
      </c>
      <c r="M55" s="95">
        <f t="shared" si="1"/>
        <v>178357.77500000002</v>
      </c>
      <c r="N55" s="95">
        <f t="shared" si="1"/>
        <v>178357.77500000002</v>
      </c>
      <c r="O55" s="95">
        <f t="shared" si="1"/>
        <v>178357.77500000002</v>
      </c>
      <c r="P55" s="95">
        <f t="shared" si="1"/>
        <v>178357.77500000002</v>
      </c>
      <c r="Q55" s="95">
        <f t="shared" si="1"/>
        <v>178357.77500000002</v>
      </c>
      <c r="R55" s="95">
        <f t="shared" si="1"/>
        <v>178357.77500000002</v>
      </c>
      <c r="S55" s="95">
        <f t="shared" si="1"/>
        <v>178357.77500000002</v>
      </c>
      <c r="T55" s="95">
        <f t="shared" si="1"/>
        <v>178357.77500000002</v>
      </c>
      <c r="U55" s="95">
        <f t="shared" si="1"/>
        <v>178357.77500000002</v>
      </c>
      <c r="V55" s="95">
        <f t="shared" si="1"/>
        <v>178357.77500000002</v>
      </c>
      <c r="W55" s="95">
        <f t="shared" si="1"/>
        <v>178357.77500000002</v>
      </c>
      <c r="X55" s="95">
        <f t="shared" si="1"/>
        <v>178357.77500000002</v>
      </c>
      <c r="Y55" s="95">
        <f t="shared" si="1"/>
        <v>178357.77500000002</v>
      </c>
      <c r="Z55" s="95">
        <f t="shared" si="1"/>
        <v>178357.77500000002</v>
      </c>
      <c r="AA55" s="95">
        <f t="shared" si="1"/>
        <v>178357.77500000002</v>
      </c>
      <c r="AB55" s="95">
        <f t="shared" si="1"/>
        <v>178357.77500000002</v>
      </c>
      <c r="AC55" s="95">
        <f t="shared" si="1"/>
        <v>178357.77500000002</v>
      </c>
      <c r="AD55" s="95">
        <f t="shared" si="1"/>
        <v>178357.77500000002</v>
      </c>
      <c r="AE55" s="95">
        <f t="shared" si="1"/>
        <v>178357.77500000002</v>
      </c>
      <c r="AF55" s="95">
        <f t="shared" si="1"/>
        <v>178357.77500000002</v>
      </c>
      <c r="AG55" s="95">
        <f t="shared" si="1"/>
        <v>178357.77500000002</v>
      </c>
      <c r="AH55" s="95">
        <f t="shared" si="1"/>
        <v>178357.77500000002</v>
      </c>
      <c r="AI55" s="95">
        <f t="shared" si="1"/>
        <v>178357.77500000002</v>
      </c>
      <c r="AJ55" s="95">
        <f t="shared" si="1"/>
        <v>178357.77500000002</v>
      </c>
      <c r="AK55" s="95">
        <f t="shared" si="1"/>
        <v>178357.77500000002</v>
      </c>
      <c r="AL55" s="95">
        <f t="shared" si="1"/>
        <v>178357.77500000002</v>
      </c>
      <c r="AM55" s="95">
        <f t="shared" si="1"/>
        <v>178357.77500000002</v>
      </c>
      <c r="AN55" s="95">
        <f t="shared" si="1"/>
        <v>178357.77500000002</v>
      </c>
      <c r="AO55" s="95">
        <f t="shared" si="1"/>
        <v>178357.77500000002</v>
      </c>
      <c r="AP55" s="95">
        <f t="shared" si="1"/>
        <v>178357.77500000002</v>
      </c>
      <c r="AQ55" s="95">
        <f t="shared" si="1"/>
        <v>178357.77500000002</v>
      </c>
      <c r="AR55" s="95">
        <f t="shared" si="1"/>
        <v>178357.77500000002</v>
      </c>
      <c r="AS55" s="95">
        <f t="shared" si="1"/>
        <v>178357.77500000002</v>
      </c>
      <c r="AT55" s="95">
        <f t="shared" si="1"/>
        <v>178357.77500000002</v>
      </c>
      <c r="AU55" s="95">
        <f t="shared" si="1"/>
        <v>178357.77500000002</v>
      </c>
      <c r="AV55" s="95">
        <f t="shared" si="1"/>
        <v>178357.77500000002</v>
      </c>
      <c r="AW55" s="95">
        <f t="shared" si="1"/>
        <v>178357.77500000002</v>
      </c>
      <c r="AX55" s="95">
        <f t="shared" si="1"/>
        <v>178357.77500000002</v>
      </c>
      <c r="AY55" s="95">
        <f t="shared" si="1"/>
        <v>178357.77500000002</v>
      </c>
      <c r="AZ55" s="95">
        <f t="shared" si="1"/>
        <v>178357.77500000002</v>
      </c>
      <c r="BA55" s="95">
        <f t="shared" si="1"/>
        <v>178357.77500000002</v>
      </c>
      <c r="BB55" s="95">
        <f t="shared" si="1"/>
        <v>178357.77500000002</v>
      </c>
    </row>
    <row r="56" spans="2:54" ht="16.5" x14ac:dyDescent="0.2">
      <c r="Q56" s="90"/>
      <c r="R56" s="85"/>
      <c r="S56" s="85"/>
      <c r="T56" s="85"/>
      <c r="U56" s="85"/>
      <c r="V56" s="85"/>
      <c r="W56" s="85"/>
      <c r="X56" s="85"/>
      <c r="Y56" s="85"/>
    </row>
    <row r="57" spans="2:54" ht="16.5" x14ac:dyDescent="0.2">
      <c r="Q57" s="90"/>
      <c r="R57" s="84"/>
      <c r="S57" s="84"/>
      <c r="T57" s="84"/>
      <c r="U57" s="84"/>
      <c r="V57" s="84"/>
      <c r="W57" s="84"/>
      <c r="X57" s="84"/>
      <c r="Y57" s="84"/>
    </row>
    <row r="58" spans="2:54" ht="16.5" x14ac:dyDescent="0.2">
      <c r="Q58" s="90"/>
      <c r="R58" s="85"/>
      <c r="S58" s="85"/>
      <c r="T58" s="85"/>
      <c r="U58" s="85"/>
      <c r="V58" s="85"/>
      <c r="W58" s="85"/>
      <c r="X58" s="85"/>
      <c r="Y58" s="85"/>
    </row>
    <row r="59" spans="2:54" ht="16.5" x14ac:dyDescent="0.2">
      <c r="Q59" s="91"/>
      <c r="R59" s="86"/>
      <c r="S59" s="89"/>
      <c r="T59" s="86"/>
      <c r="U59" s="86"/>
      <c r="V59" s="86"/>
      <c r="W59" s="86"/>
      <c r="X59" s="86"/>
      <c r="Y59" s="87"/>
    </row>
    <row r="60" spans="2:54" ht="16.5" x14ac:dyDescent="0.2">
      <c r="Q60" s="91"/>
      <c r="R60" s="86"/>
      <c r="S60" s="87"/>
      <c r="T60" s="86"/>
      <c r="U60" s="86"/>
      <c r="V60" s="86"/>
      <c r="W60" s="86"/>
      <c r="X60" s="86"/>
      <c r="Y60" s="87"/>
    </row>
    <row r="61" spans="2:54" ht="16.5" x14ac:dyDescent="0.2">
      <c r="Q61" s="91"/>
      <c r="R61" s="86"/>
      <c r="S61" s="87"/>
      <c r="T61" s="86"/>
      <c r="U61" s="86"/>
      <c r="V61" s="86"/>
      <c r="W61" s="86"/>
      <c r="X61" s="86"/>
      <c r="Y61" s="87"/>
    </row>
    <row r="62" spans="2:54" ht="16.5" x14ac:dyDescent="0.2">
      <c r="Q62" s="91"/>
      <c r="R62" s="86"/>
      <c r="S62" s="87"/>
      <c r="T62" s="86"/>
      <c r="U62" s="86"/>
      <c r="V62" s="86"/>
      <c r="W62" s="86"/>
      <c r="X62" s="86"/>
      <c r="Y62" s="87"/>
    </row>
    <row r="63" spans="2:54" ht="16.5" x14ac:dyDescent="0.2">
      <c r="Q63" s="91"/>
      <c r="R63" s="86"/>
      <c r="S63" s="87"/>
      <c r="T63" s="86"/>
      <c r="U63" s="86"/>
      <c r="V63" s="86"/>
      <c r="W63" s="86"/>
      <c r="X63" s="86"/>
      <c r="Y63" s="87"/>
    </row>
    <row r="64" spans="2:54" ht="16.5" x14ac:dyDescent="0.2">
      <c r="Q64" s="91"/>
      <c r="R64" s="86"/>
      <c r="S64" s="88"/>
      <c r="T64" s="86"/>
      <c r="U64" s="86"/>
      <c r="V64" s="86"/>
      <c r="W64" s="86"/>
      <c r="X64" s="86"/>
      <c r="Y64" s="87"/>
    </row>
    <row r="65" spans="2:25" ht="16.5" x14ac:dyDescent="0.2">
      <c r="Q65" s="91"/>
      <c r="R65" s="86"/>
      <c r="S65" s="87"/>
      <c r="T65" s="86"/>
      <c r="U65" s="86"/>
      <c r="V65" s="86"/>
      <c r="W65" s="86"/>
      <c r="X65" s="86"/>
      <c r="Y65" s="87"/>
    </row>
    <row r="66" spans="2:25" ht="16.5" x14ac:dyDescent="0.2">
      <c r="Q66" s="91"/>
      <c r="R66" s="86"/>
      <c r="S66" s="87"/>
      <c r="T66" s="86"/>
      <c r="U66" s="86"/>
      <c r="V66" s="86"/>
      <c r="W66" s="86"/>
      <c r="X66" s="86"/>
      <c r="Y66" s="87"/>
    </row>
    <row r="67" spans="2:25" ht="16.5" x14ac:dyDescent="0.2">
      <c r="Q67" s="91"/>
      <c r="R67" s="86"/>
      <c r="S67" s="87"/>
      <c r="T67" s="86"/>
      <c r="U67" s="86"/>
      <c r="V67" s="86"/>
      <c r="W67" s="86"/>
      <c r="X67" s="86"/>
      <c r="Y67" s="87"/>
    </row>
    <row r="68" spans="2:25" ht="16.5" x14ac:dyDescent="0.2">
      <c r="Q68" s="91"/>
      <c r="R68" s="86"/>
      <c r="S68" s="87"/>
      <c r="T68" s="86"/>
      <c r="U68" s="86"/>
      <c r="V68" s="86"/>
      <c r="W68" s="86"/>
      <c r="X68" s="86"/>
      <c r="Y68" s="87"/>
    </row>
    <row r="69" spans="2:25" ht="16.5" x14ac:dyDescent="0.2">
      <c r="Q69" s="91"/>
      <c r="R69" s="86"/>
      <c r="S69" s="87"/>
      <c r="T69" s="86"/>
      <c r="U69" s="86"/>
      <c r="V69" s="86"/>
      <c r="W69" s="86"/>
      <c r="X69" s="86"/>
      <c r="Y69" s="86"/>
    </row>
    <row r="70" spans="2:25" ht="16.5" x14ac:dyDescent="0.2">
      <c r="Q70" s="91"/>
      <c r="R70" s="86"/>
      <c r="S70" s="87"/>
      <c r="T70" s="86"/>
      <c r="U70" s="86"/>
      <c r="V70" s="86"/>
      <c r="W70" s="86"/>
      <c r="X70" s="86"/>
      <c r="Y70" s="87"/>
    </row>
    <row r="71" spans="2:25" ht="16.5" x14ac:dyDescent="0.2">
      <c r="Q71" s="91"/>
      <c r="R71" s="86"/>
      <c r="S71" s="87"/>
      <c r="T71" s="86"/>
      <c r="U71" s="86"/>
      <c r="V71" s="86"/>
      <c r="W71" s="86"/>
      <c r="X71" s="86"/>
      <c r="Y71" s="86"/>
    </row>
    <row r="72" spans="2:25" ht="16.5" x14ac:dyDescent="0.2">
      <c r="Q72" s="91"/>
      <c r="R72" s="86"/>
      <c r="S72" s="87"/>
      <c r="T72" s="86"/>
      <c r="U72" s="86"/>
      <c r="V72" s="86"/>
      <c r="W72" s="86"/>
      <c r="X72" s="86"/>
      <c r="Y72" s="87"/>
    </row>
    <row r="73" spans="2:25" ht="16.5" x14ac:dyDescent="0.2">
      <c r="Q73" s="91"/>
      <c r="R73" s="86"/>
      <c r="S73" s="87"/>
      <c r="T73" s="86"/>
      <c r="U73" s="86"/>
      <c r="V73" s="86"/>
      <c r="W73" s="86"/>
      <c r="X73" s="86"/>
      <c r="Y73" s="87"/>
    </row>
    <row r="74" spans="2:25" ht="16.5" x14ac:dyDescent="0.2">
      <c r="B74" t="s">
        <v>189</v>
      </c>
      <c r="Q74" s="91"/>
      <c r="R74" s="86"/>
      <c r="S74" s="87"/>
      <c r="T74" s="86"/>
      <c r="U74" s="86"/>
      <c r="V74" s="86"/>
      <c r="W74" s="86"/>
      <c r="X74" s="86"/>
      <c r="Y74" s="87"/>
    </row>
    <row r="75" spans="2:25" ht="16.5" x14ac:dyDescent="0.2">
      <c r="B75" t="s">
        <v>190</v>
      </c>
      <c r="Q75" s="91"/>
      <c r="R75" s="86"/>
      <c r="S75" s="87"/>
      <c r="T75" s="86"/>
      <c r="U75" s="86"/>
      <c r="V75" s="86"/>
      <c r="W75" s="86"/>
      <c r="X75" s="86"/>
      <c r="Y75" s="87"/>
    </row>
    <row r="76" spans="2:25" ht="16.5" x14ac:dyDescent="0.2">
      <c r="N76" t="s">
        <v>193</v>
      </c>
      <c r="Q76" s="91"/>
      <c r="R76" s="86"/>
      <c r="S76" s="87"/>
      <c r="T76" s="86"/>
      <c r="U76" s="86"/>
      <c r="V76" s="86"/>
      <c r="W76" s="86"/>
      <c r="X76" s="86"/>
      <c r="Y76" s="87"/>
    </row>
    <row r="77" spans="2:25" ht="16.5" x14ac:dyDescent="0.2">
      <c r="L77">
        <v>2009</v>
      </c>
      <c r="M77" s="75">
        <v>22745</v>
      </c>
      <c r="O77" s="96"/>
      <c r="Q77" s="91"/>
      <c r="R77" s="86"/>
      <c r="S77" s="96"/>
      <c r="T77" s="86"/>
      <c r="U77" s="86"/>
      <c r="V77" s="86"/>
      <c r="W77" s="86"/>
      <c r="X77" s="86"/>
      <c r="Y77" s="88"/>
    </row>
    <row r="78" spans="2:25" ht="16.5" x14ac:dyDescent="0.2">
      <c r="L78">
        <v>2010</v>
      </c>
      <c r="M78" s="75">
        <v>24075</v>
      </c>
      <c r="N78" s="93">
        <f>(M78-M77)/M77</f>
        <v>5.8474389975818858E-2</v>
      </c>
      <c r="O78" s="96"/>
      <c r="Q78" s="91"/>
      <c r="R78" s="86"/>
      <c r="S78" s="96"/>
      <c r="T78" s="86"/>
      <c r="U78" s="86"/>
      <c r="V78" s="86"/>
      <c r="W78" s="86"/>
      <c r="X78" s="86"/>
      <c r="Y78" s="87"/>
    </row>
    <row r="79" spans="2:25" ht="16.5" x14ac:dyDescent="0.2">
      <c r="L79">
        <v>2011</v>
      </c>
      <c r="M79" s="75">
        <v>27006</v>
      </c>
      <c r="N79" s="93">
        <f t="shared" ref="N79:N91" si="2">(M79-M78)/M78</f>
        <v>0.12174454828660436</v>
      </c>
      <c r="O79" s="96"/>
      <c r="Q79" s="91"/>
      <c r="R79" s="86"/>
      <c r="S79" s="96"/>
      <c r="T79" s="86"/>
      <c r="U79" s="223"/>
      <c r="V79" s="223"/>
      <c r="W79" s="223"/>
      <c r="X79" s="223"/>
      <c r="Y79" s="223"/>
    </row>
    <row r="80" spans="2:25" ht="16.5" x14ac:dyDescent="0.2">
      <c r="L80">
        <v>2012</v>
      </c>
      <c r="M80" s="75">
        <v>27567</v>
      </c>
      <c r="N80" s="93">
        <f t="shared" si="2"/>
        <v>2.0773161519662298E-2</v>
      </c>
      <c r="O80" s="96"/>
      <c r="Q80" s="92"/>
      <c r="R80" s="86"/>
      <c r="S80" s="96"/>
      <c r="T80" s="86"/>
      <c r="U80" s="223"/>
      <c r="V80" s="223"/>
      <c r="W80" s="223"/>
      <c r="X80" s="223"/>
      <c r="Y80" s="223"/>
    </row>
    <row r="81" spans="2:25" ht="16.5" x14ac:dyDescent="0.2">
      <c r="L81">
        <v>2013</v>
      </c>
      <c r="M81" s="75">
        <v>28106</v>
      </c>
      <c r="N81" s="93">
        <f t="shared" si="2"/>
        <v>1.9552363332970581E-2</v>
      </c>
      <c r="O81" s="96"/>
      <c r="P81" s="93">
        <v>5.8474389975818858E-2</v>
      </c>
      <c r="Q81" s="91"/>
      <c r="R81" s="86"/>
      <c r="S81" s="96"/>
      <c r="T81" s="86"/>
      <c r="U81" s="86"/>
      <c r="V81" s="86"/>
      <c r="W81" s="86"/>
      <c r="X81" s="86"/>
      <c r="Y81" s="87"/>
    </row>
    <row r="82" spans="2:25" ht="16.5" x14ac:dyDescent="0.2">
      <c r="L82">
        <v>2014</v>
      </c>
      <c r="M82" s="75">
        <v>27441</v>
      </c>
      <c r="N82" s="93">
        <f t="shared" si="2"/>
        <v>-2.3660428378282219E-2</v>
      </c>
      <c r="O82" s="96"/>
      <c r="P82" s="93">
        <v>0.12174454828660436</v>
      </c>
      <c r="Q82" s="91"/>
      <c r="R82" s="86"/>
      <c r="S82" s="96"/>
      <c r="T82" s="86"/>
      <c r="U82" s="86"/>
      <c r="V82" s="86"/>
      <c r="W82" s="86"/>
      <c r="X82" s="86"/>
      <c r="Y82" s="88"/>
    </row>
    <row r="83" spans="2:25" ht="16.5" x14ac:dyDescent="0.2">
      <c r="L83">
        <v>2015</v>
      </c>
      <c r="M83" s="75">
        <v>25413</v>
      </c>
      <c r="N83" s="93">
        <f t="shared" si="2"/>
        <v>-7.3904012244451728E-2</v>
      </c>
      <c r="O83" s="96"/>
      <c r="P83" s="93">
        <v>2.0773161519662298E-2</v>
      </c>
      <c r="Q83" s="91"/>
      <c r="R83" s="86"/>
      <c r="S83" s="96"/>
      <c r="T83" s="86"/>
      <c r="U83" s="86"/>
      <c r="V83" s="86"/>
      <c r="W83" s="86"/>
      <c r="X83" s="86"/>
      <c r="Y83" s="88"/>
    </row>
    <row r="84" spans="2:25" ht="16.5" x14ac:dyDescent="0.2">
      <c r="L84">
        <v>2016</v>
      </c>
      <c r="M84" s="75">
        <v>24622</v>
      </c>
      <c r="N84" s="93">
        <f t="shared" si="2"/>
        <v>-3.112580175500728E-2</v>
      </c>
      <c r="O84" s="96"/>
      <c r="P84" s="93">
        <v>1.9552363332970581E-2</v>
      </c>
      <c r="Q84" s="91"/>
      <c r="R84" s="86"/>
      <c r="S84" s="96"/>
      <c r="T84" s="86"/>
      <c r="U84" s="86"/>
      <c r="V84" s="86"/>
      <c r="W84" s="86"/>
      <c r="X84" s="86"/>
      <c r="Y84" s="88"/>
    </row>
    <row r="85" spans="2:25" ht="16.5" x14ac:dyDescent="0.2">
      <c r="L85">
        <v>2017</v>
      </c>
      <c r="M85" s="75">
        <v>22820</v>
      </c>
      <c r="N85" s="93">
        <f t="shared" si="2"/>
        <v>-7.3186581106327669E-2</v>
      </c>
      <c r="O85" s="96"/>
      <c r="P85" s="93">
        <v>-1.7224303492227532E-3</v>
      </c>
      <c r="Q85" s="91"/>
      <c r="R85" s="86"/>
      <c r="S85" s="96"/>
      <c r="T85" s="86"/>
      <c r="U85" s="86"/>
      <c r="V85" s="86"/>
      <c r="W85" s="86"/>
      <c r="X85" s="86"/>
      <c r="Y85" s="86"/>
    </row>
    <row r="86" spans="2:25" ht="16.5" x14ac:dyDescent="0.2">
      <c r="L86">
        <v>2018</v>
      </c>
      <c r="M86" s="75">
        <v>21258</v>
      </c>
      <c r="N86" s="93">
        <f t="shared" si="2"/>
        <v>-6.8448729184925505E-2</v>
      </c>
      <c r="O86" s="96"/>
      <c r="P86" s="93">
        <v>9.9685114092222749E-2</v>
      </c>
      <c r="Q86" s="91"/>
      <c r="R86" s="86"/>
      <c r="S86" s="96"/>
      <c r="T86" s="86"/>
      <c r="U86" s="86"/>
      <c r="V86" s="86"/>
      <c r="W86" s="86"/>
      <c r="X86" s="86"/>
      <c r="Y86" s="87"/>
    </row>
    <row r="87" spans="2:25" ht="16.5" x14ac:dyDescent="0.2">
      <c r="L87">
        <v>2019</v>
      </c>
      <c r="M87" s="75">
        <v>21364</v>
      </c>
      <c r="N87" s="93">
        <f t="shared" si="2"/>
        <v>4.9863580769592625E-3</v>
      </c>
      <c r="O87" s="96"/>
      <c r="P87" s="97">
        <f>AVERAGE(P81:P86)</f>
        <v>5.3084524476342682E-2</v>
      </c>
      <c r="Q87" s="97">
        <f>P87</f>
        <v>5.3084524476342682E-2</v>
      </c>
      <c r="R87" s="97">
        <f t="shared" ref="R87:T87" si="3">Q87</f>
        <v>5.3084524476342682E-2</v>
      </c>
      <c r="S87" s="97">
        <f t="shared" si="3"/>
        <v>5.3084524476342682E-2</v>
      </c>
      <c r="T87" s="97">
        <f t="shared" si="3"/>
        <v>5.3084524476342682E-2</v>
      </c>
      <c r="U87" s="86"/>
      <c r="V87" s="86"/>
      <c r="W87" s="86"/>
      <c r="X87" s="86"/>
      <c r="Y87" s="87"/>
    </row>
    <row r="88" spans="2:25" ht="16.5" x14ac:dyDescent="0.2">
      <c r="L88">
        <v>2020</v>
      </c>
      <c r="M88" s="75">
        <v>19208</v>
      </c>
      <c r="N88" s="93">
        <f t="shared" si="2"/>
        <v>-0.10091743119266056</v>
      </c>
      <c r="O88" s="96"/>
      <c r="P88" s="75">
        <f>C53</f>
        <v>25765</v>
      </c>
      <c r="Q88" s="75">
        <f>P88*(1+Q87)</f>
        <v>27132.722773132969</v>
      </c>
      <c r="R88" s="75">
        <f t="shared" ref="R88:T88" si="4">Q88*(1+R87)</f>
        <v>28573.050459293168</v>
      </c>
      <c r="S88" s="75">
        <f t="shared" si="4"/>
        <v>30089.83725576329</v>
      </c>
      <c r="T88" s="75">
        <f t="shared" si="4"/>
        <v>31687.141958056025</v>
      </c>
      <c r="U88" s="86"/>
      <c r="V88" s="86"/>
      <c r="W88" s="86"/>
      <c r="X88" s="86"/>
      <c r="Y88" s="88"/>
    </row>
    <row r="89" spans="2:25" ht="14.25" customHeight="1" x14ac:dyDescent="0.2">
      <c r="L89">
        <v>2021</v>
      </c>
      <c r="M89" s="75">
        <v>23223</v>
      </c>
      <c r="N89" s="93">
        <f t="shared" si="2"/>
        <v>0.20902748854643899</v>
      </c>
      <c r="O89" s="96"/>
      <c r="Q89" s="91"/>
      <c r="R89" s="86"/>
      <c r="S89" s="96"/>
      <c r="T89" s="86"/>
      <c r="U89" s="86"/>
      <c r="V89" s="86"/>
      <c r="W89" s="86"/>
      <c r="X89" s="86"/>
      <c r="Y89" s="87"/>
    </row>
    <row r="90" spans="2:25" ht="15" customHeight="1" x14ac:dyDescent="0.2">
      <c r="L90">
        <v>2022</v>
      </c>
      <c r="M90" s="75">
        <v>23183</v>
      </c>
      <c r="N90" s="93">
        <f t="shared" si="2"/>
        <v>-1.7224303492227532E-3</v>
      </c>
      <c r="O90" s="96"/>
      <c r="Q90" s="91"/>
      <c r="R90" s="86"/>
      <c r="S90" s="96"/>
      <c r="T90" s="86"/>
      <c r="U90" s="86"/>
      <c r="V90" s="86"/>
      <c r="W90" s="86"/>
      <c r="X90" s="86"/>
      <c r="Y90" s="87"/>
    </row>
    <row r="91" spans="2:25" ht="16.5" x14ac:dyDescent="0.2">
      <c r="L91">
        <v>2023</v>
      </c>
      <c r="M91" s="75">
        <v>25494</v>
      </c>
      <c r="N91" s="93">
        <f t="shared" si="2"/>
        <v>9.9685114092222749E-2</v>
      </c>
      <c r="O91" s="96"/>
      <c r="Q91" s="91"/>
      <c r="R91" s="86"/>
      <c r="S91" s="96"/>
      <c r="T91" s="86"/>
      <c r="U91" s="86"/>
      <c r="V91" s="86"/>
      <c r="W91" s="86"/>
      <c r="X91" s="86"/>
      <c r="Y91" s="87"/>
    </row>
    <row r="92" spans="2:25" ht="16.5" x14ac:dyDescent="0.2">
      <c r="B92" t="s">
        <v>191</v>
      </c>
      <c r="Q92" s="91"/>
      <c r="R92" s="86"/>
      <c r="S92" s="87"/>
      <c r="T92" s="86"/>
      <c r="U92" s="86"/>
      <c r="V92" s="86"/>
      <c r="W92" s="86"/>
      <c r="X92" s="86"/>
      <c r="Y92" s="88"/>
    </row>
    <row r="93" spans="2:25" ht="16.5" x14ac:dyDescent="0.2">
      <c r="B93" t="s">
        <v>192</v>
      </c>
      <c r="Q93" s="91"/>
      <c r="R93" s="86"/>
      <c r="S93" s="88"/>
      <c r="T93" s="86"/>
      <c r="U93" s="86"/>
      <c r="V93" s="86"/>
      <c r="W93" s="86"/>
      <c r="X93" s="86"/>
      <c r="Y93" s="88"/>
    </row>
    <row r="94" spans="2:25" ht="16.5" x14ac:dyDescent="0.2">
      <c r="Q94" s="91"/>
      <c r="R94" s="86"/>
      <c r="S94" s="87"/>
      <c r="T94" s="86"/>
      <c r="U94" s="86"/>
      <c r="V94" s="86"/>
      <c r="W94" s="86"/>
      <c r="X94" s="86"/>
      <c r="Y94" s="88"/>
    </row>
    <row r="95" spans="2:25" ht="16.5" x14ac:dyDescent="0.2">
      <c r="B95" t="s">
        <v>194</v>
      </c>
      <c r="Q95" s="91"/>
      <c r="R95" s="86"/>
      <c r="S95" s="88"/>
      <c r="T95" s="86"/>
      <c r="U95" s="86"/>
      <c r="V95" s="86"/>
      <c r="W95" s="86"/>
      <c r="X95" s="86"/>
      <c r="Y95" s="87"/>
    </row>
    <row r="96" spans="2:25" ht="16.5" x14ac:dyDescent="0.2">
      <c r="Q96" s="91"/>
      <c r="R96" s="86"/>
      <c r="S96" s="87"/>
      <c r="T96" s="86"/>
      <c r="U96" s="86"/>
      <c r="V96" s="86"/>
      <c r="W96" s="86"/>
      <c r="X96" s="86"/>
      <c r="Y96" s="87"/>
    </row>
    <row r="97" spans="17:25" ht="16.5" x14ac:dyDescent="0.2">
      <c r="Q97" s="91"/>
      <c r="R97" s="86"/>
      <c r="S97" s="87"/>
      <c r="T97" s="86"/>
      <c r="U97" s="86"/>
      <c r="V97" s="86"/>
      <c r="W97" s="86"/>
      <c r="X97" s="86"/>
      <c r="Y97" s="88"/>
    </row>
    <row r="98" spans="17:25" ht="16.5" x14ac:dyDescent="0.2">
      <c r="Q98" s="91"/>
      <c r="R98" s="86"/>
      <c r="S98" s="87"/>
      <c r="T98" s="86"/>
      <c r="U98" s="86"/>
      <c r="V98" s="86"/>
      <c r="W98" s="86"/>
      <c r="X98" s="86"/>
      <c r="Y98" s="88"/>
    </row>
    <row r="99" spans="17:25" ht="16.5" x14ac:dyDescent="0.2">
      <c r="Q99" s="91"/>
      <c r="R99" s="86"/>
      <c r="S99" s="87"/>
      <c r="T99" s="86"/>
      <c r="U99" s="86"/>
      <c r="V99" s="86"/>
      <c r="W99" s="86"/>
      <c r="X99" s="86"/>
      <c r="Y99" s="88"/>
    </row>
    <row r="100" spans="17:25" ht="16.5" x14ac:dyDescent="0.2">
      <c r="Q100" s="91"/>
      <c r="R100" s="86"/>
      <c r="S100" s="88"/>
      <c r="T100" s="86"/>
      <c r="U100" s="86"/>
      <c r="V100" s="86"/>
      <c r="W100" s="86"/>
      <c r="X100" s="86"/>
      <c r="Y100" s="87"/>
    </row>
    <row r="101" spans="17:25" ht="16.5" x14ac:dyDescent="0.2">
      <c r="Q101" s="91"/>
      <c r="R101" s="86"/>
      <c r="S101" s="86"/>
      <c r="T101" s="86"/>
      <c r="U101" s="86"/>
      <c r="V101" s="86"/>
      <c r="W101" s="86"/>
      <c r="X101" s="86"/>
      <c r="Y101" s="86"/>
    </row>
    <row r="102" spans="17:25" ht="16.5" x14ac:dyDescent="0.2">
      <c r="Q102" s="91"/>
      <c r="R102" s="86"/>
      <c r="S102" s="87"/>
      <c r="T102" s="86"/>
      <c r="U102" s="86"/>
      <c r="V102" s="86"/>
      <c r="W102" s="86"/>
      <c r="X102" s="86"/>
      <c r="Y102" s="87"/>
    </row>
    <row r="103" spans="17:25" ht="16.5" x14ac:dyDescent="0.2">
      <c r="Q103" s="91"/>
      <c r="R103" s="86"/>
      <c r="S103" s="87"/>
      <c r="T103" s="86"/>
      <c r="U103" s="86"/>
      <c r="V103" s="86"/>
      <c r="W103" s="86"/>
      <c r="X103" s="86"/>
      <c r="Y103" s="87"/>
    </row>
    <row r="104" spans="17:25" ht="16.5" x14ac:dyDescent="0.2">
      <c r="Q104" s="91"/>
      <c r="R104" s="86"/>
      <c r="S104" s="88"/>
      <c r="T104" s="86"/>
      <c r="U104" s="86"/>
      <c r="V104" s="86"/>
      <c r="W104" s="86"/>
      <c r="X104" s="86"/>
      <c r="Y104" s="88"/>
    </row>
    <row r="105" spans="17:25" ht="16.5" x14ac:dyDescent="0.2">
      <c r="Q105" s="91"/>
      <c r="R105" s="86"/>
      <c r="S105" s="88"/>
      <c r="T105" s="86"/>
      <c r="U105" s="86"/>
      <c r="V105" s="86"/>
      <c r="W105" s="86"/>
      <c r="X105" s="86"/>
      <c r="Y105" s="88"/>
    </row>
    <row r="106" spans="17:25" ht="16.5" x14ac:dyDescent="0.2">
      <c r="Q106" s="91"/>
      <c r="R106" s="86"/>
      <c r="S106" s="87"/>
      <c r="T106" s="86"/>
      <c r="U106" s="86"/>
      <c r="V106" s="86"/>
      <c r="W106" s="86"/>
      <c r="X106" s="86"/>
      <c r="Y106" s="88"/>
    </row>
    <row r="107" spans="17:25" ht="16.5" x14ac:dyDescent="0.2">
      <c r="Q107" s="91"/>
      <c r="R107" s="86"/>
      <c r="S107" s="87"/>
      <c r="T107" s="86"/>
      <c r="U107" s="86"/>
      <c r="V107" s="86"/>
      <c r="W107" s="86"/>
      <c r="X107" s="86"/>
      <c r="Y107" s="88"/>
    </row>
    <row r="108" spans="17:25" ht="16.5" x14ac:dyDescent="0.2">
      <c r="Q108" s="91"/>
      <c r="R108" s="86"/>
      <c r="S108" s="88"/>
      <c r="T108" s="86"/>
      <c r="U108" s="86"/>
      <c r="V108" s="86"/>
      <c r="W108" s="86"/>
      <c r="X108" s="86"/>
      <c r="Y108" s="88"/>
    </row>
    <row r="109" spans="17:25" ht="16.5" x14ac:dyDescent="0.2">
      <c r="Q109" s="91"/>
      <c r="R109" s="86"/>
      <c r="S109" s="87"/>
      <c r="T109" s="86"/>
      <c r="U109" s="86"/>
      <c r="V109" s="86"/>
      <c r="W109" s="86"/>
      <c r="X109" s="86"/>
      <c r="Y109" s="87"/>
    </row>
    <row r="110" spans="17:25" ht="16.5" x14ac:dyDescent="0.2">
      <c r="Q110" s="91"/>
      <c r="R110" s="86"/>
      <c r="S110" s="87"/>
      <c r="T110" s="86"/>
      <c r="U110" s="86"/>
      <c r="V110" s="86"/>
      <c r="W110" s="86"/>
      <c r="X110" s="86"/>
      <c r="Y110" s="88"/>
    </row>
    <row r="111" spans="17:25" ht="16.5" x14ac:dyDescent="0.2">
      <c r="Q111" s="91"/>
      <c r="R111" s="86"/>
      <c r="S111" s="87"/>
      <c r="T111" s="86"/>
      <c r="U111" s="86"/>
      <c r="V111" s="86"/>
      <c r="W111" s="86"/>
      <c r="X111" s="86"/>
      <c r="Y111" s="88"/>
    </row>
    <row r="112" spans="17:25" ht="16.5" x14ac:dyDescent="0.2">
      <c r="Q112" s="91"/>
      <c r="R112" s="86"/>
      <c r="S112" s="88"/>
      <c r="T112" s="86"/>
      <c r="U112" s="86"/>
      <c r="V112" s="86"/>
      <c r="W112" s="86"/>
      <c r="X112" s="86"/>
      <c r="Y112" s="87"/>
    </row>
    <row r="113" spans="2:25" ht="16.5" x14ac:dyDescent="0.2">
      <c r="Q113" s="91"/>
      <c r="R113" s="86"/>
      <c r="S113" s="87"/>
      <c r="T113" s="86"/>
      <c r="U113" s="86"/>
      <c r="V113" s="86"/>
      <c r="W113" s="86"/>
      <c r="X113" s="86"/>
      <c r="Y113" s="87"/>
    </row>
    <row r="115" spans="2:25" x14ac:dyDescent="0.2">
      <c r="B115" t="s">
        <v>195</v>
      </c>
    </row>
    <row r="129" spans="2:21" x14ac:dyDescent="0.2">
      <c r="B129" t="s">
        <v>196</v>
      </c>
    </row>
    <row r="131" spans="2:21" x14ac:dyDescent="0.2">
      <c r="B131" t="s">
        <v>21</v>
      </c>
      <c r="C131" t="s">
        <v>197</v>
      </c>
      <c r="D131" t="s">
        <v>198</v>
      </c>
    </row>
    <row r="132" spans="2:21" x14ac:dyDescent="0.2">
      <c r="B132" t="s">
        <v>5</v>
      </c>
      <c r="C132" s="77">
        <v>0.02</v>
      </c>
      <c r="D132" s="75">
        <f>C53</f>
        <v>25765</v>
      </c>
    </row>
    <row r="133" spans="2:21" x14ac:dyDescent="0.2">
      <c r="B133">
        <v>1</v>
      </c>
      <c r="C133" s="31">
        <v>2.5000000000000001E-2</v>
      </c>
      <c r="D133" s="50">
        <f>D132+(D132*C132)</f>
        <v>26280.3</v>
      </c>
    </row>
    <row r="134" spans="2:21" x14ac:dyDescent="0.2">
      <c r="B134">
        <v>2</v>
      </c>
      <c r="C134" s="31">
        <v>2.5000000000000001E-2</v>
      </c>
      <c r="D134" s="50">
        <f t="shared" ref="D134:D138" si="5">D133+(D133*C133)</f>
        <v>26937.307499999999</v>
      </c>
      <c r="E134">
        <f>D134/D133</f>
        <v>1.0249999999999999</v>
      </c>
    </row>
    <row r="135" spans="2:21" x14ac:dyDescent="0.2">
      <c r="B135">
        <v>3</v>
      </c>
      <c r="C135" s="31">
        <v>2.5000000000000001E-2</v>
      </c>
      <c r="D135" s="50">
        <f t="shared" si="5"/>
        <v>27610.7401875</v>
      </c>
    </row>
    <row r="136" spans="2:21" x14ac:dyDescent="0.2">
      <c r="B136">
        <v>4</v>
      </c>
      <c r="C136" s="31">
        <v>2.5000000000000001E-2</v>
      </c>
      <c r="D136" s="50">
        <f t="shared" si="5"/>
        <v>28301.008692187501</v>
      </c>
    </row>
    <row r="137" spans="2:21" x14ac:dyDescent="0.2">
      <c r="B137">
        <v>5</v>
      </c>
      <c r="C137" s="31">
        <v>2.5000000000000001E-2</v>
      </c>
      <c r="D137" s="50">
        <f t="shared" si="5"/>
        <v>29008.533909492187</v>
      </c>
    </row>
    <row r="138" spans="2:21" x14ac:dyDescent="0.2">
      <c r="B138" t="s">
        <v>75</v>
      </c>
      <c r="C138" s="31">
        <v>2.5000000000000001E-2</v>
      </c>
      <c r="D138" s="50">
        <f t="shared" si="5"/>
        <v>29733.747257229494</v>
      </c>
    </row>
    <row r="143" spans="2:21" ht="15" x14ac:dyDescent="0.25">
      <c r="B143" s="22" t="s">
        <v>199</v>
      </c>
    </row>
    <row r="144" spans="2:21" ht="15" thickBot="1" x14ac:dyDescent="0.25">
      <c r="C144" t="s">
        <v>134</v>
      </c>
      <c r="E144" t="s">
        <v>200</v>
      </c>
      <c r="G144" t="s">
        <v>199</v>
      </c>
      <c r="U144" cm="1">
        <f t="array" ref="U144:U158">_xlfn.SORTBY(M145:M159,_xlfn.SEQUENCE(ROWS(M145:M159)),-1)</f>
        <v>0</v>
      </c>
    </row>
    <row r="145" spans="2:21" ht="15.75" thickBot="1" x14ac:dyDescent="0.25">
      <c r="B145">
        <v>2009</v>
      </c>
      <c r="C145" s="75">
        <v>22745</v>
      </c>
      <c r="D145">
        <v>2009</v>
      </c>
      <c r="E145" s="75">
        <v>6841</v>
      </c>
      <c r="F145">
        <v>2009</v>
      </c>
      <c r="G145" s="66">
        <f>E145/C145</f>
        <v>0.30076939986810286</v>
      </c>
      <c r="L145" s="74"/>
      <c r="M145" s="74"/>
      <c r="U145">
        <v>0</v>
      </c>
    </row>
    <row r="146" spans="2:21" ht="15.75" thickBot="1" x14ac:dyDescent="0.25">
      <c r="B146">
        <v>2010</v>
      </c>
      <c r="C146" s="75">
        <v>24075</v>
      </c>
      <c r="D146">
        <v>2010</v>
      </c>
      <c r="E146" s="75">
        <v>7473</v>
      </c>
      <c r="F146">
        <v>2010</v>
      </c>
      <c r="G146" s="66">
        <f t="shared" ref="G146:G158" si="6">E146/C146</f>
        <v>0.31040498442367603</v>
      </c>
      <c r="L146" s="74"/>
      <c r="M146" s="74"/>
      <c r="U146">
        <v>0</v>
      </c>
    </row>
    <row r="147" spans="2:21" ht="15.75" thickBot="1" x14ac:dyDescent="0.25">
      <c r="B147">
        <v>2011</v>
      </c>
      <c r="C147" s="75">
        <v>27006</v>
      </c>
      <c r="D147">
        <v>2011</v>
      </c>
      <c r="E147" s="75">
        <v>8530</v>
      </c>
      <c r="F147">
        <v>2011</v>
      </c>
      <c r="G147" s="66">
        <f t="shared" si="6"/>
        <v>0.31585573576242315</v>
      </c>
      <c r="L147" s="74"/>
      <c r="M147" s="74"/>
      <c r="U147">
        <v>0</v>
      </c>
    </row>
    <row r="148" spans="2:21" ht="15.75" thickBot="1" x14ac:dyDescent="0.25">
      <c r="B148">
        <v>2012</v>
      </c>
      <c r="C148" s="75">
        <v>27567</v>
      </c>
      <c r="D148">
        <v>2012</v>
      </c>
      <c r="E148" s="75">
        <v>8605</v>
      </c>
      <c r="F148">
        <v>2012</v>
      </c>
      <c r="G148" s="66">
        <f t="shared" si="6"/>
        <v>0.31214858345122792</v>
      </c>
      <c r="L148" s="74"/>
      <c r="M148" s="74"/>
      <c r="U148">
        <v>0</v>
      </c>
    </row>
    <row r="149" spans="2:21" ht="15.75" thickBot="1" x14ac:dyDescent="0.25">
      <c r="B149">
        <v>2013</v>
      </c>
      <c r="C149" s="75">
        <v>28106</v>
      </c>
      <c r="D149">
        <v>2013</v>
      </c>
      <c r="E149" s="75">
        <v>8764</v>
      </c>
      <c r="F149">
        <v>2013</v>
      </c>
      <c r="G149" s="66">
        <f t="shared" si="6"/>
        <v>0.31181954031167725</v>
      </c>
      <c r="L149" s="74"/>
      <c r="M149" s="74"/>
      <c r="U149">
        <v>0</v>
      </c>
    </row>
    <row r="150" spans="2:21" ht="15.75" thickBot="1" x14ac:dyDescent="0.25">
      <c r="B150">
        <v>2014</v>
      </c>
      <c r="C150" s="75">
        <v>27441</v>
      </c>
      <c r="D150">
        <v>2014</v>
      </c>
      <c r="E150" s="75">
        <v>7949</v>
      </c>
      <c r="F150">
        <v>2014</v>
      </c>
      <c r="G150" s="66">
        <f t="shared" si="6"/>
        <v>0.28967603221456945</v>
      </c>
      <c r="L150" s="74"/>
      <c r="M150" s="74"/>
      <c r="U150">
        <v>0</v>
      </c>
    </row>
    <row r="151" spans="2:21" ht="15.75" thickBot="1" x14ac:dyDescent="0.25">
      <c r="B151">
        <v>2015</v>
      </c>
      <c r="C151" s="75">
        <v>25413</v>
      </c>
      <c r="D151">
        <v>2015</v>
      </c>
      <c r="E151" s="75">
        <v>7146</v>
      </c>
      <c r="F151">
        <v>2015</v>
      </c>
      <c r="G151" s="66">
        <f t="shared" si="6"/>
        <v>0.28119466414827055</v>
      </c>
      <c r="L151" s="74"/>
      <c r="M151" s="74"/>
      <c r="U151">
        <v>0</v>
      </c>
    </row>
    <row r="152" spans="2:21" ht="15.75" thickBot="1" x14ac:dyDescent="0.25">
      <c r="B152">
        <v>2016</v>
      </c>
      <c r="C152" s="75">
        <v>24622</v>
      </c>
      <c r="D152">
        <v>2016</v>
      </c>
      <c r="E152" s="75">
        <v>7745</v>
      </c>
      <c r="F152">
        <v>2016</v>
      </c>
      <c r="G152" s="66">
        <f t="shared" si="6"/>
        <v>0.31455608805133622</v>
      </c>
      <c r="L152" s="74"/>
      <c r="M152" s="74"/>
      <c r="U152">
        <v>0</v>
      </c>
    </row>
    <row r="153" spans="2:21" ht="15.75" thickBot="1" x14ac:dyDescent="0.25">
      <c r="B153">
        <v>2017</v>
      </c>
      <c r="C153" s="75">
        <v>22820</v>
      </c>
      <c r="D153">
        <v>2017</v>
      </c>
      <c r="E153" s="75">
        <v>9553</v>
      </c>
      <c r="F153">
        <v>2017</v>
      </c>
      <c r="G153" s="66">
        <f t="shared" si="6"/>
        <v>0.41862401402278704</v>
      </c>
      <c r="L153" s="74"/>
      <c r="M153" s="74"/>
      <c r="U153">
        <v>0</v>
      </c>
    </row>
    <row r="154" spans="2:21" ht="15.75" thickBot="1" x14ac:dyDescent="0.25">
      <c r="B154">
        <v>2018</v>
      </c>
      <c r="C154" s="75">
        <v>21258</v>
      </c>
      <c r="D154">
        <v>2018</v>
      </c>
      <c r="E154" s="75">
        <v>8823</v>
      </c>
      <c r="F154">
        <v>2018</v>
      </c>
      <c r="G154" s="66">
        <f t="shared" si="6"/>
        <v>0.41504374823595824</v>
      </c>
      <c r="L154" s="74"/>
      <c r="M154" s="74"/>
      <c r="U154">
        <v>0</v>
      </c>
    </row>
    <row r="155" spans="2:21" ht="15.75" thickBot="1" x14ac:dyDescent="0.25">
      <c r="B155">
        <v>2019</v>
      </c>
      <c r="C155" s="75">
        <v>21364</v>
      </c>
      <c r="D155">
        <v>2019</v>
      </c>
      <c r="E155" s="75">
        <v>9070</v>
      </c>
      <c r="F155">
        <v>2019</v>
      </c>
      <c r="G155" s="66">
        <f t="shared" si="6"/>
        <v>0.42454596517506082</v>
      </c>
      <c r="L155" s="74"/>
      <c r="M155" s="74"/>
      <c r="U155">
        <v>0</v>
      </c>
    </row>
    <row r="156" spans="2:21" ht="15.75" thickBot="1" x14ac:dyDescent="0.25">
      <c r="B156">
        <v>2020</v>
      </c>
      <c r="C156" s="75">
        <v>19208</v>
      </c>
      <c r="D156">
        <v>2020</v>
      </c>
      <c r="E156" s="75">
        <v>7324</v>
      </c>
      <c r="F156">
        <v>2020</v>
      </c>
      <c r="G156" s="66">
        <f t="shared" si="6"/>
        <v>0.38129945855893377</v>
      </c>
      <c r="L156" s="74"/>
      <c r="M156" s="74"/>
      <c r="U156">
        <v>0</v>
      </c>
    </row>
    <row r="157" spans="2:21" ht="15.75" thickBot="1" x14ac:dyDescent="0.25">
      <c r="B157">
        <v>2021</v>
      </c>
      <c r="C157" s="75">
        <v>23223</v>
      </c>
      <c r="D157">
        <v>2021</v>
      </c>
      <c r="E157" s="75">
        <v>10356</v>
      </c>
      <c r="F157">
        <v>2021</v>
      </c>
      <c r="G157" s="66">
        <f t="shared" si="6"/>
        <v>0.44593721741377085</v>
      </c>
      <c r="L157" s="74"/>
      <c r="M157" s="74"/>
      <c r="U157">
        <v>0</v>
      </c>
    </row>
    <row r="158" spans="2:21" ht="15.75" thickBot="1" x14ac:dyDescent="0.25">
      <c r="B158">
        <v>2022</v>
      </c>
      <c r="C158" s="75">
        <v>23183</v>
      </c>
      <c r="D158">
        <v>2022</v>
      </c>
      <c r="E158" s="75">
        <v>9371</v>
      </c>
      <c r="F158">
        <v>2022</v>
      </c>
      <c r="G158" s="66">
        <f t="shared" si="6"/>
        <v>0.40421860846309798</v>
      </c>
      <c r="L158" s="74"/>
      <c r="M158" s="74"/>
      <c r="U158">
        <v>0</v>
      </c>
    </row>
    <row r="159" spans="2:21" ht="15" x14ac:dyDescent="0.2">
      <c r="B159">
        <v>2023</v>
      </c>
      <c r="C159" s="75">
        <v>25494</v>
      </c>
      <c r="D159">
        <v>2023</v>
      </c>
      <c r="E159" s="75">
        <v>11647</v>
      </c>
      <c r="F159">
        <v>2023</v>
      </c>
      <c r="G159" s="66">
        <f>E159/C159</f>
        <v>0.45685259276692552</v>
      </c>
      <c r="L159" s="74"/>
      <c r="M159" s="74"/>
    </row>
    <row r="162" spans="2:3" x14ac:dyDescent="0.2">
      <c r="B162" t="s">
        <v>201</v>
      </c>
    </row>
    <row r="163" spans="2:3" x14ac:dyDescent="0.2">
      <c r="B163" t="s">
        <v>202</v>
      </c>
    </row>
    <row r="164" spans="2:3" x14ac:dyDescent="0.2">
      <c r="B164" t="s">
        <v>203</v>
      </c>
    </row>
    <row r="165" spans="2:3" x14ac:dyDescent="0.2">
      <c r="B165" t="s">
        <v>204</v>
      </c>
    </row>
    <row r="166" spans="2:3" x14ac:dyDescent="0.2">
      <c r="B166" t="s">
        <v>205</v>
      </c>
    </row>
    <row r="167" spans="2:3" x14ac:dyDescent="0.2">
      <c r="B167" t="s">
        <v>206</v>
      </c>
    </row>
    <row r="168" spans="2:3" x14ac:dyDescent="0.2">
      <c r="B168" t="s">
        <v>207</v>
      </c>
    </row>
    <row r="170" spans="2:3" x14ac:dyDescent="0.2">
      <c r="B170" t="s">
        <v>21</v>
      </c>
      <c r="C170" t="s">
        <v>199</v>
      </c>
    </row>
    <row r="171" spans="2:3" x14ac:dyDescent="0.2">
      <c r="B171" t="s">
        <v>5</v>
      </c>
      <c r="C171" s="31">
        <f>G159</f>
        <v>0.45685259276692552</v>
      </c>
    </row>
    <row r="172" spans="2:3" x14ac:dyDescent="0.2">
      <c r="B172">
        <v>1</v>
      </c>
      <c r="C172" s="77">
        <f>AVERAGE(45%,49%)</f>
        <v>0.47</v>
      </c>
    </row>
    <row r="173" spans="2:3" x14ac:dyDescent="0.2">
      <c r="B173">
        <v>2</v>
      </c>
      <c r="C173" s="77">
        <v>0.45</v>
      </c>
    </row>
    <row r="174" spans="2:3" x14ac:dyDescent="0.2">
      <c r="B174">
        <v>3</v>
      </c>
      <c r="C174" s="77">
        <v>0.44</v>
      </c>
    </row>
    <row r="175" spans="2:3" x14ac:dyDescent="0.2">
      <c r="B175">
        <v>4</v>
      </c>
      <c r="C175" s="77">
        <v>0.43</v>
      </c>
    </row>
    <row r="176" spans="2:3" x14ac:dyDescent="0.2">
      <c r="B176">
        <v>5</v>
      </c>
      <c r="C176" s="77">
        <v>0.43</v>
      </c>
    </row>
    <row r="177" spans="2:8" x14ac:dyDescent="0.2">
      <c r="B177" t="s">
        <v>75</v>
      </c>
      <c r="C177" s="77">
        <v>0.45</v>
      </c>
    </row>
    <row r="180" spans="2:8" ht="15" x14ac:dyDescent="0.25">
      <c r="B180" s="22" t="s">
        <v>200</v>
      </c>
    </row>
    <row r="182" spans="2:8" x14ac:dyDescent="0.2">
      <c r="B182" t="s">
        <v>21</v>
      </c>
      <c r="C182" t="s">
        <v>134</v>
      </c>
      <c r="D182" t="s">
        <v>199</v>
      </c>
      <c r="E182" t="s">
        <v>200</v>
      </c>
      <c r="H182" t="s">
        <v>200</v>
      </c>
    </row>
    <row r="183" spans="2:8" x14ac:dyDescent="0.2">
      <c r="B183" t="s">
        <v>5</v>
      </c>
      <c r="C183" s="75">
        <f>C53</f>
        <v>25765</v>
      </c>
      <c r="D183" s="31">
        <f>C171</f>
        <v>0.45685259276692552</v>
      </c>
      <c r="E183" s="50">
        <f>C183*D183</f>
        <v>11770.807052639837</v>
      </c>
      <c r="G183">
        <v>2009</v>
      </c>
      <c r="H183" s="75">
        <v>6841</v>
      </c>
    </row>
    <row r="184" spans="2:8" x14ac:dyDescent="0.2">
      <c r="B184">
        <v>1</v>
      </c>
      <c r="C184" s="75">
        <f t="shared" ref="C184:C189" si="7">D133</f>
        <v>26280.3</v>
      </c>
      <c r="D184" s="77">
        <f>C172</f>
        <v>0.47</v>
      </c>
      <c r="E184" s="50">
        <f>C184*D184</f>
        <v>12351.740999999998</v>
      </c>
      <c r="G184">
        <v>2010</v>
      </c>
      <c r="H184" s="75">
        <v>7473</v>
      </c>
    </row>
    <row r="185" spans="2:8" x14ac:dyDescent="0.2">
      <c r="B185">
        <v>2</v>
      </c>
      <c r="C185" s="75">
        <f t="shared" si="7"/>
        <v>26937.307499999999</v>
      </c>
      <c r="D185" s="77">
        <f t="shared" ref="D185:D189" si="8">C173</f>
        <v>0.45</v>
      </c>
      <c r="E185" s="50">
        <f t="shared" ref="E185:E189" si="9">C185*D185</f>
        <v>12121.788375</v>
      </c>
      <c r="G185">
        <v>2011</v>
      </c>
      <c r="H185" s="75">
        <v>8530</v>
      </c>
    </row>
    <row r="186" spans="2:8" x14ac:dyDescent="0.2">
      <c r="B186">
        <v>3</v>
      </c>
      <c r="C186" s="75">
        <f t="shared" si="7"/>
        <v>27610.7401875</v>
      </c>
      <c r="D186" s="77">
        <f t="shared" si="8"/>
        <v>0.44</v>
      </c>
      <c r="E186" s="50">
        <f t="shared" si="9"/>
        <v>12148.7256825</v>
      </c>
      <c r="G186">
        <v>2012</v>
      </c>
      <c r="H186" s="75">
        <v>8605</v>
      </c>
    </row>
    <row r="187" spans="2:8" x14ac:dyDescent="0.2">
      <c r="B187">
        <v>4</v>
      </c>
      <c r="C187" s="75">
        <f t="shared" si="7"/>
        <v>28301.008692187501</v>
      </c>
      <c r="D187" s="77">
        <f t="shared" si="8"/>
        <v>0.43</v>
      </c>
      <c r="E187" s="50">
        <f t="shared" si="9"/>
        <v>12169.433737640626</v>
      </c>
      <c r="G187">
        <v>2013</v>
      </c>
      <c r="H187" s="75">
        <v>8764</v>
      </c>
    </row>
    <row r="188" spans="2:8" x14ac:dyDescent="0.2">
      <c r="B188">
        <v>5</v>
      </c>
      <c r="C188" s="75">
        <f t="shared" si="7"/>
        <v>29008.533909492187</v>
      </c>
      <c r="D188" s="77">
        <f t="shared" si="8"/>
        <v>0.43</v>
      </c>
      <c r="E188" s="50">
        <f t="shared" si="9"/>
        <v>12473.66958108164</v>
      </c>
      <c r="G188">
        <v>2014</v>
      </c>
      <c r="H188" s="75">
        <v>7949</v>
      </c>
    </row>
    <row r="189" spans="2:8" x14ac:dyDescent="0.2">
      <c r="B189" t="s">
        <v>75</v>
      </c>
      <c r="C189" s="75">
        <f t="shared" si="7"/>
        <v>29733.747257229494</v>
      </c>
      <c r="D189" s="77">
        <f t="shared" si="8"/>
        <v>0.45</v>
      </c>
      <c r="E189" s="50">
        <f t="shared" si="9"/>
        <v>13380.186265753273</v>
      </c>
      <c r="G189">
        <v>2015</v>
      </c>
      <c r="H189" s="75">
        <v>7146</v>
      </c>
    </row>
    <row r="190" spans="2:8" x14ac:dyDescent="0.2">
      <c r="G190">
        <v>2016</v>
      </c>
      <c r="H190" s="75">
        <v>7745</v>
      </c>
    </row>
    <row r="191" spans="2:8" x14ac:dyDescent="0.2">
      <c r="G191">
        <v>2017</v>
      </c>
      <c r="H191" s="75">
        <v>9553</v>
      </c>
    </row>
    <row r="192" spans="2:8" x14ac:dyDescent="0.2">
      <c r="G192">
        <v>2018</v>
      </c>
      <c r="H192" s="75">
        <v>8823</v>
      </c>
    </row>
    <row r="193" spans="2:19" x14ac:dyDescent="0.2">
      <c r="G193">
        <v>2019</v>
      </c>
      <c r="H193" s="75">
        <v>9070</v>
      </c>
    </row>
    <row r="194" spans="2:19" x14ac:dyDescent="0.2">
      <c r="G194">
        <v>2020</v>
      </c>
      <c r="H194" s="75">
        <v>7324</v>
      </c>
    </row>
    <row r="195" spans="2:19" x14ac:dyDescent="0.2">
      <c r="G195">
        <v>2021</v>
      </c>
      <c r="H195" s="75">
        <v>10356</v>
      </c>
    </row>
    <row r="196" spans="2:19" x14ac:dyDescent="0.2">
      <c r="G196">
        <v>2022</v>
      </c>
      <c r="H196" s="75">
        <v>9371</v>
      </c>
    </row>
    <row r="197" spans="2:19" x14ac:dyDescent="0.2">
      <c r="G197">
        <v>2023</v>
      </c>
      <c r="H197" s="75">
        <v>11647</v>
      </c>
    </row>
    <row r="198" spans="2:19" x14ac:dyDescent="0.2">
      <c r="F198" s="99">
        <v>1</v>
      </c>
      <c r="G198" s="98">
        <v>2024</v>
      </c>
      <c r="H198" s="100">
        <f>E184</f>
        <v>12351.740999999998</v>
      </c>
    </row>
    <row r="199" spans="2:19" x14ac:dyDescent="0.2">
      <c r="F199" s="98">
        <v>2</v>
      </c>
      <c r="G199" s="98">
        <v>2025</v>
      </c>
      <c r="H199" s="100">
        <f t="shared" ref="H199:H202" si="10">E185</f>
        <v>12121.788375</v>
      </c>
    </row>
    <row r="200" spans="2:19" x14ac:dyDescent="0.2">
      <c r="F200" s="98">
        <v>3</v>
      </c>
      <c r="G200" s="98">
        <v>2026</v>
      </c>
      <c r="H200" s="100">
        <f t="shared" si="10"/>
        <v>12148.7256825</v>
      </c>
    </row>
    <row r="201" spans="2:19" x14ac:dyDescent="0.2">
      <c r="F201" s="98">
        <v>4</v>
      </c>
      <c r="G201" s="98">
        <v>2027</v>
      </c>
      <c r="H201" s="100">
        <f t="shared" si="10"/>
        <v>12169.433737640626</v>
      </c>
    </row>
    <row r="202" spans="2:19" x14ac:dyDescent="0.2">
      <c r="F202" s="98">
        <v>5</v>
      </c>
      <c r="G202" s="98">
        <v>2028</v>
      </c>
      <c r="H202" s="100">
        <f t="shared" si="10"/>
        <v>12473.66958108164</v>
      </c>
    </row>
    <row r="205" spans="2:19" ht="15" x14ac:dyDescent="0.25">
      <c r="B205" s="22" t="s">
        <v>208</v>
      </c>
      <c r="J205" s="101"/>
    </row>
    <row r="207" spans="2:19" ht="15" thickBot="1" x14ac:dyDescent="0.25">
      <c r="C207" t="s">
        <v>134</v>
      </c>
      <c r="D207" t="s">
        <v>209</v>
      </c>
      <c r="E207" t="s">
        <v>210</v>
      </c>
      <c r="F207" t="s">
        <v>211</v>
      </c>
      <c r="G207" t="s">
        <v>213</v>
      </c>
      <c r="H207" t="s">
        <v>212</v>
      </c>
      <c r="J207" t="s">
        <v>214</v>
      </c>
    </row>
    <row r="208" spans="2:19" ht="15.75" thickBot="1" x14ac:dyDescent="0.25">
      <c r="B208">
        <v>2009</v>
      </c>
      <c r="C208" s="75">
        <v>22745</v>
      </c>
      <c r="D208" s="75">
        <v>14034</v>
      </c>
      <c r="E208" s="75">
        <v>10560</v>
      </c>
      <c r="F208" s="75">
        <v>1796</v>
      </c>
      <c r="G208" s="75">
        <f>D208+E208-F208</f>
        <v>22798</v>
      </c>
      <c r="H208" s="101">
        <f t="shared" ref="H208:H222" si="11">C208/(D208+E208-F208)</f>
        <v>0.99767523466970787</v>
      </c>
      <c r="Q208" s="74"/>
      <c r="S208" cm="1">
        <f t="array" ref="S208:S222">_xlfn.SORTBY(R208:R222,_xlfn.SEQUENCE(ROWS(R208:R222)),-1)</f>
        <v>0</v>
      </c>
    </row>
    <row r="209" spans="2:19" ht="15.75" thickBot="1" x14ac:dyDescent="0.25">
      <c r="B209">
        <v>2010</v>
      </c>
      <c r="C209" s="75">
        <v>24075</v>
      </c>
      <c r="D209" s="75">
        <v>14634</v>
      </c>
      <c r="E209" s="75">
        <v>11497</v>
      </c>
      <c r="F209" s="75">
        <v>2387</v>
      </c>
      <c r="G209" s="75">
        <f t="shared" ref="G209:G222" si="12">D209+E209-F209</f>
        <v>23744</v>
      </c>
      <c r="H209" s="101">
        <f t="shared" si="11"/>
        <v>1.0139403638814015</v>
      </c>
      <c r="J209" s="101">
        <f>H209-H208</f>
        <v>1.6265129211693652E-2</v>
      </c>
      <c r="Q209" s="74"/>
      <c r="R209" s="74"/>
      <c r="S209">
        <v>0</v>
      </c>
    </row>
    <row r="210" spans="2:19" ht="15.75" thickBot="1" x14ac:dyDescent="0.25">
      <c r="B210">
        <v>2011</v>
      </c>
      <c r="C210" s="75">
        <v>27006</v>
      </c>
      <c r="D210" s="75">
        <v>14390</v>
      </c>
      <c r="E210" s="75">
        <v>12134</v>
      </c>
      <c r="F210" s="75">
        <v>2336</v>
      </c>
      <c r="G210" s="75">
        <f t="shared" si="12"/>
        <v>24188</v>
      </c>
      <c r="H210" s="101">
        <f t="shared" si="11"/>
        <v>1.1165040515958327</v>
      </c>
      <c r="J210" s="101">
        <f t="shared" ref="J210:J222" si="13">H210-H209</f>
        <v>0.10256368771443114</v>
      </c>
      <c r="Q210" s="74"/>
      <c r="R210" s="74"/>
      <c r="S210">
        <v>0</v>
      </c>
    </row>
    <row r="211" spans="2:19" ht="15.75" thickBot="1" x14ac:dyDescent="0.25">
      <c r="B211">
        <v>2012</v>
      </c>
      <c r="C211" s="75">
        <v>27567</v>
      </c>
      <c r="D211" s="75">
        <v>15294</v>
      </c>
      <c r="E211" s="75">
        <v>13633</v>
      </c>
      <c r="F211" s="75">
        <v>2336</v>
      </c>
      <c r="G211" s="75">
        <f t="shared" si="12"/>
        <v>26591</v>
      </c>
      <c r="H211" s="101">
        <f t="shared" si="11"/>
        <v>1.0367041480200068</v>
      </c>
      <c r="J211" s="101">
        <f t="shared" si="13"/>
        <v>-7.9799903575825892E-2</v>
      </c>
      <c r="Q211" s="74"/>
      <c r="R211" s="74"/>
      <c r="S211">
        <v>0</v>
      </c>
    </row>
    <row r="212" spans="2:19" ht="15.75" thickBot="1" x14ac:dyDescent="0.25">
      <c r="B212">
        <v>2013</v>
      </c>
      <c r="C212" s="75">
        <v>28106</v>
      </c>
      <c r="D212" s="75">
        <v>16010</v>
      </c>
      <c r="E212" s="75">
        <v>14130</v>
      </c>
      <c r="F212" s="75">
        <v>2799</v>
      </c>
      <c r="G212" s="75">
        <f t="shared" si="12"/>
        <v>27341</v>
      </c>
      <c r="H212" s="101">
        <f t="shared" si="11"/>
        <v>1.0279799568413737</v>
      </c>
      <c r="J212" s="101">
        <f t="shared" si="13"/>
        <v>-8.7241911786331006E-3</v>
      </c>
      <c r="Q212" s="74"/>
      <c r="R212" s="74"/>
      <c r="S212">
        <v>0</v>
      </c>
    </row>
    <row r="213" spans="2:19" ht="15.75" thickBot="1" x14ac:dyDescent="0.25">
      <c r="B213">
        <v>2014</v>
      </c>
      <c r="C213" s="75">
        <v>27441</v>
      </c>
      <c r="D213" s="75">
        <v>12853</v>
      </c>
      <c r="E213" s="75">
        <v>14936</v>
      </c>
      <c r="F213" s="75">
        <v>2078</v>
      </c>
      <c r="G213" s="75">
        <f t="shared" si="12"/>
        <v>25711</v>
      </c>
      <c r="H213" s="101">
        <f t="shared" si="11"/>
        <v>1.0672863754813116</v>
      </c>
      <c r="J213" s="101">
        <f t="shared" si="13"/>
        <v>3.930641863993789E-2</v>
      </c>
      <c r="Q213" s="74"/>
      <c r="R213" s="74"/>
      <c r="S213">
        <v>0</v>
      </c>
    </row>
    <row r="214" spans="2:19" ht="15.75" thickBot="1" x14ac:dyDescent="0.25">
      <c r="B214">
        <v>2015</v>
      </c>
      <c r="C214" s="75">
        <v>25413</v>
      </c>
      <c r="D214" s="75">
        <v>7088</v>
      </c>
      <c r="E214" s="75">
        <v>24122</v>
      </c>
      <c r="F214" s="75">
        <v>7686</v>
      </c>
      <c r="G214" s="75">
        <f t="shared" si="12"/>
        <v>23524</v>
      </c>
      <c r="H214" s="101">
        <f t="shared" si="11"/>
        <v>1.0803009692229213</v>
      </c>
      <c r="J214" s="101">
        <f t="shared" si="13"/>
        <v>1.3014593741609737E-2</v>
      </c>
      <c r="Q214" s="74"/>
      <c r="R214" s="74"/>
      <c r="S214">
        <v>0</v>
      </c>
    </row>
    <row r="215" spans="2:19" ht="15.75" thickBot="1" x14ac:dyDescent="0.25">
      <c r="B215">
        <v>2016</v>
      </c>
      <c r="C215" s="75">
        <v>24622</v>
      </c>
      <c r="D215" s="75">
        <v>-2204</v>
      </c>
      <c r="E215" s="75">
        <v>25879</v>
      </c>
      <c r="F215" s="75">
        <v>1223</v>
      </c>
      <c r="G215" s="75">
        <f t="shared" si="12"/>
        <v>22452</v>
      </c>
      <c r="H215" s="101">
        <f t="shared" si="11"/>
        <v>1.09665063246036</v>
      </c>
      <c r="J215" s="101">
        <f t="shared" si="13"/>
        <v>1.6349663237438694E-2</v>
      </c>
      <c r="Q215" s="74"/>
      <c r="R215" s="74"/>
      <c r="S215">
        <v>0</v>
      </c>
    </row>
    <row r="216" spans="2:19" ht="15.75" thickBot="1" x14ac:dyDescent="0.25">
      <c r="B216">
        <v>2017</v>
      </c>
      <c r="C216" s="75">
        <v>22820</v>
      </c>
      <c r="D216" s="75">
        <v>-3268</v>
      </c>
      <c r="E216" s="75">
        <v>29536</v>
      </c>
      <c r="F216" s="75">
        <v>2464</v>
      </c>
      <c r="G216" s="75">
        <f t="shared" si="12"/>
        <v>23804</v>
      </c>
      <c r="H216" s="101">
        <f t="shared" si="11"/>
        <v>0.95866240967904559</v>
      </c>
      <c r="J216" s="101">
        <f t="shared" si="13"/>
        <v>-0.1379882227813144</v>
      </c>
      <c r="Q216" s="74"/>
      <c r="R216" s="74"/>
      <c r="S216">
        <v>0</v>
      </c>
    </row>
    <row r="217" spans="2:19" ht="15.75" thickBot="1" x14ac:dyDescent="0.25">
      <c r="B217">
        <v>2018</v>
      </c>
      <c r="C217" s="75">
        <v>21258</v>
      </c>
      <c r="D217" s="75">
        <v>-6258</v>
      </c>
      <c r="E217" s="75">
        <v>31075</v>
      </c>
      <c r="F217" s="75">
        <v>866</v>
      </c>
      <c r="G217" s="75">
        <f t="shared" si="12"/>
        <v>23951</v>
      </c>
      <c r="H217" s="101">
        <f t="shared" si="11"/>
        <v>0.88756210596634799</v>
      </c>
      <c r="J217" s="101">
        <f t="shared" si="13"/>
        <v>-7.1100303712697599E-2</v>
      </c>
      <c r="Q217" s="74"/>
      <c r="R217" s="74"/>
      <c r="S217">
        <v>0</v>
      </c>
    </row>
    <row r="218" spans="2:19" ht="15.75" thickBot="1" x14ac:dyDescent="0.25">
      <c r="B218">
        <v>2019</v>
      </c>
      <c r="C218" s="75">
        <v>21364</v>
      </c>
      <c r="D218" s="75">
        <v>-8210</v>
      </c>
      <c r="E218" s="75">
        <v>34118</v>
      </c>
      <c r="F218" s="75">
        <v>899</v>
      </c>
      <c r="G218" s="75">
        <f t="shared" si="12"/>
        <v>25009</v>
      </c>
      <c r="H218" s="101">
        <f t="shared" si="11"/>
        <v>0.85425246911111996</v>
      </c>
      <c r="J218" s="101">
        <f t="shared" si="13"/>
        <v>-3.3309636855228031E-2</v>
      </c>
      <c r="Q218" s="74"/>
      <c r="R218" s="74"/>
      <c r="S218">
        <v>0</v>
      </c>
    </row>
    <row r="219" spans="2:19" ht="15.75" thickBot="1" x14ac:dyDescent="0.25">
      <c r="B219">
        <v>2020</v>
      </c>
      <c r="C219" s="75">
        <v>19208</v>
      </c>
      <c r="D219" s="75">
        <v>-7825</v>
      </c>
      <c r="E219" s="75">
        <v>35197</v>
      </c>
      <c r="F219" s="75">
        <v>3449</v>
      </c>
      <c r="G219" s="75">
        <f t="shared" si="12"/>
        <v>23923</v>
      </c>
      <c r="H219" s="101">
        <f t="shared" si="11"/>
        <v>0.80290933411361454</v>
      </c>
      <c r="J219" s="101">
        <f t="shared" si="13"/>
        <v>-5.1343134997505424E-2</v>
      </c>
      <c r="Q219" s="74"/>
      <c r="R219" s="74"/>
      <c r="S219">
        <v>0</v>
      </c>
    </row>
    <row r="220" spans="2:19" ht="15.75" thickBot="1" x14ac:dyDescent="0.25">
      <c r="B220">
        <v>2021</v>
      </c>
      <c r="C220" s="75">
        <v>23223</v>
      </c>
      <c r="D220" s="75">
        <v>-4601</v>
      </c>
      <c r="E220" s="75">
        <v>35623</v>
      </c>
      <c r="F220" s="75">
        <v>4709</v>
      </c>
      <c r="G220" s="75">
        <f t="shared" si="12"/>
        <v>26313</v>
      </c>
      <c r="H220" s="101">
        <f t="shared" si="11"/>
        <v>0.88256755216052907</v>
      </c>
      <c r="J220" s="101">
        <f t="shared" si="13"/>
        <v>7.9658218046914531E-2</v>
      </c>
      <c r="Q220" s="74"/>
      <c r="R220" s="74"/>
      <c r="S220">
        <v>0</v>
      </c>
    </row>
    <row r="221" spans="2:19" ht="15.75" thickBot="1" x14ac:dyDescent="0.25">
      <c r="B221">
        <v>2022</v>
      </c>
      <c r="C221" s="75">
        <v>23183</v>
      </c>
      <c r="D221" s="75">
        <v>-6003</v>
      </c>
      <c r="E221" s="75">
        <v>35904</v>
      </c>
      <c r="F221" s="75">
        <v>2584</v>
      </c>
      <c r="G221" s="75">
        <f t="shared" si="12"/>
        <v>27317</v>
      </c>
      <c r="H221" s="101">
        <f t="shared" si="11"/>
        <v>0.84866566606874838</v>
      </c>
      <c r="J221" s="101">
        <f t="shared" si="13"/>
        <v>-3.3901886091780686E-2</v>
      </c>
      <c r="Q221" s="74"/>
      <c r="R221" s="74"/>
      <c r="S221">
        <v>0</v>
      </c>
    </row>
    <row r="222" spans="2:19" ht="15" x14ac:dyDescent="0.2">
      <c r="B222">
        <v>2023</v>
      </c>
      <c r="C222" s="75">
        <v>25494</v>
      </c>
      <c r="D222" s="75">
        <v>-4707</v>
      </c>
      <c r="E222" s="75">
        <v>37153</v>
      </c>
      <c r="F222" s="75">
        <v>4579</v>
      </c>
      <c r="G222" s="75">
        <f t="shared" si="12"/>
        <v>27867</v>
      </c>
      <c r="H222" s="101">
        <f t="shared" si="11"/>
        <v>0.91484551620195931</v>
      </c>
      <c r="J222" s="101">
        <f t="shared" si="13"/>
        <v>6.6179850133210927E-2</v>
      </c>
      <c r="Q222" s="74"/>
      <c r="R222" s="74"/>
      <c r="S222">
        <v>0</v>
      </c>
    </row>
    <row r="246" spans="2:5" x14ac:dyDescent="0.2">
      <c r="B246" t="s">
        <v>218</v>
      </c>
    </row>
    <row r="247" spans="2:5" x14ac:dyDescent="0.2">
      <c r="B247" t="s">
        <v>219</v>
      </c>
    </row>
    <row r="248" spans="2:5" x14ac:dyDescent="0.2">
      <c r="B248" t="s">
        <v>220</v>
      </c>
    </row>
    <row r="249" spans="2:5" x14ac:dyDescent="0.2">
      <c r="B249" s="101">
        <f>AVERAGE(H208:H215)</f>
        <v>1.0546302165216146</v>
      </c>
    </row>
    <row r="251" spans="2:5" x14ac:dyDescent="0.2">
      <c r="B251" t="s">
        <v>21</v>
      </c>
      <c r="C251" t="s">
        <v>215</v>
      </c>
      <c r="E251" t="s">
        <v>214</v>
      </c>
    </row>
    <row r="252" spans="2:5" x14ac:dyDescent="0.2">
      <c r="B252">
        <v>2009</v>
      </c>
      <c r="C252" s="102">
        <v>32478</v>
      </c>
    </row>
    <row r="253" spans="2:5" x14ac:dyDescent="0.2">
      <c r="B253">
        <v>2010</v>
      </c>
      <c r="C253" s="102">
        <v>32737</v>
      </c>
      <c r="E253" s="103">
        <f>C253-C252</f>
        <v>259</v>
      </c>
    </row>
    <row r="254" spans="2:5" x14ac:dyDescent="0.2">
      <c r="B254">
        <v>2011</v>
      </c>
      <c r="C254" s="102">
        <v>33510</v>
      </c>
      <c r="E254" s="103">
        <f t="shared" ref="E254:E266" si="14">C254-C253</f>
        <v>773</v>
      </c>
    </row>
    <row r="255" spans="2:5" x14ac:dyDescent="0.2">
      <c r="B255">
        <v>2012</v>
      </c>
      <c r="C255" s="102">
        <v>34480</v>
      </c>
      <c r="E255" s="103">
        <f t="shared" si="14"/>
        <v>970</v>
      </c>
    </row>
    <row r="256" spans="2:5" x14ac:dyDescent="0.2">
      <c r="B256">
        <v>2013</v>
      </c>
      <c r="C256" s="102">
        <v>35429</v>
      </c>
      <c r="E256" s="103">
        <f t="shared" si="14"/>
        <v>949</v>
      </c>
    </row>
    <row r="257" spans="2:11" x14ac:dyDescent="0.2">
      <c r="B257">
        <v>2014</v>
      </c>
      <c r="C257" s="102">
        <v>36258</v>
      </c>
      <c r="E257" s="103">
        <f t="shared" si="14"/>
        <v>829</v>
      </c>
    </row>
    <row r="258" spans="2:11" x14ac:dyDescent="0.2">
      <c r="B258">
        <v>2015</v>
      </c>
      <c r="C258" s="102">
        <v>36525</v>
      </c>
      <c r="E258" s="103">
        <f t="shared" si="14"/>
        <v>267</v>
      </c>
    </row>
    <row r="259" spans="2:11" x14ac:dyDescent="0.2">
      <c r="B259">
        <v>2016</v>
      </c>
      <c r="C259" s="102">
        <v>36899</v>
      </c>
      <c r="E259" s="103">
        <f t="shared" si="14"/>
        <v>374</v>
      </c>
    </row>
    <row r="260" spans="2:11" x14ac:dyDescent="0.2">
      <c r="B260">
        <v>2017</v>
      </c>
      <c r="C260" s="102">
        <v>37241</v>
      </c>
      <c r="E260" s="103">
        <f t="shared" si="14"/>
        <v>342</v>
      </c>
    </row>
    <row r="261" spans="2:11" x14ac:dyDescent="0.2">
      <c r="B261">
        <v>2018</v>
      </c>
      <c r="C261" s="102">
        <v>37855</v>
      </c>
      <c r="E261" s="103">
        <f t="shared" si="14"/>
        <v>614</v>
      </c>
    </row>
    <row r="262" spans="2:11" x14ac:dyDescent="0.2">
      <c r="B262">
        <v>2019</v>
      </c>
      <c r="C262" s="102">
        <v>38695</v>
      </c>
      <c r="E262" s="103">
        <f t="shared" si="14"/>
        <v>840</v>
      </c>
    </row>
    <row r="263" spans="2:11" x14ac:dyDescent="0.2">
      <c r="B263">
        <v>2020</v>
      </c>
      <c r="C263" s="102">
        <v>39198</v>
      </c>
      <c r="E263" s="103">
        <f t="shared" si="14"/>
        <v>503</v>
      </c>
    </row>
    <row r="264" spans="2:11" x14ac:dyDescent="0.2">
      <c r="B264">
        <v>2021</v>
      </c>
      <c r="C264" s="102">
        <v>40031</v>
      </c>
      <c r="E264" s="103">
        <f t="shared" si="14"/>
        <v>833</v>
      </c>
    </row>
    <row r="265" spans="2:11" x14ac:dyDescent="0.2">
      <c r="B265">
        <v>2022</v>
      </c>
      <c r="C265" s="102">
        <v>40275</v>
      </c>
      <c r="E265" s="103">
        <f t="shared" si="14"/>
        <v>244</v>
      </c>
    </row>
    <row r="266" spans="2:11" x14ac:dyDescent="0.2">
      <c r="B266">
        <v>2023</v>
      </c>
      <c r="C266" s="102">
        <v>41822</v>
      </c>
      <c r="E266" s="103">
        <f t="shared" si="14"/>
        <v>1547</v>
      </c>
    </row>
    <row r="270" spans="2:11" x14ac:dyDescent="0.2">
      <c r="B270" t="s">
        <v>21</v>
      </c>
      <c r="C270" t="s">
        <v>215</v>
      </c>
      <c r="D270" t="s">
        <v>214</v>
      </c>
      <c r="E270" t="s">
        <v>212</v>
      </c>
      <c r="G270" t="s">
        <v>217</v>
      </c>
      <c r="K270" t="s">
        <v>216</v>
      </c>
    </row>
    <row r="271" spans="2:11" x14ac:dyDescent="0.2">
      <c r="B271">
        <v>2009</v>
      </c>
      <c r="C271" s="102">
        <v>32478</v>
      </c>
      <c r="E271" s="101">
        <f>H208</f>
        <v>0.99767523466970787</v>
      </c>
      <c r="G271" s="104">
        <f>C271/E271</f>
        <v>32553.679665860629</v>
      </c>
    </row>
    <row r="272" spans="2:11" x14ac:dyDescent="0.2">
      <c r="B272">
        <v>2010</v>
      </c>
      <c r="C272" s="102">
        <v>32737</v>
      </c>
      <c r="D272" s="103">
        <f>C272-C271</f>
        <v>259</v>
      </c>
      <c r="E272" s="101">
        <f t="shared" ref="E272:E285" si="15">H209</f>
        <v>1.0139403638814015</v>
      </c>
      <c r="G272" s="104">
        <f>C272/E272</f>
        <v>32286.90874350987</v>
      </c>
      <c r="K272" s="104">
        <f>D272/E272</f>
        <v>255.43908618899275</v>
      </c>
    </row>
    <row r="273" spans="2:11" x14ac:dyDescent="0.2">
      <c r="B273">
        <v>2011</v>
      </c>
      <c r="C273" s="102">
        <v>33510</v>
      </c>
      <c r="D273" s="103">
        <f t="shared" ref="D273:D285" si="16">C273-C272</f>
        <v>773</v>
      </c>
      <c r="E273" s="101">
        <f t="shared" si="15"/>
        <v>1.1165040515958327</v>
      </c>
      <c r="G273" s="104">
        <f t="shared" ref="G273:G285" si="17">C273/E273</f>
        <v>30013.325927571652</v>
      </c>
      <c r="K273" s="104">
        <f t="shared" ref="K273:K285" si="18">D273/E273</f>
        <v>692.33962823076354</v>
      </c>
    </row>
    <row r="274" spans="2:11" x14ac:dyDescent="0.2">
      <c r="B274">
        <v>2012</v>
      </c>
      <c r="C274" s="102">
        <v>34480</v>
      </c>
      <c r="D274" s="103">
        <f t="shared" si="16"/>
        <v>970</v>
      </c>
      <c r="E274" s="101">
        <f t="shared" si="15"/>
        <v>1.0367041480200068</v>
      </c>
      <c r="G274" s="104">
        <f t="shared" si="17"/>
        <v>33259.247651177131</v>
      </c>
      <c r="K274" s="104">
        <f t="shared" si="18"/>
        <v>935.65748902673488</v>
      </c>
    </row>
    <row r="275" spans="2:11" x14ac:dyDescent="0.2">
      <c r="B275">
        <v>2013</v>
      </c>
      <c r="C275" s="102">
        <v>35429</v>
      </c>
      <c r="D275" s="103">
        <f t="shared" si="16"/>
        <v>949</v>
      </c>
      <c r="E275" s="101">
        <f t="shared" si="15"/>
        <v>1.0279799568413737</v>
      </c>
      <c r="G275" s="104">
        <f t="shared" si="17"/>
        <v>34464.679748096496</v>
      </c>
      <c r="K275" s="104">
        <f t="shared" si="18"/>
        <v>923.16975023126747</v>
      </c>
    </row>
    <row r="276" spans="2:11" x14ac:dyDescent="0.2">
      <c r="B276">
        <v>2014</v>
      </c>
      <c r="C276" s="102">
        <v>36258</v>
      </c>
      <c r="D276" s="103">
        <f t="shared" si="16"/>
        <v>829</v>
      </c>
      <c r="E276" s="101">
        <f t="shared" si="15"/>
        <v>1.0672863754813116</v>
      </c>
      <c r="G276" s="104">
        <f t="shared" si="17"/>
        <v>33972.137968732917</v>
      </c>
      <c r="K276" s="104">
        <f t="shared" si="18"/>
        <v>776.73623410225571</v>
      </c>
    </row>
    <row r="277" spans="2:11" x14ac:dyDescent="0.2">
      <c r="B277">
        <v>2015</v>
      </c>
      <c r="C277" s="102">
        <v>36525</v>
      </c>
      <c r="D277" s="103">
        <f t="shared" si="16"/>
        <v>267</v>
      </c>
      <c r="E277" s="101">
        <f t="shared" si="15"/>
        <v>1.0803009692229213</v>
      </c>
      <c r="G277" s="104">
        <f t="shared" si="17"/>
        <v>33810.022429465236</v>
      </c>
      <c r="K277" s="104">
        <f t="shared" si="18"/>
        <v>247.15334671231258</v>
      </c>
    </row>
    <row r="278" spans="2:11" x14ac:dyDescent="0.2">
      <c r="B278">
        <v>2016</v>
      </c>
      <c r="C278" s="102">
        <v>36899</v>
      </c>
      <c r="D278" s="103">
        <f t="shared" si="16"/>
        <v>374</v>
      </c>
      <c r="E278" s="101">
        <f t="shared" si="15"/>
        <v>1.09665063246036</v>
      </c>
      <c r="G278" s="104">
        <f t="shared" si="17"/>
        <v>33646.996507188691</v>
      </c>
      <c r="K278" s="104">
        <f t="shared" si="18"/>
        <v>341.03842092437657</v>
      </c>
    </row>
    <row r="279" spans="2:11" x14ac:dyDescent="0.2">
      <c r="B279">
        <v>2017</v>
      </c>
      <c r="C279" s="102">
        <v>37241</v>
      </c>
      <c r="D279" s="103">
        <f t="shared" si="16"/>
        <v>342</v>
      </c>
      <c r="E279" s="101">
        <f t="shared" si="15"/>
        <v>0.95866240967904559</v>
      </c>
      <c r="G279" s="104">
        <f t="shared" si="17"/>
        <v>38846.834531113054</v>
      </c>
      <c r="K279" s="104">
        <f t="shared" si="18"/>
        <v>356.7470639789658</v>
      </c>
    </row>
    <row r="280" spans="2:11" x14ac:dyDescent="0.2">
      <c r="B280">
        <v>2018</v>
      </c>
      <c r="C280" s="102">
        <v>37855</v>
      </c>
      <c r="D280" s="103">
        <f t="shared" si="16"/>
        <v>614</v>
      </c>
      <c r="E280" s="101">
        <f t="shared" si="15"/>
        <v>0.88756210596634799</v>
      </c>
      <c r="G280" s="104">
        <f t="shared" si="17"/>
        <v>42650.536503904412</v>
      </c>
      <c r="K280" s="104">
        <f t="shared" si="18"/>
        <v>691.78257597139896</v>
      </c>
    </row>
    <row r="281" spans="2:11" x14ac:dyDescent="0.2">
      <c r="B281">
        <v>2019</v>
      </c>
      <c r="C281" s="102">
        <v>38695</v>
      </c>
      <c r="D281" s="103">
        <f t="shared" si="16"/>
        <v>840</v>
      </c>
      <c r="E281" s="101">
        <f t="shared" si="15"/>
        <v>0.85425246911111996</v>
      </c>
      <c r="G281" s="104">
        <f t="shared" si="17"/>
        <v>45296.913265306124</v>
      </c>
      <c r="K281" s="104">
        <f t="shared" si="18"/>
        <v>983.3158584534732</v>
      </c>
    </row>
    <row r="282" spans="2:11" x14ac:dyDescent="0.2">
      <c r="B282">
        <v>2020</v>
      </c>
      <c r="C282" s="102">
        <v>39198</v>
      </c>
      <c r="D282" s="103">
        <f t="shared" si="16"/>
        <v>503</v>
      </c>
      <c r="E282" s="101">
        <f t="shared" si="15"/>
        <v>0.80290933411361454</v>
      </c>
      <c r="G282" s="104">
        <f t="shared" si="17"/>
        <v>48819.958038317367</v>
      </c>
      <c r="K282" s="104">
        <f t="shared" si="18"/>
        <v>626.4717305289463</v>
      </c>
    </row>
    <row r="283" spans="2:11" x14ac:dyDescent="0.2">
      <c r="B283">
        <v>2021</v>
      </c>
      <c r="C283" s="102">
        <v>40031</v>
      </c>
      <c r="D283" s="103">
        <f t="shared" si="16"/>
        <v>833</v>
      </c>
      <c r="E283" s="101">
        <f t="shared" si="15"/>
        <v>0.88256755216052907</v>
      </c>
      <c r="G283" s="104">
        <f t="shared" si="17"/>
        <v>45357.434569177109</v>
      </c>
      <c r="K283" s="104">
        <f t="shared" si="18"/>
        <v>943.83710114972223</v>
      </c>
    </row>
    <row r="284" spans="2:11" x14ac:dyDescent="0.2">
      <c r="B284">
        <v>2022</v>
      </c>
      <c r="C284" s="102">
        <v>40275</v>
      </c>
      <c r="D284" s="103">
        <f t="shared" si="16"/>
        <v>244</v>
      </c>
      <c r="E284" s="101">
        <f t="shared" si="15"/>
        <v>0.84866566606874838</v>
      </c>
      <c r="G284" s="104">
        <f t="shared" si="17"/>
        <v>47456.850925246952</v>
      </c>
      <c r="K284" s="104">
        <f t="shared" si="18"/>
        <v>287.51015830565501</v>
      </c>
    </row>
    <row r="285" spans="2:11" x14ac:dyDescent="0.2">
      <c r="B285">
        <v>2023</v>
      </c>
      <c r="C285" s="102">
        <v>41822</v>
      </c>
      <c r="D285" s="103">
        <f t="shared" si="16"/>
        <v>1547</v>
      </c>
      <c r="E285" s="101">
        <f t="shared" si="15"/>
        <v>0.91484551620195931</v>
      </c>
      <c r="G285" s="104">
        <f t="shared" si="17"/>
        <v>45714.82207578254</v>
      </c>
      <c r="K285" s="104">
        <f t="shared" si="18"/>
        <v>1690.995881383855</v>
      </c>
    </row>
  </sheetData>
  <mergeCells count="6">
    <mergeCell ref="B4:K6"/>
    <mergeCell ref="Y79:Y80"/>
    <mergeCell ref="U79:U80"/>
    <mergeCell ref="V79:V80"/>
    <mergeCell ref="W79:W80"/>
    <mergeCell ref="X79:X8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E1D2F-2ACD-4864-B968-F136F0755925}">
  <sheetPr>
    <tabColor rgb="FF00B050"/>
  </sheetPr>
  <dimension ref="A2:AE167"/>
  <sheetViews>
    <sheetView showGridLines="0" showRowColHeaders="0" zoomScaleNormal="100" workbookViewId="0">
      <selection activeCell="H25" sqref="H25"/>
    </sheetView>
  </sheetViews>
  <sheetFormatPr defaultColWidth="9.625" defaultRowHeight="14.25" outlineLevelRow="1" outlineLevelCol="1" x14ac:dyDescent="0.2"/>
  <cols>
    <col min="1" max="1" width="3.625" customWidth="1"/>
    <col min="2" max="2" width="21.125" customWidth="1"/>
    <col min="3" max="3" width="10.125" bestFit="1" customWidth="1"/>
    <col min="5" max="7" width="9.625" customWidth="1" outlineLevel="1"/>
    <col min="8" max="8" width="11.375" customWidth="1" outlineLevel="1"/>
    <col min="9" max="9" width="13" customWidth="1" outlineLevel="1"/>
    <col min="10" max="10" width="12.25" customWidth="1" outlineLevel="1"/>
    <col min="11" max="12" width="11.875" customWidth="1"/>
    <col min="13" max="13" width="12.625" customWidth="1"/>
    <col min="14" max="14" width="11.875" customWidth="1"/>
    <col min="15" max="16" width="11.5" customWidth="1"/>
    <col min="17" max="17" width="10.875" customWidth="1"/>
    <col min="18" max="18" width="9.625" customWidth="1"/>
    <col min="22" max="26" width="10.5" bestFit="1" customWidth="1"/>
    <col min="27" max="27" width="12" bestFit="1" customWidth="1"/>
    <col min="30" max="30" width="10.375" bestFit="1" customWidth="1"/>
  </cols>
  <sheetData>
    <row r="2" spans="1:27" s="106" customFormat="1" ht="20.25" x14ac:dyDescent="0.3">
      <c r="B2" s="163" t="s">
        <v>261</v>
      </c>
    </row>
    <row r="3" spans="1:27" ht="15" x14ac:dyDescent="0.25">
      <c r="B3" s="146" t="s">
        <v>259</v>
      </c>
      <c r="C3" s="145"/>
      <c r="D3" s="145"/>
      <c r="E3" s="145"/>
      <c r="F3" s="145"/>
      <c r="G3" s="145"/>
      <c r="H3" s="145"/>
    </row>
    <row r="5" spans="1:27" x14ac:dyDescent="0.2">
      <c r="A5" t="s">
        <v>248</v>
      </c>
      <c r="B5" t="s">
        <v>257</v>
      </c>
      <c r="C5" s="162" t="s">
        <v>258</v>
      </c>
      <c r="E5" t="s">
        <v>256</v>
      </c>
      <c r="G5" s="159"/>
      <c r="I5" t="s">
        <v>255</v>
      </c>
      <c r="K5" s="161">
        <v>2024</v>
      </c>
      <c r="M5" s="157"/>
      <c r="N5" s="224" t="s">
        <v>254</v>
      </c>
      <c r="O5" s="224"/>
      <c r="P5" s="224"/>
      <c r="Q5" s="224"/>
      <c r="R5" s="224"/>
      <c r="S5" s="224"/>
      <c r="T5" s="224"/>
      <c r="U5" s="224"/>
      <c r="V5" s="224"/>
    </row>
    <row r="6" spans="1:27" x14ac:dyDescent="0.2">
      <c r="B6" t="s">
        <v>253</v>
      </c>
      <c r="C6" s="160">
        <v>45479</v>
      </c>
      <c r="E6" t="s">
        <v>252</v>
      </c>
      <c r="G6" s="159"/>
      <c r="K6" s="158"/>
      <c r="M6" s="157"/>
      <c r="N6" s="224"/>
      <c r="O6" s="224"/>
      <c r="P6" s="224"/>
      <c r="Q6" s="224"/>
      <c r="R6" s="224"/>
      <c r="S6" s="224"/>
      <c r="T6" s="224"/>
      <c r="U6" s="224"/>
      <c r="V6" s="224"/>
    </row>
    <row r="7" spans="1:27" x14ac:dyDescent="0.2">
      <c r="N7" s="224"/>
      <c r="O7" s="224"/>
      <c r="P7" s="224"/>
      <c r="Q7" s="224"/>
      <c r="R7" s="224"/>
      <c r="S7" s="224"/>
      <c r="T7" s="224"/>
      <c r="U7" s="224"/>
      <c r="V7" s="224"/>
    </row>
    <row r="8" spans="1:27" ht="15" x14ac:dyDescent="0.25">
      <c r="A8" t="s">
        <v>248</v>
      </c>
      <c r="B8" s="143" t="s">
        <v>251</v>
      </c>
      <c r="C8" s="144"/>
      <c r="D8" s="144"/>
      <c r="E8" s="144"/>
      <c r="F8" s="144"/>
      <c r="G8" s="144"/>
      <c r="H8" s="144"/>
      <c r="I8" s="144"/>
      <c r="J8" s="144"/>
      <c r="K8" s="144"/>
      <c r="L8" s="144"/>
      <c r="M8" s="144"/>
      <c r="N8" s="144"/>
    </row>
    <row r="9" spans="1:27" ht="15" x14ac:dyDescent="0.25">
      <c r="B9" s="1" t="s">
        <v>250</v>
      </c>
    </row>
    <row r="10" spans="1:27" x14ac:dyDescent="0.2">
      <c r="B10" t="s">
        <v>234</v>
      </c>
      <c r="D10" s="156"/>
    </row>
    <row r="11" spans="1:27" x14ac:dyDescent="0.2">
      <c r="B11" t="s">
        <v>249</v>
      </c>
      <c r="D11" s="156"/>
    </row>
    <row r="12" spans="1:27" outlineLevel="1" x14ac:dyDescent="0.2"/>
    <row r="13" spans="1:27" ht="15" x14ac:dyDescent="0.25">
      <c r="A13" t="s">
        <v>248</v>
      </c>
      <c r="B13" s="143" t="s">
        <v>247</v>
      </c>
      <c r="C13" s="144"/>
      <c r="D13" s="144"/>
      <c r="E13" s="143"/>
      <c r="F13" s="143"/>
      <c r="G13" s="143"/>
      <c r="H13" s="143"/>
      <c r="I13" s="142" t="s">
        <v>246</v>
      </c>
      <c r="J13" s="142">
        <v>1</v>
      </c>
      <c r="K13" s="142">
        <v>2</v>
      </c>
      <c r="L13" s="142">
        <v>3</v>
      </c>
      <c r="M13" s="142">
        <v>4</v>
      </c>
      <c r="N13" s="142">
        <v>5</v>
      </c>
      <c r="O13" s="200" t="s">
        <v>75</v>
      </c>
      <c r="P13" s="165"/>
      <c r="Q13" s="166"/>
    </row>
    <row r="14" spans="1:27" x14ac:dyDescent="0.2">
      <c r="E14" s="133"/>
      <c r="F14" s="133"/>
      <c r="G14" s="133"/>
      <c r="H14" s="133"/>
      <c r="I14" s="141"/>
      <c r="J14" s="140"/>
      <c r="K14" s="140"/>
      <c r="L14" s="140"/>
      <c r="M14" s="140"/>
      <c r="N14" s="140"/>
      <c r="O14" s="4"/>
      <c r="P14" s="4"/>
      <c r="Q14" s="4"/>
    </row>
    <row r="15" spans="1:27" x14ac:dyDescent="0.2">
      <c r="B15" s="131" t="s">
        <v>245</v>
      </c>
      <c r="E15" s="130"/>
      <c r="F15" s="130"/>
      <c r="G15" s="130"/>
      <c r="H15" s="130"/>
      <c r="I15" s="139">
        <f>'5.Story&amp;Estimations'!C132</f>
        <v>0.02</v>
      </c>
      <c r="J15" s="138">
        <f>2.5%</f>
        <v>2.5000000000000001E-2</v>
      </c>
      <c r="K15" s="138">
        <f>J15</f>
        <v>2.5000000000000001E-2</v>
      </c>
      <c r="L15" s="138">
        <f>K15</f>
        <v>2.5000000000000001E-2</v>
      </c>
      <c r="M15" s="138">
        <f>L15</f>
        <v>2.5000000000000001E-2</v>
      </c>
      <c r="N15" s="138">
        <f>M15</f>
        <v>2.5000000000000001E-2</v>
      </c>
      <c r="O15" s="138">
        <f>N15</f>
        <v>2.5000000000000001E-2</v>
      </c>
      <c r="P15" s="167"/>
      <c r="Q15" s="167"/>
      <c r="U15" s="150"/>
      <c r="Y15" s="155"/>
      <c r="Z15" s="155"/>
      <c r="AA15" s="155"/>
    </row>
    <row r="16" spans="1:27" ht="15" x14ac:dyDescent="0.25">
      <c r="G16" s="1"/>
      <c r="I16" s="126"/>
      <c r="O16" s="4"/>
      <c r="P16" s="4"/>
      <c r="Q16" s="4"/>
      <c r="Y16" s="155"/>
      <c r="Z16" s="155"/>
      <c r="AA16" s="155"/>
    </row>
    <row r="17" spans="2:30" x14ac:dyDescent="0.2">
      <c r="B17" s="134" t="s">
        <v>244</v>
      </c>
      <c r="E17" s="133"/>
      <c r="F17" s="133"/>
      <c r="G17" s="133"/>
      <c r="H17" s="133"/>
      <c r="I17" s="125">
        <f>'5.Story&amp;Estimations'!D132</f>
        <v>25765</v>
      </c>
      <c r="J17" s="137">
        <f>I17+(I17*I15)</f>
        <v>26280.3</v>
      </c>
      <c r="K17" s="137">
        <f t="shared" ref="K17:O17" si="0">J17+(J17*K15)</f>
        <v>26937.307499999999</v>
      </c>
      <c r="L17" s="137">
        <f t="shared" si="0"/>
        <v>27610.7401875</v>
      </c>
      <c r="M17" s="137">
        <f t="shared" si="0"/>
        <v>28301.008692187501</v>
      </c>
      <c r="N17" s="137">
        <f t="shared" si="0"/>
        <v>29008.533909492187</v>
      </c>
      <c r="O17" s="137">
        <f t="shared" si="0"/>
        <v>29733.747257229494</v>
      </c>
      <c r="P17" s="168"/>
      <c r="Q17" s="168"/>
      <c r="V17" s="154"/>
      <c r="W17" s="154"/>
      <c r="X17" s="154"/>
      <c r="Y17" s="154"/>
      <c r="Z17" s="154"/>
      <c r="AA17" s="154"/>
    </row>
    <row r="18" spans="2:30" x14ac:dyDescent="0.2">
      <c r="B18" s="131"/>
      <c r="E18" s="130"/>
      <c r="F18" s="130"/>
      <c r="G18" s="130"/>
      <c r="H18" s="130"/>
      <c r="I18" s="129"/>
      <c r="J18" s="128"/>
      <c r="K18" s="128"/>
      <c r="L18" s="128"/>
      <c r="M18" s="128"/>
      <c r="N18" s="128"/>
      <c r="O18" s="170"/>
      <c r="P18" s="170"/>
      <c r="Q18" s="170"/>
      <c r="V18" s="93"/>
      <c r="W18" s="93"/>
      <c r="X18" s="93"/>
      <c r="Y18" s="93"/>
      <c r="Z18" s="93"/>
      <c r="AA18" s="93"/>
    </row>
    <row r="19" spans="2:30" x14ac:dyDescent="0.2">
      <c r="B19" t="s">
        <v>243</v>
      </c>
      <c r="I19" s="136">
        <f>'5.Story&amp;Estimations'!C171</f>
        <v>0.45685259276692552</v>
      </c>
      <c r="J19" s="135">
        <f>'5.Story&amp;Estimations'!C172</f>
        <v>0.47</v>
      </c>
      <c r="K19" s="135">
        <v>0.45</v>
      </c>
      <c r="L19" s="135">
        <v>0.44</v>
      </c>
      <c r="M19" s="135">
        <v>0.43</v>
      </c>
      <c r="N19" s="135">
        <v>0.43</v>
      </c>
      <c r="O19" s="171">
        <v>0.45</v>
      </c>
      <c r="P19" s="171"/>
      <c r="Q19" s="171"/>
      <c r="U19" s="150"/>
      <c r="Y19" s="153"/>
      <c r="Z19" s="153"/>
      <c r="AA19" s="153"/>
      <c r="AB19" s="150"/>
      <c r="AC19" s="150"/>
      <c r="AD19" s="150"/>
    </row>
    <row r="20" spans="2:30" x14ac:dyDescent="0.2">
      <c r="I20" s="125"/>
      <c r="J20" s="119"/>
      <c r="K20" s="119"/>
      <c r="L20" s="119"/>
      <c r="M20" s="119"/>
      <c r="N20" s="119"/>
      <c r="O20" s="170"/>
      <c r="P20" s="170"/>
      <c r="Q20" s="170"/>
      <c r="U20" s="150"/>
      <c r="Y20" s="153"/>
      <c r="Z20" s="153"/>
      <c r="AA20" s="153"/>
      <c r="AB20" s="150"/>
      <c r="AC20" s="150"/>
      <c r="AD20" s="150"/>
    </row>
    <row r="21" spans="2:30" x14ac:dyDescent="0.2">
      <c r="B21" s="134" t="s">
        <v>242</v>
      </c>
      <c r="E21" s="133"/>
      <c r="F21" s="133"/>
      <c r="G21" s="133"/>
      <c r="H21" s="133"/>
      <c r="I21" s="125">
        <f t="shared" ref="I21:O21" si="1">I17*I19</f>
        <v>11770.807052639837</v>
      </c>
      <c r="J21" s="132">
        <f t="shared" si="1"/>
        <v>12351.740999999998</v>
      </c>
      <c r="K21" s="119">
        <f t="shared" si="1"/>
        <v>12121.788375</v>
      </c>
      <c r="L21" s="119">
        <f t="shared" si="1"/>
        <v>12148.7256825</v>
      </c>
      <c r="M21" s="119">
        <f t="shared" si="1"/>
        <v>12169.433737640626</v>
      </c>
      <c r="N21" s="119">
        <f t="shared" si="1"/>
        <v>12473.66958108164</v>
      </c>
      <c r="O21" s="119">
        <f t="shared" si="1"/>
        <v>13380.186265753273</v>
      </c>
      <c r="P21" s="170"/>
      <c r="Q21" s="170"/>
      <c r="U21" s="150"/>
      <c r="Y21" s="153"/>
      <c r="Z21" s="153"/>
      <c r="AA21" s="153"/>
      <c r="AB21" s="150"/>
      <c r="AC21" s="150"/>
      <c r="AD21" s="150"/>
    </row>
    <row r="22" spans="2:30" x14ac:dyDescent="0.2">
      <c r="B22" s="131"/>
      <c r="E22" s="130"/>
      <c r="F22" s="130"/>
      <c r="G22" s="130"/>
      <c r="H22" s="130"/>
      <c r="I22" s="129"/>
      <c r="J22" s="128"/>
      <c r="K22" s="128"/>
      <c r="L22" s="128"/>
      <c r="M22" s="128"/>
      <c r="N22" s="128"/>
      <c r="O22" s="170"/>
      <c r="P22" s="170"/>
      <c r="Q22" s="170"/>
      <c r="U22" s="150"/>
      <c r="Y22" s="151"/>
      <c r="Z22" s="151"/>
      <c r="AA22" s="151"/>
      <c r="AB22" s="150"/>
      <c r="AC22" s="150"/>
      <c r="AD22" s="150"/>
    </row>
    <row r="23" spans="2:30" x14ac:dyDescent="0.2">
      <c r="B23" t="s">
        <v>241</v>
      </c>
      <c r="I23" s="127">
        <v>0.21</v>
      </c>
      <c r="J23" s="77">
        <f>I23</f>
        <v>0.21</v>
      </c>
      <c r="K23" s="77">
        <f>J23</f>
        <v>0.21</v>
      </c>
      <c r="L23" s="77">
        <f>K23</f>
        <v>0.21</v>
      </c>
      <c r="M23" s="77">
        <f>L23</f>
        <v>0.21</v>
      </c>
      <c r="N23" s="77">
        <f>M23</f>
        <v>0.21</v>
      </c>
      <c r="O23" s="172">
        <v>0.21</v>
      </c>
      <c r="P23" s="172"/>
      <c r="Q23" s="172"/>
      <c r="U23" s="150"/>
      <c r="Y23" s="152"/>
      <c r="Z23" s="152"/>
      <c r="AA23" s="152"/>
      <c r="AB23" s="152"/>
      <c r="AC23" s="152"/>
      <c r="AD23" s="152"/>
    </row>
    <row r="24" spans="2:30" x14ac:dyDescent="0.2">
      <c r="I24" s="126"/>
      <c r="O24" s="4"/>
      <c r="P24" s="4"/>
      <c r="Q24" s="4"/>
      <c r="U24" s="150"/>
      <c r="Y24" s="152"/>
      <c r="Z24" s="152"/>
      <c r="AA24" s="152"/>
      <c r="AB24" s="152"/>
      <c r="AC24" s="152"/>
      <c r="AD24" s="152"/>
    </row>
    <row r="25" spans="2:30" ht="15" x14ac:dyDescent="0.25">
      <c r="B25" s="119" t="s">
        <v>240</v>
      </c>
      <c r="C25" s="70"/>
      <c r="D25" s="70"/>
      <c r="E25" s="70"/>
      <c r="F25" s="70"/>
      <c r="G25" s="70"/>
      <c r="H25" s="70"/>
      <c r="I25" s="125">
        <f t="shared" ref="I25:O25" si="2">I21*(1-I23)</f>
        <v>9298.9375715854712</v>
      </c>
      <c r="J25" s="119">
        <f t="shared" si="2"/>
        <v>9757.8753899999992</v>
      </c>
      <c r="K25" s="119">
        <f t="shared" si="2"/>
        <v>9576.2128162500012</v>
      </c>
      <c r="L25" s="119">
        <f t="shared" si="2"/>
        <v>9597.4932891750013</v>
      </c>
      <c r="M25" s="119">
        <f t="shared" si="2"/>
        <v>9613.8526527360955</v>
      </c>
      <c r="N25" s="119">
        <f t="shared" si="2"/>
        <v>9854.198969054496</v>
      </c>
      <c r="O25" s="119">
        <f t="shared" si="2"/>
        <v>10570.347149945086</v>
      </c>
      <c r="P25" s="170"/>
      <c r="Q25" s="170"/>
      <c r="U25" s="150"/>
      <c r="Y25" s="151"/>
      <c r="Z25" s="151"/>
      <c r="AA25" s="151"/>
      <c r="AB25" s="151"/>
      <c r="AC25" s="151"/>
      <c r="AD25" s="151"/>
    </row>
    <row r="26" spans="2:30" x14ac:dyDescent="0.2">
      <c r="B26" s="124"/>
      <c r="C26" s="50"/>
      <c r="D26" s="50"/>
      <c r="E26" s="50"/>
      <c r="F26" s="50"/>
      <c r="G26" s="50"/>
      <c r="H26" s="50"/>
      <c r="I26" s="123"/>
      <c r="J26" s="50"/>
      <c r="K26" s="50"/>
      <c r="L26" s="50"/>
      <c r="M26" s="50"/>
      <c r="N26" s="50"/>
      <c r="O26" s="173"/>
      <c r="P26" s="173"/>
      <c r="Q26" s="173"/>
      <c r="U26" s="150"/>
      <c r="Y26" s="150"/>
      <c r="Z26" s="150"/>
      <c r="AA26" s="150"/>
      <c r="AB26" s="150"/>
      <c r="AC26" s="150"/>
      <c r="AD26" s="150"/>
    </row>
    <row r="27" spans="2:30" x14ac:dyDescent="0.2">
      <c r="B27" s="124" t="s">
        <v>239</v>
      </c>
      <c r="C27" s="50"/>
      <c r="D27" s="50"/>
      <c r="E27" s="50"/>
      <c r="F27" s="50"/>
      <c r="G27" s="50"/>
      <c r="H27" s="50"/>
      <c r="I27" s="123"/>
      <c r="J27">
        <f>0.95</f>
        <v>0.95</v>
      </c>
      <c r="K27">
        <f>0.97</f>
        <v>0.97</v>
      </c>
      <c r="L27">
        <f>1</f>
        <v>1</v>
      </c>
      <c r="M27">
        <f>1</f>
        <v>1</v>
      </c>
      <c r="N27">
        <f>1</f>
        <v>1</v>
      </c>
      <c r="O27" s="4">
        <v>1.05</v>
      </c>
      <c r="P27" s="4"/>
      <c r="Q27" s="4"/>
      <c r="U27" s="150"/>
      <c r="Y27" s="150"/>
      <c r="Z27" s="150"/>
      <c r="AA27" s="150"/>
      <c r="AB27" s="150"/>
      <c r="AC27" s="150"/>
      <c r="AD27" s="150"/>
    </row>
    <row r="28" spans="2:30" x14ac:dyDescent="0.2">
      <c r="B28" s="124"/>
      <c r="C28" s="50"/>
      <c r="D28" s="50"/>
      <c r="E28" s="50"/>
      <c r="F28" s="50"/>
      <c r="G28" s="50"/>
      <c r="H28" s="50"/>
      <c r="I28" s="123"/>
      <c r="J28" s="50"/>
      <c r="K28" s="50"/>
      <c r="L28" s="50"/>
      <c r="M28" s="50"/>
      <c r="N28" s="50"/>
      <c r="O28" s="173"/>
      <c r="P28" s="173"/>
      <c r="Q28" s="207"/>
      <c r="U28" s="150"/>
      <c r="Y28" s="150"/>
      <c r="Z28" s="150"/>
      <c r="AA28" s="150"/>
      <c r="AB28" s="150"/>
      <c r="AC28" s="150"/>
      <c r="AD28" s="150"/>
    </row>
    <row r="29" spans="2:30" x14ac:dyDescent="0.2">
      <c r="B29" s="124" t="s">
        <v>238</v>
      </c>
      <c r="C29" s="50"/>
      <c r="D29" s="50"/>
      <c r="E29" s="50"/>
      <c r="F29" s="50"/>
      <c r="G29" s="50"/>
      <c r="H29" s="50"/>
      <c r="I29" s="123"/>
      <c r="J29" s="119">
        <f>J17-I17</f>
        <v>515.29999999999927</v>
      </c>
      <c r="K29" s="119">
        <f t="shared" ref="K29:M29" si="3">K17-J17</f>
        <v>657.00749999999971</v>
      </c>
      <c r="L29" s="119">
        <f t="shared" si="3"/>
        <v>673.43268750000061</v>
      </c>
      <c r="M29" s="119">
        <f t="shared" si="3"/>
        <v>690.26850468750126</v>
      </c>
      <c r="N29" s="119">
        <f>N17-M17</f>
        <v>707.52521730468652</v>
      </c>
      <c r="O29" s="119">
        <f>O17-N17</f>
        <v>725.21334773730632</v>
      </c>
      <c r="P29" s="170"/>
      <c r="Q29" s="170"/>
      <c r="U29" s="150"/>
      <c r="Y29" s="150"/>
      <c r="Z29" s="150"/>
      <c r="AA29" s="150"/>
      <c r="AB29" s="150"/>
      <c r="AC29" s="150"/>
      <c r="AD29" s="150"/>
    </row>
    <row r="30" spans="2:30" x14ac:dyDescent="0.2">
      <c r="B30" s="124"/>
      <c r="C30" s="50"/>
      <c r="D30" s="50"/>
      <c r="E30" s="50"/>
      <c r="F30" s="50"/>
      <c r="G30" s="50"/>
      <c r="H30" s="50"/>
      <c r="I30" s="123"/>
      <c r="J30" s="50"/>
      <c r="K30" s="50"/>
      <c r="L30" s="50"/>
      <c r="M30" s="50"/>
      <c r="N30" s="50"/>
      <c r="O30" s="173"/>
      <c r="P30" s="173"/>
      <c r="Q30" s="173"/>
      <c r="U30" s="150"/>
      <c r="Y30" s="150"/>
      <c r="Z30" s="150"/>
      <c r="AA30" s="150"/>
      <c r="AB30" s="150"/>
      <c r="AC30" s="150"/>
      <c r="AD30" s="150"/>
    </row>
    <row r="31" spans="2:30" x14ac:dyDescent="0.2">
      <c r="B31" s="119" t="s">
        <v>237</v>
      </c>
      <c r="C31" s="50"/>
      <c r="D31" s="50"/>
      <c r="E31" s="118"/>
      <c r="F31" s="118"/>
      <c r="G31" s="118"/>
      <c r="H31" s="118"/>
      <c r="I31" s="121"/>
      <c r="J31" s="122">
        <f t="shared" ref="J31:O31" si="4">J29/J27</f>
        <v>542.42105263157816</v>
      </c>
      <c r="K31" s="122">
        <f t="shared" si="4"/>
        <v>677.32731958762861</v>
      </c>
      <c r="L31" s="122">
        <f t="shared" si="4"/>
        <v>673.43268750000061</v>
      </c>
      <c r="M31" s="122">
        <f t="shared" si="4"/>
        <v>690.26850468750126</v>
      </c>
      <c r="N31" s="122">
        <f t="shared" si="4"/>
        <v>707.52521730468652</v>
      </c>
      <c r="O31" s="122">
        <f t="shared" si="4"/>
        <v>690.67937879743454</v>
      </c>
      <c r="P31" s="174"/>
      <c r="Q31" s="174"/>
      <c r="U31" s="150"/>
    </row>
    <row r="32" spans="2:30" ht="15" thickBot="1" x14ac:dyDescent="0.25">
      <c r="B32" s="50"/>
      <c r="C32" s="50"/>
      <c r="D32" s="50"/>
      <c r="E32" s="118"/>
      <c r="F32" s="118"/>
      <c r="G32" s="118"/>
      <c r="H32" s="118"/>
      <c r="I32" s="121"/>
      <c r="J32" s="120">
        <v>1</v>
      </c>
      <c r="K32" s="120">
        <v>2</v>
      </c>
      <c r="L32" s="120">
        <v>3</v>
      </c>
      <c r="M32" s="120">
        <v>4</v>
      </c>
      <c r="N32" s="120">
        <v>5</v>
      </c>
      <c r="O32" s="181">
        <v>6</v>
      </c>
      <c r="P32" s="181"/>
      <c r="Q32" s="181"/>
      <c r="U32" s="150"/>
    </row>
    <row r="33" spans="1:27" ht="15" x14ac:dyDescent="0.25">
      <c r="B33" s="119" t="s">
        <v>236</v>
      </c>
      <c r="C33" s="50"/>
      <c r="D33" s="50"/>
      <c r="E33" s="118"/>
      <c r="F33" s="118"/>
      <c r="G33" s="118"/>
      <c r="H33" s="208" t="s">
        <v>235</v>
      </c>
      <c r="I33" s="209"/>
      <c r="J33" s="117">
        <f t="shared" ref="J33:O33" si="5">J25-J31</f>
        <v>9215.454337368421</v>
      </c>
      <c r="K33" s="117">
        <f t="shared" si="5"/>
        <v>8898.885496662373</v>
      </c>
      <c r="L33" s="117">
        <f t="shared" si="5"/>
        <v>8924.0606016750007</v>
      </c>
      <c r="M33" s="117">
        <f t="shared" si="5"/>
        <v>8923.5841480485942</v>
      </c>
      <c r="N33" s="198">
        <f t="shared" si="5"/>
        <v>9146.6737517498095</v>
      </c>
      <c r="O33" s="213">
        <f t="shared" si="5"/>
        <v>9879.6677711476514</v>
      </c>
      <c r="P33" s="170"/>
      <c r="Q33" s="170"/>
      <c r="U33" s="150"/>
      <c r="Y33" s="97"/>
      <c r="Z33" s="97"/>
      <c r="AA33" s="97"/>
    </row>
    <row r="34" spans="1:27" ht="15" x14ac:dyDescent="0.25">
      <c r="C34" s="1"/>
      <c r="D34" s="1"/>
      <c r="E34" s="1"/>
      <c r="F34" s="1"/>
      <c r="G34" s="1"/>
      <c r="H34" s="210" t="s">
        <v>234</v>
      </c>
      <c r="I34" s="211"/>
      <c r="J34" s="197">
        <f>'4.WACC'!C15</f>
        <v>9.8598737518133597E-2</v>
      </c>
      <c r="K34" s="149">
        <f>'4.WACC'!D15</f>
        <v>9.4181117977777659E-2</v>
      </c>
      <c r="L34" s="149">
        <f>'4.WACC'!E15</f>
        <v>9.371299963202788E-2</v>
      </c>
      <c r="M34" s="149">
        <f>'4.WACC'!F15</f>
        <v>8.2332936033319176E-2</v>
      </c>
      <c r="N34" s="199">
        <f>'4.WACC'!G15</f>
        <v>7.5261935906854927E-2</v>
      </c>
      <c r="O34" s="206">
        <f>'4.WACC'!H15</f>
        <v>7.1454574408432336E-2</v>
      </c>
      <c r="P34" s="182"/>
      <c r="Q34" s="182"/>
    </row>
    <row r="35" spans="1:27" ht="15.75" thickBot="1" x14ac:dyDescent="0.3">
      <c r="C35" s="1"/>
      <c r="D35" s="1"/>
      <c r="E35" s="1"/>
      <c r="F35" s="1"/>
      <c r="G35" s="1"/>
      <c r="H35" s="203" t="s">
        <v>233</v>
      </c>
      <c r="I35" s="27"/>
      <c r="J35" s="204">
        <f t="shared" ref="J35:O35" si="6">J33/((1+J34)^J32)</f>
        <v>8388.3714978475564</v>
      </c>
      <c r="K35" s="204">
        <f t="shared" si="6"/>
        <v>7432.8811174659259</v>
      </c>
      <c r="L35" s="204">
        <f t="shared" si="6"/>
        <v>6821.0681497039332</v>
      </c>
      <c r="M35" s="204">
        <f t="shared" si="6"/>
        <v>6502.7315475196901</v>
      </c>
      <c r="N35" s="205">
        <f t="shared" si="6"/>
        <v>6363.4381617728968</v>
      </c>
      <c r="O35" s="214">
        <f t="shared" si="6"/>
        <v>6529.7982108511296</v>
      </c>
      <c r="P35" s="170"/>
      <c r="Q35" s="170"/>
    </row>
    <row r="36" spans="1:27" ht="15.75" thickBot="1" x14ac:dyDescent="0.3">
      <c r="I36" s="201" t="s">
        <v>232</v>
      </c>
      <c r="J36" s="202">
        <f>SUM(J35:P35)</f>
        <v>42038.288685161126</v>
      </c>
      <c r="O36" s="4"/>
      <c r="P36" s="4"/>
      <c r="Q36" s="4"/>
    </row>
    <row r="37" spans="1:27" ht="15" x14ac:dyDescent="0.25">
      <c r="B37" t="s">
        <v>231</v>
      </c>
      <c r="C37" s="116">
        <v>0.02</v>
      </c>
      <c r="I37" s="1"/>
      <c r="J37" s="50"/>
      <c r="O37" s="4"/>
      <c r="P37" s="4"/>
      <c r="Q37" s="4"/>
    </row>
    <row r="38" spans="1:27" x14ac:dyDescent="0.2">
      <c r="A38" t="s">
        <v>248</v>
      </c>
      <c r="B38" t="s">
        <v>230</v>
      </c>
      <c r="J38" s="115"/>
      <c r="N38" s="114">
        <f>O35/(O34-C37)</f>
        <v>126904.13410126333</v>
      </c>
      <c r="O38" s="4"/>
      <c r="P38" s="4"/>
      <c r="Q38" s="4"/>
    </row>
    <row r="39" spans="1:27" x14ac:dyDescent="0.2">
      <c r="B39" s="106" t="s">
        <v>229</v>
      </c>
      <c r="C39" s="106"/>
      <c r="D39" s="106"/>
      <c r="E39" s="106"/>
      <c r="F39" s="106"/>
      <c r="G39" s="106"/>
      <c r="H39" s="106"/>
      <c r="I39" s="106"/>
      <c r="J39" s="106"/>
      <c r="K39" s="106"/>
      <c r="L39" s="106"/>
      <c r="M39" s="106"/>
      <c r="N39" s="113">
        <f>N38/((1+O34)^O32)</f>
        <v>83875.126876638053</v>
      </c>
      <c r="O39" s="4"/>
      <c r="P39" s="4"/>
      <c r="Q39" s="4"/>
    </row>
    <row r="40" spans="1:27" ht="15" x14ac:dyDescent="0.25">
      <c r="B40" s="1" t="s">
        <v>228</v>
      </c>
      <c r="C40" s="1"/>
      <c r="D40" s="1"/>
      <c r="E40" s="1"/>
      <c r="F40" s="1"/>
      <c r="G40" s="1"/>
      <c r="H40" s="1"/>
      <c r="I40" s="1"/>
      <c r="J40" s="1"/>
      <c r="K40" s="1"/>
      <c r="L40" s="1"/>
      <c r="M40" s="1"/>
      <c r="N40" s="112">
        <f>J36+N39</f>
        <v>125913.41556179918</v>
      </c>
      <c r="O40" s="4"/>
      <c r="P40" s="4"/>
      <c r="Q40" s="4"/>
    </row>
    <row r="41" spans="1:27" x14ac:dyDescent="0.2">
      <c r="B41" s="111" t="s">
        <v>227</v>
      </c>
      <c r="N41" s="110">
        <v>4579.3</v>
      </c>
      <c r="O41" s="4"/>
      <c r="P41" s="4"/>
      <c r="Q41" s="4"/>
    </row>
    <row r="42" spans="1:27" x14ac:dyDescent="0.2">
      <c r="B42" s="109" t="s">
        <v>226</v>
      </c>
      <c r="C42" s="106"/>
      <c r="D42" s="106"/>
      <c r="E42" s="106"/>
      <c r="F42" s="106"/>
      <c r="G42" s="106"/>
      <c r="H42" s="106"/>
      <c r="I42" s="106"/>
      <c r="J42" s="106"/>
      <c r="K42" s="106"/>
      <c r="L42" s="106"/>
      <c r="M42" s="106"/>
      <c r="N42" s="108">
        <v>37152.9</v>
      </c>
      <c r="O42" s="4"/>
      <c r="P42" s="4"/>
      <c r="Q42" s="4"/>
    </row>
    <row r="43" spans="1:27" ht="15" x14ac:dyDescent="0.25">
      <c r="B43" s="1" t="s">
        <v>225</v>
      </c>
      <c r="C43" s="1"/>
      <c r="D43" s="1"/>
      <c r="E43" s="1"/>
      <c r="F43" s="1"/>
      <c r="G43" s="1"/>
      <c r="H43" s="1"/>
      <c r="I43" s="1"/>
      <c r="J43" s="1"/>
      <c r="K43" s="1"/>
      <c r="L43" s="1"/>
      <c r="M43" s="1"/>
      <c r="N43" s="107">
        <f>N40+N41-N42</f>
        <v>93339.815561799187</v>
      </c>
      <c r="O43" s="4"/>
      <c r="P43" s="4"/>
      <c r="Q43" s="4"/>
    </row>
    <row r="44" spans="1:27" x14ac:dyDescent="0.2">
      <c r="B44" s="106" t="s">
        <v>224</v>
      </c>
      <c r="C44" s="106"/>
      <c r="D44" s="106"/>
      <c r="E44" s="106"/>
      <c r="F44" s="106"/>
      <c r="G44" s="106"/>
      <c r="H44" s="106"/>
      <c r="I44" s="106"/>
      <c r="J44" s="106"/>
      <c r="K44" s="106"/>
      <c r="L44" s="106"/>
      <c r="M44" s="106"/>
      <c r="N44" s="60">
        <f>720681656/1000000</f>
        <v>720.68165599999998</v>
      </c>
      <c r="O44" s="4"/>
      <c r="P44" s="4"/>
      <c r="Q44" s="4"/>
    </row>
    <row r="45" spans="1:27" ht="15" x14ac:dyDescent="0.25">
      <c r="A45" t="s">
        <v>248</v>
      </c>
      <c r="B45" s="1" t="s">
        <v>223</v>
      </c>
      <c r="C45" s="1"/>
      <c r="D45" s="1"/>
      <c r="E45" s="1"/>
      <c r="F45" s="1"/>
      <c r="G45" s="1"/>
      <c r="H45" s="1"/>
      <c r="I45" s="1"/>
      <c r="J45" s="1"/>
      <c r="K45" s="1"/>
      <c r="L45" s="1"/>
      <c r="M45" s="1"/>
      <c r="N45" s="105">
        <f>N43/N44</f>
        <v>129.51601415785058</v>
      </c>
      <c r="O45" s="4"/>
      <c r="P45" s="4"/>
      <c r="Q45" s="4"/>
    </row>
    <row r="46" spans="1:27" ht="15.75" thickBot="1" x14ac:dyDescent="0.3">
      <c r="B46" s="1" t="s">
        <v>222</v>
      </c>
      <c r="C46" s="1"/>
      <c r="D46" s="1"/>
      <c r="E46" s="1"/>
      <c r="F46" s="1"/>
      <c r="G46" s="1"/>
      <c r="H46" s="1"/>
      <c r="I46" s="1"/>
      <c r="J46" s="1"/>
      <c r="K46" s="1"/>
      <c r="L46" s="1"/>
      <c r="M46" s="1"/>
      <c r="N46" s="105">
        <v>259</v>
      </c>
      <c r="O46" s="4"/>
      <c r="P46" s="4"/>
      <c r="Q46" s="4"/>
    </row>
    <row r="47" spans="1:27" ht="15.75" thickBot="1" x14ac:dyDescent="0.3">
      <c r="B47" s="1" t="s">
        <v>221</v>
      </c>
      <c r="N47" s="148">
        <f>(N45-N46)/N46</f>
        <v>-0.49993816927470819</v>
      </c>
      <c r="O47" s="4"/>
      <c r="P47" s="4"/>
      <c r="Q47" s="4"/>
    </row>
    <row r="48" spans="1:27" x14ac:dyDescent="0.2">
      <c r="A48" s="147"/>
      <c r="B48" s="147"/>
      <c r="C48" s="147"/>
      <c r="D48" s="147"/>
      <c r="E48" s="147"/>
      <c r="F48" s="147"/>
      <c r="G48" s="147"/>
      <c r="H48" s="147"/>
      <c r="I48" s="147"/>
      <c r="J48" s="147"/>
      <c r="K48" s="147"/>
      <c r="L48" s="147"/>
      <c r="M48" s="147"/>
      <c r="O48" s="4"/>
      <c r="P48" s="4"/>
      <c r="Q48" s="4"/>
    </row>
    <row r="49" spans="1:17" ht="15" x14ac:dyDescent="0.25">
      <c r="A49" s="146" t="s">
        <v>260</v>
      </c>
      <c r="B49" s="145"/>
      <c r="C49" s="145"/>
      <c r="D49" s="145"/>
      <c r="E49" s="145"/>
      <c r="F49" s="145"/>
      <c r="G49" s="145"/>
      <c r="O49" s="4"/>
      <c r="P49" s="4"/>
      <c r="Q49" s="4"/>
    </row>
    <row r="50" spans="1:17" x14ac:dyDescent="0.2">
      <c r="O50" s="4"/>
      <c r="P50" s="4"/>
      <c r="Q50" s="4"/>
    </row>
    <row r="51" spans="1:17" ht="15" x14ac:dyDescent="0.25">
      <c r="B51" s="143" t="s">
        <v>247</v>
      </c>
      <c r="C51" s="144"/>
      <c r="D51" s="144"/>
      <c r="E51" s="143"/>
      <c r="F51" s="143"/>
      <c r="G51" s="143"/>
      <c r="H51" s="143"/>
      <c r="I51" s="142" t="s">
        <v>246</v>
      </c>
      <c r="J51" s="142">
        <v>1</v>
      </c>
      <c r="K51" s="142">
        <v>2</v>
      </c>
      <c r="L51" s="142">
        <v>3</v>
      </c>
      <c r="M51" s="142">
        <v>4</v>
      </c>
      <c r="N51" s="142">
        <v>5</v>
      </c>
      <c r="O51" s="200" t="s">
        <v>75</v>
      </c>
      <c r="P51" s="165"/>
      <c r="Q51" s="166"/>
    </row>
    <row r="52" spans="1:17" x14ac:dyDescent="0.2">
      <c r="E52" s="133"/>
      <c r="F52" s="133"/>
      <c r="G52" s="133"/>
      <c r="H52" s="133"/>
      <c r="I52" s="141"/>
      <c r="J52" s="140"/>
      <c r="K52" s="140"/>
      <c r="L52" s="140"/>
      <c r="M52" s="140"/>
      <c r="N52" s="140"/>
      <c r="O52" s="4"/>
      <c r="P52" s="4"/>
      <c r="Q52" s="4"/>
    </row>
    <row r="53" spans="1:17" x14ac:dyDescent="0.2">
      <c r="B53" s="131" t="s">
        <v>245</v>
      </c>
      <c r="E53" s="130"/>
      <c r="F53" s="130"/>
      <c r="G53" s="130"/>
      <c r="H53" s="130"/>
      <c r="I53" s="139">
        <f>9.3%</f>
        <v>9.3000000000000013E-2</v>
      </c>
      <c r="J53" s="139">
        <f>8.9%</f>
        <v>8.900000000000001E-2</v>
      </c>
      <c r="K53" s="139">
        <f>6.68%</f>
        <v>6.6799999999999998E-2</v>
      </c>
      <c r="L53" s="139">
        <f>6.68%</f>
        <v>6.6799999999999998E-2</v>
      </c>
      <c r="M53" s="139">
        <f t="shared" ref="M53:O53" si="7">6.68%</f>
        <v>6.6799999999999998E-2</v>
      </c>
      <c r="N53" s="139">
        <f t="shared" si="7"/>
        <v>6.6799999999999998E-2</v>
      </c>
      <c r="O53" s="139">
        <f t="shared" si="7"/>
        <v>6.6799999999999998E-2</v>
      </c>
      <c r="P53" s="167"/>
      <c r="Q53" s="167"/>
    </row>
    <row r="54" spans="1:17" ht="15" x14ac:dyDescent="0.25">
      <c r="G54" s="1"/>
      <c r="I54" s="126"/>
      <c r="O54" s="4"/>
      <c r="P54" s="4"/>
      <c r="Q54" s="4"/>
    </row>
    <row r="55" spans="1:17" x14ac:dyDescent="0.2">
      <c r="B55" s="134" t="s">
        <v>244</v>
      </c>
      <c r="E55" s="133"/>
      <c r="F55" s="133"/>
      <c r="G55" s="133"/>
      <c r="H55" s="133"/>
      <c r="I55" s="125">
        <f>I17</f>
        <v>25765</v>
      </c>
      <c r="J55" s="125">
        <f>I55+(I55*I53)</f>
        <v>28161.145</v>
      </c>
      <c r="K55" s="125">
        <f t="shared" ref="K55:N55" si="8">J55+(J55*J53)</f>
        <v>30667.486905000002</v>
      </c>
      <c r="L55" s="125">
        <f>K55+(K55*K53)</f>
        <v>32716.075030254004</v>
      </c>
      <c r="M55" s="125">
        <f t="shared" si="8"/>
        <v>34901.508842274969</v>
      </c>
      <c r="N55" s="125">
        <f t="shared" si="8"/>
        <v>37232.929632938933</v>
      </c>
      <c r="O55" s="125">
        <f>N55+(N55*N53)</f>
        <v>39720.089332419251</v>
      </c>
      <c r="P55" s="168"/>
      <c r="Q55" s="168"/>
    </row>
    <row r="56" spans="1:17" x14ac:dyDescent="0.2">
      <c r="B56" s="131"/>
      <c r="E56" s="130"/>
      <c r="F56" s="130"/>
      <c r="G56" s="130"/>
      <c r="H56" s="130"/>
      <c r="I56" s="129"/>
      <c r="J56" s="128"/>
      <c r="K56" s="128"/>
      <c r="L56" s="128"/>
      <c r="M56" s="128"/>
      <c r="N56" s="128"/>
      <c r="O56" s="170"/>
      <c r="P56" s="170"/>
      <c r="Q56" s="170"/>
    </row>
    <row r="57" spans="1:17" x14ac:dyDescent="0.2">
      <c r="B57" t="s">
        <v>243</v>
      </c>
      <c r="I57" s="136">
        <f>I19</f>
        <v>0.45685259276692552</v>
      </c>
      <c r="J57" s="136">
        <f t="shared" ref="J57:O57" si="9">J19</f>
        <v>0.47</v>
      </c>
      <c r="K57" s="136">
        <f t="shared" si="9"/>
        <v>0.45</v>
      </c>
      <c r="L57" s="136">
        <f t="shared" si="9"/>
        <v>0.44</v>
      </c>
      <c r="M57" s="136">
        <f t="shared" si="9"/>
        <v>0.43</v>
      </c>
      <c r="N57" s="136">
        <f t="shared" si="9"/>
        <v>0.43</v>
      </c>
      <c r="O57" s="136">
        <f t="shared" si="9"/>
        <v>0.45</v>
      </c>
      <c r="P57" s="171"/>
      <c r="Q57" s="171"/>
    </row>
    <row r="58" spans="1:17" x14ac:dyDescent="0.2">
      <c r="I58" s="125"/>
      <c r="J58" s="119"/>
      <c r="K58" s="119"/>
      <c r="L58" s="119"/>
      <c r="M58" s="119"/>
      <c r="N58" s="119"/>
      <c r="O58" s="170"/>
      <c r="P58" s="170"/>
      <c r="Q58" s="170"/>
    </row>
    <row r="59" spans="1:17" x14ac:dyDescent="0.2">
      <c r="B59" s="134" t="s">
        <v>242</v>
      </c>
      <c r="E59" s="133"/>
      <c r="F59" s="133"/>
      <c r="G59" s="133"/>
      <c r="H59" s="133"/>
      <c r="I59" s="125">
        <f>I55*I57</f>
        <v>11770.807052639837</v>
      </c>
      <c r="J59" s="132">
        <f t="shared" ref="J59:N59" si="10">J55*J57</f>
        <v>13235.738149999999</v>
      </c>
      <c r="K59" s="119">
        <f t="shared" si="10"/>
        <v>13800.369107250001</v>
      </c>
      <c r="L59" s="119">
        <f t="shared" si="10"/>
        <v>14395.073013311761</v>
      </c>
      <c r="M59" s="119">
        <f t="shared" si="10"/>
        <v>15007.648802178237</v>
      </c>
      <c r="N59" s="119">
        <f t="shared" si="10"/>
        <v>16010.159742163742</v>
      </c>
      <c r="O59" s="119">
        <f>O55*O57</f>
        <v>17874.040199588664</v>
      </c>
      <c r="P59" s="170"/>
      <c r="Q59" s="170"/>
    </row>
    <row r="60" spans="1:17" x14ac:dyDescent="0.2">
      <c r="B60" s="131"/>
      <c r="E60" s="130"/>
      <c r="F60" s="130"/>
      <c r="G60" s="130"/>
      <c r="H60" s="130"/>
      <c r="I60" s="129"/>
      <c r="J60" s="128"/>
      <c r="K60" s="128"/>
      <c r="L60" s="128"/>
      <c r="M60" s="128"/>
      <c r="N60" s="128"/>
      <c r="O60" s="170"/>
      <c r="P60" s="170"/>
      <c r="Q60" s="170"/>
    </row>
    <row r="61" spans="1:17" x14ac:dyDescent="0.2">
      <c r="B61" t="s">
        <v>241</v>
      </c>
      <c r="I61" s="127">
        <v>0.21</v>
      </c>
      <c r="J61" s="77">
        <f>I61</f>
        <v>0.21</v>
      </c>
      <c r="K61" s="77">
        <f>J61</f>
        <v>0.21</v>
      </c>
      <c r="L61" s="77">
        <f>K61</f>
        <v>0.21</v>
      </c>
      <c r="M61" s="77">
        <f>L61</f>
        <v>0.21</v>
      </c>
      <c r="N61" s="77">
        <f>M61</f>
        <v>0.21</v>
      </c>
      <c r="O61" s="172">
        <v>0.21</v>
      </c>
      <c r="P61" s="172"/>
      <c r="Q61" s="172"/>
    </row>
    <row r="62" spans="1:17" x14ac:dyDescent="0.2">
      <c r="I62" s="126"/>
      <c r="O62" s="4"/>
      <c r="P62" s="4"/>
      <c r="Q62" s="4"/>
    </row>
    <row r="63" spans="1:17" ht="15" x14ac:dyDescent="0.25">
      <c r="B63" s="119" t="s">
        <v>240</v>
      </c>
      <c r="C63" s="70"/>
      <c r="D63" s="70"/>
      <c r="E63" s="70"/>
      <c r="F63" s="70"/>
      <c r="G63" s="70"/>
      <c r="H63" s="70"/>
      <c r="I63" s="125">
        <f>I59*(1-I61)</f>
        <v>9298.9375715854712</v>
      </c>
      <c r="J63" s="119">
        <f t="shared" ref="J63:N63" si="11">J59*(1-J61)</f>
        <v>10456.2331385</v>
      </c>
      <c r="K63" s="119">
        <f t="shared" si="11"/>
        <v>10902.291594727501</v>
      </c>
      <c r="L63" s="119">
        <f t="shared" si="11"/>
        <v>11372.107680516292</v>
      </c>
      <c r="M63" s="119">
        <f t="shared" si="11"/>
        <v>11856.042553720808</v>
      </c>
      <c r="N63" s="119">
        <f t="shared" si="11"/>
        <v>12648.026196309356</v>
      </c>
      <c r="O63" s="119">
        <f>O59*(1-O61)</f>
        <v>14120.491757675045</v>
      </c>
      <c r="P63" s="170"/>
      <c r="Q63" s="170"/>
    </row>
    <row r="64" spans="1:17" x14ac:dyDescent="0.2">
      <c r="B64" s="124"/>
      <c r="C64" s="50"/>
      <c r="D64" s="50"/>
      <c r="E64" s="50"/>
      <c r="F64" s="50"/>
      <c r="G64" s="50"/>
      <c r="H64" s="50"/>
      <c r="I64" s="123"/>
      <c r="J64" s="50"/>
      <c r="K64" s="50"/>
      <c r="L64" s="50"/>
      <c r="M64" s="50"/>
      <c r="N64" s="50"/>
      <c r="O64" s="173"/>
      <c r="P64" s="173"/>
      <c r="Q64" s="173"/>
    </row>
    <row r="65" spans="2:17" x14ac:dyDescent="0.2">
      <c r="B65" s="124" t="s">
        <v>239</v>
      </c>
      <c r="C65" s="50"/>
      <c r="D65" s="50"/>
      <c r="E65" s="50"/>
      <c r="F65" s="50"/>
      <c r="G65" s="50"/>
      <c r="H65" s="50"/>
      <c r="I65" s="123"/>
      <c r="J65">
        <f>0.95</f>
        <v>0.95</v>
      </c>
      <c r="K65">
        <f>0.97</f>
        <v>0.97</v>
      </c>
      <c r="L65">
        <f>1</f>
        <v>1</v>
      </c>
      <c r="M65">
        <f>1</f>
        <v>1</v>
      </c>
      <c r="N65">
        <f>1</f>
        <v>1</v>
      </c>
      <c r="O65" s="4">
        <v>1.05</v>
      </c>
      <c r="P65" s="4"/>
      <c r="Q65" s="4"/>
    </row>
    <row r="66" spans="2:17" x14ac:dyDescent="0.2">
      <c r="B66" s="124"/>
      <c r="C66" s="50"/>
      <c r="D66" s="50"/>
      <c r="E66" s="50"/>
      <c r="F66" s="50"/>
      <c r="G66" s="50"/>
      <c r="H66" s="50"/>
      <c r="I66" s="123"/>
      <c r="J66" s="50"/>
      <c r="K66" s="50"/>
      <c r="L66" s="50"/>
      <c r="M66" s="50"/>
      <c r="N66" s="50"/>
      <c r="O66" s="173"/>
      <c r="P66" s="173"/>
      <c r="Q66" s="173"/>
    </row>
    <row r="67" spans="2:17" x14ac:dyDescent="0.2">
      <c r="B67" s="124" t="s">
        <v>238</v>
      </c>
      <c r="C67" s="50"/>
      <c r="D67" s="50"/>
      <c r="E67" s="50"/>
      <c r="F67" s="50"/>
      <c r="G67" s="50"/>
      <c r="H67" s="50"/>
      <c r="I67" s="123"/>
      <c r="J67" s="119">
        <f>J55-I55</f>
        <v>2396.1450000000004</v>
      </c>
      <c r="K67" s="119">
        <f t="shared" ref="K67" si="12">K55-J55</f>
        <v>2506.3419050000011</v>
      </c>
      <c r="L67" s="119">
        <f t="shared" ref="L67" si="13">L55-K55</f>
        <v>2048.5881252540021</v>
      </c>
      <c r="M67" s="119">
        <f t="shared" ref="M67" si="14">M55-L55</f>
        <v>2185.433812020965</v>
      </c>
      <c r="N67" s="119">
        <f>N55-M55</f>
        <v>2331.420790663964</v>
      </c>
      <c r="O67" s="119">
        <f>O55-N55</f>
        <v>2487.1596994803185</v>
      </c>
      <c r="P67" s="170"/>
      <c r="Q67" s="170"/>
    </row>
    <row r="68" spans="2:17" x14ac:dyDescent="0.2">
      <c r="B68" s="124"/>
      <c r="C68" s="50"/>
      <c r="D68" s="50"/>
      <c r="E68" s="50"/>
      <c r="F68" s="50"/>
      <c r="G68" s="50"/>
      <c r="H68" s="50"/>
      <c r="I68" s="123"/>
      <c r="J68" s="50"/>
      <c r="K68" s="50"/>
      <c r="L68" s="50"/>
      <c r="M68" s="50"/>
      <c r="N68" s="50"/>
      <c r="O68" s="173"/>
      <c r="P68" s="173"/>
      <c r="Q68" s="173"/>
    </row>
    <row r="69" spans="2:17" x14ac:dyDescent="0.2">
      <c r="B69" s="119" t="s">
        <v>237</v>
      </c>
      <c r="C69" s="50"/>
      <c r="D69" s="50"/>
      <c r="E69" s="118"/>
      <c r="F69" s="118"/>
      <c r="G69" s="118"/>
      <c r="H69" s="118"/>
      <c r="I69" s="121"/>
      <c r="J69" s="122">
        <f>J67/J65</f>
        <v>2522.2578947368429</v>
      </c>
      <c r="K69" s="122">
        <f t="shared" ref="K69:N69" si="15">K67/K65</f>
        <v>2583.8576340206196</v>
      </c>
      <c r="L69" s="122">
        <f t="shared" si="15"/>
        <v>2048.5881252540021</v>
      </c>
      <c r="M69" s="122">
        <f t="shared" si="15"/>
        <v>2185.433812020965</v>
      </c>
      <c r="N69" s="122">
        <f t="shared" si="15"/>
        <v>2331.420790663964</v>
      </c>
      <c r="O69" s="122">
        <f>O67/O65</f>
        <v>2368.7235233145889</v>
      </c>
      <c r="P69" s="174"/>
      <c r="Q69" s="174"/>
    </row>
    <row r="70" spans="2:17" ht="15" thickBot="1" x14ac:dyDescent="0.25">
      <c r="B70" s="50"/>
      <c r="C70" s="50"/>
      <c r="D70" s="50"/>
      <c r="E70" s="118"/>
      <c r="F70" s="118"/>
      <c r="G70" s="118"/>
      <c r="H70" s="118"/>
      <c r="I70" s="121"/>
      <c r="J70" s="120">
        <v>1</v>
      </c>
      <c r="K70" s="120">
        <v>2</v>
      </c>
      <c r="L70" s="120">
        <v>3</v>
      </c>
      <c r="M70" s="120">
        <v>4</v>
      </c>
      <c r="N70" s="120">
        <v>5</v>
      </c>
      <c r="O70" s="181">
        <v>6</v>
      </c>
      <c r="P70" s="181"/>
      <c r="Q70" s="181"/>
    </row>
    <row r="71" spans="2:17" ht="15" x14ac:dyDescent="0.25">
      <c r="B71" s="119" t="s">
        <v>236</v>
      </c>
      <c r="C71" s="50"/>
      <c r="D71" s="50"/>
      <c r="E71" s="118"/>
      <c r="F71" s="118"/>
      <c r="G71" s="118"/>
      <c r="H71" s="208" t="s">
        <v>235</v>
      </c>
      <c r="I71" s="209"/>
      <c r="J71" s="117">
        <f>J63-J69</f>
        <v>7933.9752437631569</v>
      </c>
      <c r="K71" s="117">
        <f>K63-K69</f>
        <v>8318.4339607068814</v>
      </c>
      <c r="L71" s="117">
        <f t="shared" ref="L71:N71" si="16">L63-L69</f>
        <v>9323.5195552622899</v>
      </c>
      <c r="M71" s="117">
        <f t="shared" si="16"/>
        <v>9670.6087416998434</v>
      </c>
      <c r="N71" s="198">
        <f t="shared" si="16"/>
        <v>10316.605405645392</v>
      </c>
      <c r="O71" s="213">
        <f>O63-O69</f>
        <v>11751.768234360456</v>
      </c>
      <c r="P71" s="170"/>
      <c r="Q71" s="170"/>
    </row>
    <row r="72" spans="2:17" ht="15" x14ac:dyDescent="0.25">
      <c r="C72" s="1"/>
      <c r="D72" s="1"/>
      <c r="E72" s="1"/>
      <c r="F72" s="1"/>
      <c r="G72" s="1"/>
      <c r="H72" s="210" t="s">
        <v>234</v>
      </c>
      <c r="I72" s="211"/>
      <c r="J72" s="197">
        <f>J34</f>
        <v>9.8598737518133597E-2</v>
      </c>
      <c r="K72" s="197">
        <f t="shared" ref="K72:O72" si="17">K34</f>
        <v>9.4181117977777659E-2</v>
      </c>
      <c r="L72" s="197">
        <f t="shared" si="17"/>
        <v>9.371299963202788E-2</v>
      </c>
      <c r="M72" s="197">
        <f t="shared" si="17"/>
        <v>8.2332936033319176E-2</v>
      </c>
      <c r="N72" s="197">
        <f t="shared" si="17"/>
        <v>7.5261935906854927E-2</v>
      </c>
      <c r="O72" s="212">
        <f t="shared" si="17"/>
        <v>7.1454574408432336E-2</v>
      </c>
      <c r="P72" s="182"/>
      <c r="Q72" s="182"/>
    </row>
    <row r="73" spans="2:17" ht="15.75" thickBot="1" x14ac:dyDescent="0.3">
      <c r="C73" s="1"/>
      <c r="D73" s="1"/>
      <c r="E73" s="1"/>
      <c r="F73" s="1"/>
      <c r="G73" s="1"/>
      <c r="H73" s="203" t="s">
        <v>233</v>
      </c>
      <c r="I73" s="27"/>
      <c r="J73" s="204">
        <f t="shared" ref="J73" si="18">J71/((1+J72)^J70)</f>
        <v>7221.9045706232637</v>
      </c>
      <c r="K73" s="204">
        <f t="shared" ref="K73" si="19">K71/((1+K72)^K70)</f>
        <v>6948.0532968555981</v>
      </c>
      <c r="L73" s="204">
        <f t="shared" ref="L73" si="20">L71/((1+L72)^L70)</f>
        <v>7126.3929191162897</v>
      </c>
      <c r="M73" s="204">
        <f t="shared" ref="M73" si="21">M71/((1+M72)^M70)</f>
        <v>7047.0980611667128</v>
      </c>
      <c r="N73" s="205">
        <f t="shared" ref="N73" si="22">N71/((1+N72)^N70)</f>
        <v>7177.3720502141459</v>
      </c>
      <c r="O73" s="214">
        <f>O71/((1+O72)^O70)</f>
        <v>7767.1311392842599</v>
      </c>
      <c r="P73" s="170"/>
      <c r="Q73" s="170"/>
    </row>
    <row r="74" spans="2:17" ht="15.75" thickBot="1" x14ac:dyDescent="0.3">
      <c r="I74" s="201" t="s">
        <v>232</v>
      </c>
      <c r="J74" s="202">
        <f>SUM(J73:P73)</f>
        <v>43287.952037260271</v>
      </c>
      <c r="O74" s="4"/>
      <c r="P74" s="4"/>
      <c r="Q74" s="4"/>
    </row>
    <row r="75" spans="2:17" ht="15" x14ac:dyDescent="0.25">
      <c r="B75" t="s">
        <v>231</v>
      </c>
      <c r="C75" s="116">
        <v>0.04</v>
      </c>
      <c r="I75" s="1"/>
      <c r="J75" s="50"/>
      <c r="O75" s="4"/>
      <c r="P75" s="4"/>
      <c r="Q75" s="4"/>
    </row>
    <row r="76" spans="2:17" x14ac:dyDescent="0.2">
      <c r="B76" t="s">
        <v>230</v>
      </c>
      <c r="J76" s="115"/>
      <c r="N76" s="114">
        <f>O73/(O72-C75)</f>
        <v>246931.68753229256</v>
      </c>
      <c r="O76" s="4"/>
      <c r="P76" s="4"/>
      <c r="Q76" s="4"/>
    </row>
    <row r="77" spans="2:17" x14ac:dyDescent="0.2">
      <c r="B77" s="106" t="s">
        <v>229</v>
      </c>
      <c r="C77" s="106"/>
      <c r="D77" s="106"/>
      <c r="E77" s="106"/>
      <c r="F77" s="106"/>
      <c r="G77" s="106"/>
      <c r="H77" s="106"/>
      <c r="I77" s="106"/>
      <c r="J77" s="106"/>
      <c r="K77" s="106"/>
      <c r="L77" s="106"/>
      <c r="M77" s="106"/>
      <c r="N77" s="113">
        <f>N76/((1+O72)^O70)</f>
        <v>163205.29483386781</v>
      </c>
      <c r="O77" s="4"/>
      <c r="P77" s="4"/>
      <c r="Q77" s="4"/>
    </row>
    <row r="78" spans="2:17" ht="15" x14ac:dyDescent="0.25">
      <c r="B78" s="1" t="s">
        <v>228</v>
      </c>
      <c r="C78" s="1"/>
      <c r="D78" s="1"/>
      <c r="E78" s="1"/>
      <c r="F78" s="1"/>
      <c r="G78" s="1"/>
      <c r="H78" s="1"/>
      <c r="I78" s="1"/>
      <c r="J78" s="1"/>
      <c r="K78" s="1"/>
      <c r="L78" s="1"/>
      <c r="M78" s="1"/>
      <c r="N78" s="112">
        <f>J74+N77</f>
        <v>206493.2468711281</v>
      </c>
      <c r="O78" s="4"/>
      <c r="P78" s="4"/>
      <c r="Q78" s="4"/>
    </row>
    <row r="79" spans="2:17" x14ac:dyDescent="0.2">
      <c r="B79" s="111" t="s">
        <v>227</v>
      </c>
      <c r="N79" s="110">
        <v>4579.3</v>
      </c>
      <c r="O79" s="4"/>
      <c r="P79" s="4"/>
      <c r="Q79" s="4"/>
    </row>
    <row r="80" spans="2:17" x14ac:dyDescent="0.2">
      <c r="B80" s="109" t="s">
        <v>226</v>
      </c>
      <c r="C80" s="106"/>
      <c r="D80" s="106"/>
      <c r="E80" s="106"/>
      <c r="F80" s="106"/>
      <c r="G80" s="106"/>
      <c r="H80" s="106"/>
      <c r="I80" s="106"/>
      <c r="J80" s="106"/>
      <c r="K80" s="106"/>
      <c r="L80" s="106"/>
      <c r="M80" s="106"/>
      <c r="N80" s="108">
        <v>37152.9</v>
      </c>
      <c r="O80" s="4"/>
      <c r="P80" s="4"/>
      <c r="Q80" s="4"/>
    </row>
    <row r="81" spans="1:31" ht="15" x14ac:dyDescent="0.25">
      <c r="B81" s="1" t="s">
        <v>225</v>
      </c>
      <c r="C81" s="1"/>
      <c r="D81" s="1"/>
      <c r="E81" s="1"/>
      <c r="F81" s="1"/>
      <c r="G81" s="1"/>
      <c r="H81" s="1"/>
      <c r="I81" s="1"/>
      <c r="J81" s="1"/>
      <c r="K81" s="1"/>
      <c r="L81" s="1"/>
      <c r="M81" s="1"/>
      <c r="N81" s="107">
        <f>N78+N79-N80</f>
        <v>173919.64687112809</v>
      </c>
      <c r="O81" s="4"/>
      <c r="P81" s="4"/>
      <c r="Q81" s="4"/>
    </row>
    <row r="82" spans="1:31" x14ac:dyDescent="0.2">
      <c r="B82" s="106" t="s">
        <v>224</v>
      </c>
      <c r="C82" s="106"/>
      <c r="D82" s="106"/>
      <c r="E82" s="106"/>
      <c r="F82" s="106"/>
      <c r="G82" s="106"/>
      <c r="H82" s="106"/>
      <c r="I82" s="106"/>
      <c r="J82" s="106"/>
      <c r="K82" s="106"/>
      <c r="L82" s="106"/>
      <c r="M82" s="106"/>
      <c r="N82" s="60">
        <f>720681656/1000000</f>
        <v>720.68165599999998</v>
      </c>
      <c r="O82" s="4"/>
      <c r="P82" s="4"/>
      <c r="Q82" s="4"/>
    </row>
    <row r="83" spans="1:31" ht="15" x14ac:dyDescent="0.25">
      <c r="B83" s="1" t="s">
        <v>223</v>
      </c>
      <c r="C83" s="1"/>
      <c r="D83" s="1"/>
      <c r="E83" s="1"/>
      <c r="F83" s="1"/>
      <c r="G83" s="1"/>
      <c r="H83" s="1"/>
      <c r="I83" s="1"/>
      <c r="J83" s="1"/>
      <c r="K83" s="1"/>
      <c r="L83" s="1"/>
      <c r="M83" s="1"/>
      <c r="N83" s="105">
        <f>N81/N82</f>
        <v>241.32659048994594</v>
      </c>
      <c r="O83" s="4"/>
      <c r="P83" s="4"/>
      <c r="Q83" s="4"/>
    </row>
    <row r="84" spans="1:31" ht="15.75" thickBot="1" x14ac:dyDescent="0.3">
      <c r="B84" s="1" t="s">
        <v>222</v>
      </c>
      <c r="C84" s="1"/>
      <c r="D84" s="1"/>
      <c r="E84" s="1"/>
      <c r="F84" s="1"/>
      <c r="G84" s="1"/>
      <c r="H84" s="1"/>
      <c r="I84" s="1"/>
      <c r="J84" s="1"/>
      <c r="K84" s="1"/>
      <c r="L84" s="1"/>
      <c r="M84" s="1"/>
      <c r="N84" s="105">
        <v>259</v>
      </c>
      <c r="O84" s="4"/>
      <c r="P84" s="4"/>
      <c r="Q84" s="4"/>
    </row>
    <row r="85" spans="1:31" ht="15.75" thickBot="1" x14ac:dyDescent="0.3">
      <c r="B85" s="1" t="s">
        <v>221</v>
      </c>
      <c r="N85" s="148">
        <f>(N83-N84)/N84</f>
        <v>-6.8237102355421075E-2</v>
      </c>
      <c r="O85" s="4"/>
      <c r="P85" s="4"/>
      <c r="Q85" s="4"/>
    </row>
    <row r="86" spans="1:31" x14ac:dyDescent="0.2">
      <c r="B86" s="147"/>
      <c r="C86" s="147"/>
      <c r="D86" s="147"/>
      <c r="E86" s="147"/>
      <c r="F86" s="147"/>
      <c r="G86" s="147"/>
      <c r="H86" s="147"/>
      <c r="I86" s="147"/>
      <c r="J86" s="147"/>
      <c r="K86" s="147"/>
      <c r="L86" s="147"/>
      <c r="M86" s="147"/>
      <c r="N86" s="147"/>
      <c r="O86" s="175"/>
      <c r="P86" s="175"/>
      <c r="Q86" s="175"/>
    </row>
    <row r="87" spans="1:31" ht="15" x14ac:dyDescent="0.25">
      <c r="A87" s="146" t="s">
        <v>266</v>
      </c>
      <c r="B87" s="145"/>
      <c r="C87" s="145"/>
      <c r="D87" s="145"/>
      <c r="E87" s="145"/>
      <c r="F87" s="145"/>
      <c r="G87" s="145"/>
      <c r="O87" s="4"/>
      <c r="P87" s="4"/>
      <c r="Q87" s="4"/>
      <c r="R87" s="4"/>
      <c r="S87" s="4"/>
      <c r="T87" s="4"/>
      <c r="U87" s="4"/>
      <c r="V87" s="4"/>
      <c r="W87" s="4"/>
      <c r="X87" s="4"/>
      <c r="Y87" s="4"/>
      <c r="Z87" s="4"/>
      <c r="AA87" s="4"/>
      <c r="AB87" s="4"/>
      <c r="AC87" s="4"/>
      <c r="AD87" s="4"/>
      <c r="AE87" s="4"/>
    </row>
    <row r="88" spans="1:31" x14ac:dyDescent="0.2">
      <c r="O88" s="4"/>
      <c r="P88" s="4"/>
      <c r="Q88" s="4"/>
      <c r="R88" s="4"/>
      <c r="S88" s="4"/>
      <c r="T88" s="4"/>
      <c r="U88" s="4"/>
      <c r="V88" s="4"/>
      <c r="W88" s="4"/>
      <c r="X88" s="4"/>
      <c r="Y88" s="4"/>
      <c r="Z88" s="4"/>
      <c r="AA88" s="4"/>
      <c r="AB88" s="4"/>
      <c r="AC88" s="4"/>
      <c r="AD88" s="4"/>
      <c r="AE88" s="4"/>
    </row>
    <row r="89" spans="1:31" ht="15" x14ac:dyDescent="0.25">
      <c r="B89" s="143" t="s">
        <v>247</v>
      </c>
      <c r="C89" s="144"/>
      <c r="D89" s="144"/>
      <c r="E89" s="143"/>
      <c r="F89" s="143"/>
      <c r="G89" s="143"/>
      <c r="H89" s="143"/>
      <c r="I89" s="142" t="s">
        <v>246</v>
      </c>
      <c r="J89" s="142">
        <v>1</v>
      </c>
      <c r="K89" s="142">
        <v>2</v>
      </c>
      <c r="L89" s="142">
        <v>3</v>
      </c>
      <c r="M89" s="142">
        <v>4</v>
      </c>
      <c r="N89" s="142">
        <v>5</v>
      </c>
      <c r="O89" s="200" t="s">
        <v>75</v>
      </c>
      <c r="P89" s="165"/>
      <c r="Q89" s="166"/>
      <c r="R89" s="4"/>
      <c r="S89" s="4"/>
      <c r="T89" s="4"/>
      <c r="U89" s="4"/>
      <c r="V89" s="4"/>
      <c r="W89" s="4"/>
      <c r="X89" s="4"/>
      <c r="Y89" s="4"/>
      <c r="Z89" s="4"/>
      <c r="AA89" s="4"/>
      <c r="AB89" s="4"/>
      <c r="AC89" s="4"/>
      <c r="AD89" s="4"/>
      <c r="AE89" s="4"/>
    </row>
    <row r="90" spans="1:31" x14ac:dyDescent="0.2">
      <c r="E90" s="133"/>
      <c r="F90" s="133"/>
      <c r="G90" s="133"/>
      <c r="H90" s="133"/>
      <c r="I90" s="141"/>
      <c r="J90" s="140"/>
      <c r="K90" s="140"/>
      <c r="L90" s="140"/>
      <c r="M90" s="140"/>
      <c r="N90" s="140"/>
      <c r="O90" s="4"/>
      <c r="P90" s="4"/>
      <c r="Q90" s="4"/>
      <c r="R90" s="4"/>
      <c r="S90" s="4"/>
      <c r="T90" s="4"/>
      <c r="U90" s="4"/>
      <c r="V90" s="4"/>
      <c r="W90" s="4"/>
      <c r="X90" s="4"/>
      <c r="Y90" s="4"/>
      <c r="Z90" s="4"/>
      <c r="AA90" s="4"/>
      <c r="AB90" s="4"/>
      <c r="AC90" s="4"/>
      <c r="AD90" s="4"/>
      <c r="AE90" s="4"/>
    </row>
    <row r="91" spans="1:31" x14ac:dyDescent="0.2">
      <c r="B91" s="131" t="s">
        <v>245</v>
      </c>
      <c r="E91" s="130"/>
      <c r="F91" s="130"/>
      <c r="G91" s="130"/>
      <c r="H91" s="130"/>
      <c r="I91" s="139">
        <f>11.5%</f>
        <v>0.115</v>
      </c>
      <c r="J91" s="139">
        <f t="shared" ref="J91:O91" si="23">11.5%</f>
        <v>0.115</v>
      </c>
      <c r="K91" s="139">
        <f t="shared" si="23"/>
        <v>0.115</v>
      </c>
      <c r="L91" s="139">
        <f t="shared" si="23"/>
        <v>0.115</v>
      </c>
      <c r="M91" s="139">
        <f t="shared" si="23"/>
        <v>0.115</v>
      </c>
      <c r="N91" s="139">
        <f t="shared" si="23"/>
        <v>0.115</v>
      </c>
      <c r="O91" s="139">
        <f t="shared" si="23"/>
        <v>0.115</v>
      </c>
      <c r="P91" s="167"/>
      <c r="Q91" s="167"/>
      <c r="R91" s="4"/>
      <c r="S91" s="4"/>
      <c r="T91" s="4"/>
      <c r="U91" s="4"/>
      <c r="V91" s="4"/>
      <c r="W91" s="4"/>
      <c r="X91" s="4"/>
      <c r="Y91" s="4"/>
      <c r="Z91" s="4"/>
      <c r="AA91" s="4"/>
      <c r="AB91" s="4"/>
      <c r="AC91" s="4"/>
      <c r="AD91" s="4"/>
      <c r="AE91" s="4"/>
    </row>
    <row r="92" spans="1:31" ht="15" x14ac:dyDescent="0.25">
      <c r="G92" s="1"/>
      <c r="I92" s="126"/>
      <c r="O92" s="4"/>
      <c r="P92" s="4"/>
      <c r="Q92" s="4"/>
      <c r="R92" s="4"/>
      <c r="S92" s="4"/>
      <c r="T92" s="4"/>
      <c r="U92" s="4"/>
      <c r="V92" s="4"/>
      <c r="W92" s="4"/>
      <c r="X92" s="4"/>
      <c r="Y92" s="4"/>
      <c r="Z92" s="4"/>
      <c r="AA92" s="4"/>
      <c r="AB92" s="4"/>
      <c r="AC92" s="4"/>
      <c r="AD92" s="4"/>
      <c r="AE92" s="4"/>
    </row>
    <row r="93" spans="1:31" x14ac:dyDescent="0.2">
      <c r="B93" s="134" t="s">
        <v>244</v>
      </c>
      <c r="E93" s="133"/>
      <c r="F93" s="133"/>
      <c r="G93" s="133"/>
      <c r="H93" s="133"/>
      <c r="I93" s="125">
        <f>I55</f>
        <v>25765</v>
      </c>
      <c r="J93" s="125">
        <f>I93+(I93*I91)</f>
        <v>28727.974999999999</v>
      </c>
      <c r="K93" s="125">
        <f t="shared" ref="K93" si="24">J93+(J93*J91)</f>
        <v>32031.692124999998</v>
      </c>
      <c r="L93" s="125">
        <f>K93+(K93*K91)</f>
        <v>35715.336719374995</v>
      </c>
      <c r="M93" s="125">
        <f t="shared" ref="M93:N93" si="25">L93+(L93*L91)</f>
        <v>39822.600442103118</v>
      </c>
      <c r="N93" s="125">
        <f t="shared" si="25"/>
        <v>44402.199492944979</v>
      </c>
      <c r="O93" s="125">
        <f>N93+(N93*N91)</f>
        <v>49508.452434633655</v>
      </c>
      <c r="P93" s="168"/>
      <c r="Q93" s="168"/>
      <c r="R93" s="4"/>
      <c r="S93" s="4"/>
      <c r="T93" s="4"/>
      <c r="U93" s="4"/>
      <c r="V93" s="4"/>
      <c r="W93" s="4"/>
      <c r="X93" s="4"/>
      <c r="Y93" s="4"/>
      <c r="Z93" s="4"/>
      <c r="AA93" s="4"/>
      <c r="AB93" s="4"/>
      <c r="AC93" s="4"/>
      <c r="AD93" s="4"/>
      <c r="AE93" s="4"/>
    </row>
    <row r="94" spans="1:31" x14ac:dyDescent="0.2">
      <c r="B94" s="131"/>
      <c r="E94" s="130"/>
      <c r="F94" s="130"/>
      <c r="G94" s="130"/>
      <c r="H94" s="130"/>
      <c r="I94" s="129"/>
      <c r="J94" s="128"/>
      <c r="K94" s="128"/>
      <c r="L94" s="128"/>
      <c r="M94" s="128"/>
      <c r="N94" s="128"/>
      <c r="O94" s="170"/>
      <c r="P94" s="170"/>
      <c r="Q94" s="170"/>
      <c r="R94" s="4"/>
      <c r="S94" s="4"/>
      <c r="T94" s="4"/>
      <c r="U94" s="4"/>
      <c r="V94" s="4"/>
      <c r="W94" s="4"/>
      <c r="X94" s="4"/>
      <c r="Y94" s="4"/>
      <c r="Z94" s="4"/>
      <c r="AA94" s="4"/>
      <c r="AB94" s="4"/>
      <c r="AC94" s="4"/>
      <c r="AD94" s="4"/>
      <c r="AE94" s="4"/>
    </row>
    <row r="95" spans="1:31" x14ac:dyDescent="0.2">
      <c r="B95" t="s">
        <v>243</v>
      </c>
      <c r="I95" s="136">
        <f>I57</f>
        <v>0.45685259276692552</v>
      </c>
      <c r="J95" s="136">
        <f t="shared" ref="J95:O95" si="26">J57</f>
        <v>0.47</v>
      </c>
      <c r="K95" s="136">
        <f t="shared" si="26"/>
        <v>0.45</v>
      </c>
      <c r="L95" s="136">
        <f t="shared" si="26"/>
        <v>0.44</v>
      </c>
      <c r="M95" s="136">
        <f t="shared" si="26"/>
        <v>0.43</v>
      </c>
      <c r="N95" s="136">
        <f t="shared" si="26"/>
        <v>0.43</v>
      </c>
      <c r="O95" s="136">
        <f t="shared" si="26"/>
        <v>0.45</v>
      </c>
      <c r="P95" s="176"/>
      <c r="Q95" s="176"/>
      <c r="R95" s="4"/>
      <c r="S95" s="4"/>
      <c r="T95" s="4"/>
      <c r="U95" s="4"/>
      <c r="V95" s="4"/>
      <c r="W95" s="4"/>
      <c r="X95" s="4"/>
      <c r="Y95" s="4"/>
      <c r="Z95" s="4"/>
      <c r="AA95" s="4"/>
      <c r="AB95" s="4"/>
      <c r="AC95" s="4"/>
      <c r="AD95" s="4"/>
      <c r="AE95" s="4"/>
    </row>
    <row r="96" spans="1:31" x14ac:dyDescent="0.2">
      <c r="I96" s="125"/>
      <c r="J96" s="119"/>
      <c r="K96" s="119"/>
      <c r="L96" s="119"/>
      <c r="M96" s="119"/>
      <c r="N96" s="119"/>
      <c r="O96" s="170"/>
      <c r="P96" s="170"/>
      <c r="Q96" s="170"/>
      <c r="R96" s="4"/>
      <c r="S96" s="4"/>
      <c r="T96" s="4"/>
      <c r="U96" s="4"/>
      <c r="V96" s="4"/>
      <c r="W96" s="4"/>
      <c r="X96" s="4"/>
      <c r="Y96" s="4"/>
      <c r="Z96" s="4"/>
      <c r="AA96" s="4"/>
      <c r="AB96" s="4"/>
      <c r="AC96" s="4"/>
      <c r="AD96" s="4"/>
      <c r="AE96" s="4"/>
    </row>
    <row r="97" spans="2:31" x14ac:dyDescent="0.2">
      <c r="B97" s="134" t="s">
        <v>242</v>
      </c>
      <c r="E97" s="133"/>
      <c r="F97" s="133"/>
      <c r="G97" s="133"/>
      <c r="H97" s="133"/>
      <c r="I97" s="125">
        <f>I93*I95</f>
        <v>11770.807052639837</v>
      </c>
      <c r="J97" s="132">
        <f t="shared" ref="J97:N97" si="27">J93*J95</f>
        <v>13502.148249999998</v>
      </c>
      <c r="K97" s="119">
        <f t="shared" si="27"/>
        <v>14414.261456249998</v>
      </c>
      <c r="L97" s="119">
        <f t="shared" si="27"/>
        <v>15714.748156524998</v>
      </c>
      <c r="M97" s="119">
        <f t="shared" si="27"/>
        <v>17123.71819010434</v>
      </c>
      <c r="N97" s="119">
        <f t="shared" si="27"/>
        <v>19092.94578196634</v>
      </c>
      <c r="O97" s="119">
        <f>O93*O95</f>
        <v>22278.803595585145</v>
      </c>
      <c r="P97" s="170"/>
      <c r="Q97" s="170"/>
      <c r="R97" s="4"/>
      <c r="S97" s="4"/>
      <c r="T97" s="4"/>
      <c r="U97" s="4"/>
      <c r="V97" s="4"/>
      <c r="W97" s="4"/>
      <c r="X97" s="4"/>
      <c r="Y97" s="4"/>
      <c r="Z97" s="4"/>
      <c r="AA97" s="4"/>
      <c r="AB97" s="4"/>
      <c r="AC97" s="4"/>
      <c r="AD97" s="4"/>
      <c r="AE97" s="4"/>
    </row>
    <row r="98" spans="2:31" x14ac:dyDescent="0.2">
      <c r="B98" s="131"/>
      <c r="E98" s="130"/>
      <c r="F98" s="130"/>
      <c r="G98" s="130"/>
      <c r="H98" s="130"/>
      <c r="I98" s="129"/>
      <c r="J98" s="128"/>
      <c r="K98" s="128"/>
      <c r="L98" s="128"/>
      <c r="M98" s="128"/>
      <c r="N98" s="128"/>
      <c r="O98" s="170"/>
      <c r="P98" s="170"/>
      <c r="Q98" s="170"/>
      <c r="R98" s="4"/>
      <c r="S98" s="4"/>
      <c r="T98" s="4"/>
      <c r="U98" s="4"/>
      <c r="V98" s="4"/>
      <c r="W98" s="4"/>
      <c r="X98" s="4"/>
      <c r="Y98" s="4"/>
      <c r="Z98" s="4"/>
      <c r="AA98" s="4"/>
      <c r="AB98" s="4"/>
      <c r="AC98" s="4"/>
      <c r="AD98" s="4"/>
      <c r="AE98" s="4"/>
    </row>
    <row r="99" spans="2:31" x14ac:dyDescent="0.2">
      <c r="B99" t="s">
        <v>241</v>
      </c>
      <c r="I99" s="127">
        <v>0.21</v>
      </c>
      <c r="J99" s="77">
        <f>I99</f>
        <v>0.21</v>
      </c>
      <c r="K99" s="77">
        <f>J99</f>
        <v>0.21</v>
      </c>
      <c r="L99" s="77">
        <f>K99</f>
        <v>0.21</v>
      </c>
      <c r="M99" s="77">
        <f>L99</f>
        <v>0.21</v>
      </c>
      <c r="N99" s="77">
        <f>M99</f>
        <v>0.21</v>
      </c>
      <c r="O99" s="172">
        <v>0.21</v>
      </c>
      <c r="P99" s="172"/>
      <c r="Q99" s="172"/>
      <c r="R99" s="4"/>
      <c r="S99" s="4"/>
      <c r="T99" s="4"/>
      <c r="U99" s="4"/>
      <c r="V99" s="4"/>
      <c r="W99" s="4"/>
      <c r="X99" s="4"/>
      <c r="Y99" s="4"/>
      <c r="Z99" s="4"/>
      <c r="AA99" s="4"/>
      <c r="AB99" s="4"/>
      <c r="AC99" s="4"/>
      <c r="AD99" s="4"/>
      <c r="AE99" s="4"/>
    </row>
    <row r="100" spans="2:31" x14ac:dyDescent="0.2">
      <c r="I100" s="126"/>
      <c r="O100" s="4"/>
      <c r="P100" s="4"/>
      <c r="Q100" s="4"/>
      <c r="R100" s="4"/>
      <c r="S100" s="4"/>
      <c r="T100" s="4"/>
      <c r="U100" s="4"/>
      <c r="V100" s="4"/>
      <c r="W100" s="4"/>
      <c r="X100" s="4"/>
      <c r="Y100" s="4"/>
      <c r="Z100" s="4"/>
      <c r="AA100" s="4"/>
      <c r="AB100" s="4"/>
      <c r="AC100" s="4"/>
      <c r="AD100" s="4"/>
      <c r="AE100" s="4"/>
    </row>
    <row r="101" spans="2:31" ht="15" x14ac:dyDescent="0.25">
      <c r="B101" s="119" t="s">
        <v>240</v>
      </c>
      <c r="C101" s="70"/>
      <c r="D101" s="70"/>
      <c r="E101" s="70"/>
      <c r="F101" s="70"/>
      <c r="G101" s="70"/>
      <c r="H101" s="70"/>
      <c r="I101" s="125">
        <f>I97*(1-I99)</f>
        <v>9298.9375715854712</v>
      </c>
      <c r="J101" s="119">
        <f t="shared" ref="J101:N101" si="28">J97*(1-J99)</f>
        <v>10666.6971175</v>
      </c>
      <c r="K101" s="119">
        <f t="shared" si="28"/>
        <v>11387.2665504375</v>
      </c>
      <c r="L101" s="119">
        <f t="shared" si="28"/>
        <v>12414.651043654749</v>
      </c>
      <c r="M101" s="119">
        <f t="shared" si="28"/>
        <v>13527.737370182429</v>
      </c>
      <c r="N101" s="119">
        <f t="shared" si="28"/>
        <v>15083.427167753409</v>
      </c>
      <c r="O101" s="119">
        <f>O97*(1-O99)</f>
        <v>17600.254840512265</v>
      </c>
      <c r="P101" s="170"/>
      <c r="Q101" s="170"/>
      <c r="R101" s="4"/>
      <c r="S101" s="4"/>
      <c r="T101" s="4"/>
      <c r="U101" s="4"/>
      <c r="V101" s="4"/>
      <c r="W101" s="4"/>
      <c r="X101" s="4"/>
      <c r="Y101" s="4"/>
      <c r="Z101" s="4"/>
      <c r="AA101" s="4"/>
      <c r="AB101" s="4"/>
      <c r="AC101" s="4"/>
      <c r="AD101" s="4"/>
      <c r="AE101" s="4"/>
    </row>
    <row r="102" spans="2:31" x14ac:dyDescent="0.2">
      <c r="B102" s="124"/>
      <c r="C102" s="50"/>
      <c r="D102" s="50"/>
      <c r="E102" s="50"/>
      <c r="F102" s="50"/>
      <c r="G102" s="50"/>
      <c r="H102" s="50"/>
      <c r="I102" s="123"/>
      <c r="J102" s="50"/>
      <c r="K102" s="50"/>
      <c r="L102" s="50"/>
      <c r="M102" s="50"/>
      <c r="N102" s="50"/>
      <c r="O102" s="173"/>
      <c r="P102" s="173"/>
      <c r="Q102" s="173"/>
      <c r="R102" s="4"/>
      <c r="S102" s="4"/>
      <c r="T102" s="4"/>
      <c r="U102" s="4"/>
      <c r="V102" s="4"/>
      <c r="W102" s="4"/>
      <c r="X102" s="4"/>
      <c r="Y102" s="4"/>
      <c r="Z102" s="4"/>
      <c r="AA102" s="4"/>
      <c r="AB102" s="4"/>
      <c r="AC102" s="4"/>
      <c r="AD102" s="4"/>
      <c r="AE102" s="4"/>
    </row>
    <row r="103" spans="2:31" x14ac:dyDescent="0.2">
      <c r="B103" s="124" t="s">
        <v>239</v>
      </c>
      <c r="C103" s="50"/>
      <c r="D103" s="50"/>
      <c r="E103" s="50"/>
      <c r="F103" s="50"/>
      <c r="G103" s="50"/>
      <c r="H103" s="50"/>
      <c r="I103" s="123"/>
      <c r="J103">
        <f>0.95</f>
        <v>0.95</v>
      </c>
      <c r="K103">
        <f>0.97</f>
        <v>0.97</v>
      </c>
      <c r="L103">
        <f>1</f>
        <v>1</v>
      </c>
      <c r="M103">
        <f>1</f>
        <v>1</v>
      </c>
      <c r="N103">
        <f>1</f>
        <v>1</v>
      </c>
      <c r="O103" s="4">
        <v>1.05</v>
      </c>
      <c r="P103" s="4"/>
      <c r="Q103" s="4"/>
      <c r="R103" s="4"/>
      <c r="S103" s="4"/>
      <c r="T103" s="4"/>
      <c r="U103" s="4"/>
      <c r="V103" s="4"/>
      <c r="W103" s="4"/>
      <c r="X103" s="4"/>
      <c r="Y103" s="4"/>
      <c r="Z103" s="4"/>
      <c r="AA103" s="4"/>
      <c r="AB103" s="4"/>
      <c r="AC103" s="4"/>
      <c r="AD103" s="4"/>
      <c r="AE103" s="4"/>
    </row>
    <row r="104" spans="2:31" x14ac:dyDescent="0.2">
      <c r="B104" s="124"/>
      <c r="C104" s="50"/>
      <c r="D104" s="50"/>
      <c r="E104" s="50"/>
      <c r="F104" s="50"/>
      <c r="G104" s="50"/>
      <c r="H104" s="50"/>
      <c r="I104" s="123"/>
      <c r="J104" s="50"/>
      <c r="K104" s="50"/>
      <c r="L104" s="50"/>
      <c r="M104" s="50"/>
      <c r="N104" s="50"/>
      <c r="O104" s="173"/>
      <c r="P104" s="173"/>
      <c r="Q104" s="173"/>
      <c r="R104" s="4"/>
      <c r="S104" s="4"/>
      <c r="T104" s="4"/>
      <c r="U104" s="4"/>
      <c r="V104" s="4"/>
      <c r="W104" s="4"/>
      <c r="X104" s="4"/>
      <c r="Y104" s="4"/>
      <c r="Z104" s="4"/>
      <c r="AA104" s="4"/>
      <c r="AB104" s="4"/>
      <c r="AC104" s="4"/>
      <c r="AD104" s="4"/>
      <c r="AE104" s="4"/>
    </row>
    <row r="105" spans="2:31" x14ac:dyDescent="0.2">
      <c r="B105" s="124" t="s">
        <v>238</v>
      </c>
      <c r="C105" s="50"/>
      <c r="D105" s="50"/>
      <c r="E105" s="50"/>
      <c r="F105" s="50"/>
      <c r="G105" s="50"/>
      <c r="H105" s="50"/>
      <c r="I105" s="123"/>
      <c r="J105" s="119">
        <f>J93-I93</f>
        <v>2962.9749999999985</v>
      </c>
      <c r="K105" s="119">
        <f t="shared" ref="K105" si="29">K93-J93</f>
        <v>3303.7171249999992</v>
      </c>
      <c r="L105" s="119">
        <f t="shared" ref="L105" si="30">L93-K93</f>
        <v>3683.6445943749968</v>
      </c>
      <c r="M105" s="119">
        <f t="shared" ref="M105" si="31">M93-L93</f>
        <v>4107.263722728123</v>
      </c>
      <c r="N105" s="119">
        <f>N93-M93</f>
        <v>4579.5990508418618</v>
      </c>
      <c r="O105" s="119">
        <f>O93-N93</f>
        <v>5106.2529416886755</v>
      </c>
      <c r="P105" s="170"/>
      <c r="Q105" s="170"/>
      <c r="R105" s="4"/>
      <c r="S105" s="4"/>
      <c r="T105" s="4"/>
      <c r="U105" s="4"/>
      <c r="V105" s="4"/>
      <c r="W105" s="4"/>
      <c r="X105" s="4"/>
      <c r="Y105" s="4"/>
      <c r="Z105" s="4"/>
      <c r="AA105" s="4"/>
      <c r="AB105" s="4"/>
      <c r="AC105" s="4"/>
      <c r="AD105" s="4"/>
      <c r="AE105" s="4"/>
    </row>
    <row r="106" spans="2:31" x14ac:dyDescent="0.2">
      <c r="B106" s="124"/>
      <c r="C106" s="50"/>
      <c r="D106" s="50"/>
      <c r="E106" s="50"/>
      <c r="F106" s="50"/>
      <c r="G106" s="50"/>
      <c r="H106" s="50"/>
      <c r="I106" s="123"/>
      <c r="J106" s="50"/>
      <c r="K106" s="50"/>
      <c r="L106" s="50"/>
      <c r="M106" s="50"/>
      <c r="N106" s="50"/>
      <c r="O106" s="173"/>
      <c r="P106" s="173"/>
      <c r="Q106" s="173"/>
      <c r="R106" s="4"/>
      <c r="S106" s="4"/>
      <c r="T106" s="4"/>
      <c r="U106" s="4"/>
      <c r="V106" s="4"/>
      <c r="W106" s="4"/>
      <c r="X106" s="4"/>
      <c r="Y106" s="4"/>
      <c r="Z106" s="4"/>
      <c r="AA106" s="4"/>
      <c r="AB106" s="4"/>
      <c r="AC106" s="4"/>
      <c r="AD106" s="4"/>
      <c r="AE106" s="4"/>
    </row>
    <row r="107" spans="2:31" x14ac:dyDescent="0.2">
      <c r="B107" s="119" t="s">
        <v>237</v>
      </c>
      <c r="C107" s="50"/>
      <c r="D107" s="50"/>
      <c r="E107" s="118"/>
      <c r="F107" s="118"/>
      <c r="G107" s="118"/>
      <c r="H107" s="118"/>
      <c r="I107" s="121"/>
      <c r="J107" s="122">
        <f>J105/J103</f>
        <v>3118.9210526315774</v>
      </c>
      <c r="K107" s="122">
        <f t="shared" ref="K107:N107" si="32">K105/K103</f>
        <v>3405.8939432989682</v>
      </c>
      <c r="L107" s="122">
        <f t="shared" si="32"/>
        <v>3683.6445943749968</v>
      </c>
      <c r="M107" s="122">
        <f t="shared" si="32"/>
        <v>4107.263722728123</v>
      </c>
      <c r="N107" s="122">
        <f t="shared" si="32"/>
        <v>4579.5990508418618</v>
      </c>
      <c r="O107" s="122">
        <f>O105/O103</f>
        <v>4863.0980397035</v>
      </c>
      <c r="P107" s="174"/>
      <c r="Q107" s="174"/>
      <c r="R107" s="4"/>
      <c r="S107" s="4"/>
      <c r="T107" s="4"/>
      <c r="U107" s="4"/>
      <c r="V107" s="4"/>
      <c r="W107" s="4"/>
      <c r="X107" s="4"/>
      <c r="Y107" s="4"/>
      <c r="Z107" s="4"/>
      <c r="AA107" s="4"/>
      <c r="AB107" s="4"/>
      <c r="AC107" s="4"/>
      <c r="AD107" s="4"/>
      <c r="AE107" s="4"/>
    </row>
    <row r="108" spans="2:31" ht="15" thickBot="1" x14ac:dyDescent="0.25">
      <c r="B108" s="50"/>
      <c r="C108" s="50"/>
      <c r="D108" s="50"/>
      <c r="E108" s="118"/>
      <c r="F108" s="118"/>
      <c r="G108" s="118"/>
      <c r="H108" s="118"/>
      <c r="I108" s="121"/>
      <c r="J108" s="120">
        <v>1</v>
      </c>
      <c r="K108" s="120">
        <v>2</v>
      </c>
      <c r="L108" s="120">
        <v>3</v>
      </c>
      <c r="M108" s="120">
        <v>4</v>
      </c>
      <c r="N108" s="120">
        <v>5</v>
      </c>
      <c r="O108" s="181">
        <v>6</v>
      </c>
      <c r="P108" s="181"/>
      <c r="Q108" s="181"/>
      <c r="R108" s="4"/>
      <c r="S108" s="4"/>
      <c r="T108" s="4"/>
      <c r="U108" s="4"/>
      <c r="V108" s="4"/>
      <c r="W108" s="4"/>
      <c r="X108" s="4"/>
      <c r="Y108" s="4"/>
      <c r="Z108" s="4"/>
      <c r="AA108" s="4"/>
      <c r="AB108" s="4"/>
      <c r="AC108" s="4"/>
      <c r="AD108" s="4"/>
      <c r="AE108" s="4"/>
    </row>
    <row r="109" spans="2:31" ht="15" x14ac:dyDescent="0.25">
      <c r="B109" s="119" t="s">
        <v>236</v>
      </c>
      <c r="C109" s="50"/>
      <c r="D109" s="50"/>
      <c r="E109" s="118"/>
      <c r="F109" s="118"/>
      <c r="G109" s="118"/>
      <c r="H109" s="208" t="s">
        <v>235</v>
      </c>
      <c r="I109" s="209"/>
      <c r="J109" s="117">
        <f>J101-J107</f>
        <v>7547.7760648684225</v>
      </c>
      <c r="K109" s="117">
        <f>K101-K107</f>
        <v>7981.3726071385317</v>
      </c>
      <c r="L109" s="117">
        <f t="shared" ref="L109:N109" si="33">L101-L107</f>
        <v>8731.0064492797519</v>
      </c>
      <c r="M109" s="117">
        <f t="shared" si="33"/>
        <v>9420.473647454306</v>
      </c>
      <c r="N109" s="198">
        <f t="shared" si="33"/>
        <v>10503.828116911547</v>
      </c>
      <c r="O109" s="213">
        <f>O101-O107</f>
        <v>12737.156800808765</v>
      </c>
      <c r="P109" s="170"/>
      <c r="Q109" s="170"/>
      <c r="R109" s="4"/>
      <c r="S109" s="4"/>
      <c r="T109" s="4"/>
      <c r="U109" s="4"/>
      <c r="V109" s="4"/>
      <c r="W109" s="4"/>
      <c r="X109" s="4"/>
      <c r="Y109" s="4"/>
      <c r="Z109" s="4"/>
      <c r="AA109" s="4"/>
      <c r="AB109" s="4"/>
      <c r="AC109" s="4"/>
      <c r="AD109" s="4"/>
      <c r="AE109" s="4"/>
    </row>
    <row r="110" spans="2:31" ht="15" x14ac:dyDescent="0.25">
      <c r="C110" s="1"/>
      <c r="D110" s="1"/>
      <c r="E110" s="1"/>
      <c r="F110" s="1"/>
      <c r="G110" s="1"/>
      <c r="H110" s="210" t="s">
        <v>234</v>
      </c>
      <c r="I110" s="211"/>
      <c r="J110" s="197">
        <f>J72</f>
        <v>9.8598737518133597E-2</v>
      </c>
      <c r="K110" s="197">
        <f t="shared" ref="K110:O110" si="34">K72</f>
        <v>9.4181117977777659E-2</v>
      </c>
      <c r="L110" s="197">
        <f t="shared" si="34"/>
        <v>9.371299963202788E-2</v>
      </c>
      <c r="M110" s="197">
        <f t="shared" si="34"/>
        <v>8.2332936033319176E-2</v>
      </c>
      <c r="N110" s="197">
        <f t="shared" si="34"/>
        <v>7.5261935906854927E-2</v>
      </c>
      <c r="O110" s="212">
        <f t="shared" si="34"/>
        <v>7.1454574408432336E-2</v>
      </c>
      <c r="P110" s="182"/>
      <c r="Q110" s="182"/>
      <c r="R110" s="4"/>
      <c r="S110" s="4"/>
      <c r="T110" s="4"/>
      <c r="U110" s="4"/>
      <c r="V110" s="4"/>
      <c r="W110" s="4"/>
      <c r="X110" s="4"/>
      <c r="Y110" s="4"/>
      <c r="Z110" s="4"/>
      <c r="AA110" s="4"/>
      <c r="AB110" s="4"/>
      <c r="AC110" s="4"/>
      <c r="AD110" s="4"/>
      <c r="AE110" s="4"/>
    </row>
    <row r="111" spans="2:31" ht="15.75" thickBot="1" x14ac:dyDescent="0.3">
      <c r="C111" s="1"/>
      <c r="D111" s="1"/>
      <c r="E111" s="1"/>
      <c r="F111" s="1"/>
      <c r="G111" s="1"/>
      <c r="H111" s="203" t="s">
        <v>233</v>
      </c>
      <c r="I111" s="27"/>
      <c r="J111" s="204">
        <f t="shared" ref="J111" si="35">J109/((1+J110)^J108)</f>
        <v>6870.3665925556716</v>
      </c>
      <c r="K111" s="204">
        <f t="shared" ref="K111" si="36">K109/((1+K110)^K108)</f>
        <v>6666.5195057639667</v>
      </c>
      <c r="L111" s="204">
        <f t="shared" ref="L111" si="37">L109/((1+L110)^L108)</f>
        <v>6673.5080210978858</v>
      </c>
      <c r="M111" s="204">
        <f t="shared" ref="M111" si="38">M109/((1+M110)^M108)</f>
        <v>6864.8213726179802</v>
      </c>
      <c r="N111" s="205">
        <f t="shared" ref="N111" si="39">N109/((1+N110)^N108)</f>
        <v>7307.6248806918611</v>
      </c>
      <c r="O111" s="214">
        <f>O109/((1+O110)^O108)</f>
        <v>8418.4069359237146</v>
      </c>
      <c r="P111" s="170"/>
      <c r="Q111" s="170"/>
      <c r="R111" s="4"/>
      <c r="S111" s="4"/>
      <c r="T111" s="4"/>
      <c r="U111" s="4"/>
      <c r="V111" s="4"/>
      <c r="W111" s="4"/>
      <c r="X111" s="4"/>
      <c r="Y111" s="4"/>
      <c r="Z111" s="4"/>
      <c r="AA111" s="4"/>
      <c r="AB111" s="4"/>
      <c r="AC111" s="4"/>
      <c r="AD111" s="4"/>
      <c r="AE111" s="4"/>
    </row>
    <row r="112" spans="2:31" ht="15.75" thickBot="1" x14ac:dyDescent="0.3">
      <c r="I112" s="201" t="s">
        <v>232</v>
      </c>
      <c r="J112" s="202">
        <f>SUM(J111:P111)</f>
        <v>42801.247308651073</v>
      </c>
      <c r="O112" s="4"/>
      <c r="P112" s="4"/>
      <c r="Q112" s="4"/>
      <c r="R112" s="4"/>
      <c r="S112" s="4"/>
      <c r="T112" s="4"/>
      <c r="U112" s="4"/>
      <c r="V112" s="4"/>
      <c r="W112" s="4"/>
      <c r="X112" s="4"/>
      <c r="Y112" s="4"/>
      <c r="Z112" s="4"/>
      <c r="AA112" s="4"/>
      <c r="AB112" s="4"/>
      <c r="AC112" s="4"/>
      <c r="AD112" s="4"/>
      <c r="AE112" s="4"/>
    </row>
    <row r="113" spans="2:31" ht="15" x14ac:dyDescent="0.25">
      <c r="B113" t="s">
        <v>231</v>
      </c>
      <c r="C113" s="116">
        <v>0.04</v>
      </c>
      <c r="I113" s="1"/>
      <c r="J113" s="50"/>
      <c r="O113" s="4"/>
      <c r="P113" s="4"/>
      <c r="Q113" s="4"/>
      <c r="R113" s="4"/>
      <c r="S113" s="4"/>
      <c r="T113" s="4"/>
      <c r="U113" s="4"/>
      <c r="V113" s="4"/>
      <c r="W113" s="4"/>
      <c r="X113" s="4"/>
      <c r="Y113" s="4"/>
      <c r="Z113" s="4"/>
      <c r="AA113" s="4"/>
      <c r="AB113" s="4"/>
      <c r="AC113" s="4"/>
      <c r="AD113" s="4"/>
      <c r="AE113" s="4"/>
    </row>
    <row r="114" spans="2:31" x14ac:dyDescent="0.2">
      <c r="B114" t="s">
        <v>230</v>
      </c>
      <c r="J114" s="115"/>
      <c r="N114" s="114">
        <f>O111/(O110-C113)</f>
        <v>267636.96836625802</v>
      </c>
      <c r="O114" s="4"/>
      <c r="P114" s="4"/>
      <c r="Q114" s="4"/>
      <c r="R114" s="4"/>
      <c r="S114" s="4"/>
      <c r="T114" s="4"/>
      <c r="U114" s="4"/>
      <c r="V114" s="4"/>
      <c r="W114" s="4"/>
      <c r="X114" s="4"/>
      <c r="Y114" s="4"/>
      <c r="Z114" s="4"/>
      <c r="AA114" s="4"/>
      <c r="AB114" s="4"/>
      <c r="AC114" s="4"/>
      <c r="AD114" s="4"/>
      <c r="AE114" s="4"/>
    </row>
    <row r="115" spans="2:31" x14ac:dyDescent="0.2">
      <c r="B115" s="106" t="s">
        <v>229</v>
      </c>
      <c r="C115" s="106"/>
      <c r="D115" s="106"/>
      <c r="E115" s="106"/>
      <c r="F115" s="106"/>
      <c r="G115" s="106"/>
      <c r="H115" s="106"/>
      <c r="I115" s="106"/>
      <c r="J115" s="106"/>
      <c r="K115" s="106"/>
      <c r="L115" s="106"/>
      <c r="M115" s="106"/>
      <c r="N115" s="113">
        <f>N114/((1+O110)^O108)</f>
        <v>176890.09769127122</v>
      </c>
      <c r="O115" s="4"/>
      <c r="P115" s="4"/>
      <c r="Q115" s="4"/>
      <c r="R115" s="4"/>
      <c r="S115" s="4"/>
      <c r="T115" s="4"/>
      <c r="U115" s="4"/>
      <c r="V115" s="4"/>
      <c r="W115" s="4"/>
      <c r="X115" s="4"/>
      <c r="Y115" s="4"/>
      <c r="Z115" s="4"/>
      <c r="AA115" s="4"/>
      <c r="AB115" s="4"/>
      <c r="AC115" s="4"/>
      <c r="AD115" s="4"/>
      <c r="AE115" s="4"/>
    </row>
    <row r="116" spans="2:31" ht="15" x14ac:dyDescent="0.25">
      <c r="B116" s="1" t="s">
        <v>228</v>
      </c>
      <c r="C116" s="1"/>
      <c r="D116" s="1"/>
      <c r="E116" s="1"/>
      <c r="F116" s="1"/>
      <c r="G116" s="1"/>
      <c r="H116" s="1"/>
      <c r="I116" s="1"/>
      <c r="J116" s="1"/>
      <c r="K116" s="1"/>
      <c r="L116" s="1"/>
      <c r="M116" s="1"/>
      <c r="N116" s="112">
        <f>J112+N115</f>
        <v>219691.34499992229</v>
      </c>
      <c r="O116" s="4"/>
      <c r="P116" s="4"/>
      <c r="Q116" s="4"/>
      <c r="R116" s="4"/>
      <c r="S116" s="4"/>
      <c r="T116" s="4"/>
      <c r="U116" s="4"/>
      <c r="V116" s="4"/>
      <c r="W116" s="4"/>
      <c r="X116" s="4"/>
      <c r="Y116" s="4"/>
      <c r="Z116" s="4"/>
      <c r="AA116" s="4"/>
      <c r="AB116" s="4"/>
      <c r="AC116" s="4"/>
      <c r="AD116" s="4"/>
      <c r="AE116" s="4"/>
    </row>
    <row r="117" spans="2:31" x14ac:dyDescent="0.2">
      <c r="B117" s="111" t="s">
        <v>227</v>
      </c>
      <c r="N117" s="110">
        <v>4579.3</v>
      </c>
      <c r="O117" s="4"/>
      <c r="P117" s="4"/>
      <c r="Q117" s="4"/>
      <c r="R117" s="4"/>
      <c r="S117" s="4"/>
      <c r="T117" s="4"/>
      <c r="U117" s="4"/>
      <c r="V117" s="4"/>
      <c r="W117" s="4"/>
      <c r="X117" s="4"/>
      <c r="Y117" s="4"/>
      <c r="Z117" s="4"/>
      <c r="AA117" s="4"/>
      <c r="AB117" s="4"/>
      <c r="AC117" s="4"/>
      <c r="AD117" s="4"/>
      <c r="AE117" s="4"/>
    </row>
    <row r="118" spans="2:31" x14ac:dyDescent="0.2">
      <c r="B118" s="109" t="s">
        <v>226</v>
      </c>
      <c r="C118" s="106"/>
      <c r="D118" s="106"/>
      <c r="E118" s="106"/>
      <c r="F118" s="106"/>
      <c r="G118" s="106"/>
      <c r="H118" s="106"/>
      <c r="I118" s="106"/>
      <c r="J118" s="106"/>
      <c r="K118" s="106"/>
      <c r="L118" s="106"/>
      <c r="M118" s="106"/>
      <c r="N118" s="108">
        <v>37152.9</v>
      </c>
      <c r="O118" s="4"/>
      <c r="P118" s="4"/>
      <c r="Q118" s="4"/>
      <c r="R118" s="4"/>
      <c r="S118" s="4"/>
      <c r="T118" s="4"/>
      <c r="U118" s="4"/>
      <c r="V118" s="4"/>
      <c r="W118" s="4"/>
      <c r="X118" s="4"/>
      <c r="Y118" s="4"/>
      <c r="Z118" s="4"/>
      <c r="AA118" s="4"/>
      <c r="AB118" s="4"/>
      <c r="AC118" s="4"/>
      <c r="AD118" s="4"/>
      <c r="AE118" s="4"/>
    </row>
    <row r="119" spans="2:31" ht="15" x14ac:dyDescent="0.25">
      <c r="B119" s="1" t="s">
        <v>225</v>
      </c>
      <c r="C119" s="1"/>
      <c r="D119" s="1"/>
      <c r="E119" s="1"/>
      <c r="F119" s="1"/>
      <c r="G119" s="1"/>
      <c r="H119" s="1"/>
      <c r="I119" s="1"/>
      <c r="J119" s="1"/>
      <c r="K119" s="1"/>
      <c r="L119" s="1"/>
      <c r="M119" s="1"/>
      <c r="N119" s="107">
        <f>N116+N117-N118</f>
        <v>187117.74499992229</v>
      </c>
      <c r="O119" s="4"/>
      <c r="P119" s="4"/>
      <c r="Q119" s="4"/>
      <c r="R119" s="4"/>
      <c r="S119" s="4"/>
      <c r="T119" s="4"/>
      <c r="U119" s="4"/>
      <c r="V119" s="4"/>
      <c r="W119" s="4"/>
      <c r="X119" s="4"/>
      <c r="Y119" s="4"/>
      <c r="Z119" s="4"/>
      <c r="AA119" s="4"/>
      <c r="AB119" s="4"/>
      <c r="AC119" s="4"/>
      <c r="AD119" s="4"/>
      <c r="AE119" s="4"/>
    </row>
    <row r="120" spans="2:31" x14ac:dyDescent="0.2">
      <c r="B120" s="106" t="s">
        <v>224</v>
      </c>
      <c r="C120" s="106"/>
      <c r="D120" s="106"/>
      <c r="E120" s="106"/>
      <c r="F120" s="106"/>
      <c r="G120" s="106"/>
      <c r="H120" s="106"/>
      <c r="I120" s="106"/>
      <c r="J120" s="106"/>
      <c r="K120" s="106"/>
      <c r="L120" s="106"/>
      <c r="M120" s="106"/>
      <c r="N120" s="60">
        <f>720681656/1000000</f>
        <v>720.68165599999998</v>
      </c>
      <c r="O120" s="4"/>
      <c r="P120" s="4"/>
      <c r="Q120" s="4"/>
      <c r="R120" s="4"/>
      <c r="S120" s="4"/>
      <c r="T120" s="4"/>
      <c r="U120" s="4"/>
      <c r="V120" s="4"/>
      <c r="W120" s="4"/>
      <c r="X120" s="4"/>
      <c r="Y120" s="4"/>
      <c r="Z120" s="4"/>
      <c r="AA120" s="4"/>
      <c r="AB120" s="4"/>
      <c r="AC120" s="4"/>
      <c r="AD120" s="4"/>
      <c r="AE120" s="4"/>
    </row>
    <row r="121" spans="2:31" ht="15" x14ac:dyDescent="0.25">
      <c r="B121" s="1" t="s">
        <v>223</v>
      </c>
      <c r="C121" s="1"/>
      <c r="D121" s="1"/>
      <c r="E121" s="1"/>
      <c r="F121" s="1"/>
      <c r="G121" s="1"/>
      <c r="H121" s="1"/>
      <c r="I121" s="1"/>
      <c r="J121" s="1"/>
      <c r="K121" s="1"/>
      <c r="L121" s="1"/>
      <c r="M121" s="1"/>
      <c r="N121" s="105">
        <f>N119/N120</f>
        <v>259.63994426954349</v>
      </c>
      <c r="O121" s="4"/>
      <c r="P121" s="4"/>
      <c r="Q121" s="4"/>
      <c r="R121" s="4"/>
      <c r="S121" s="4"/>
      <c r="T121" s="4"/>
      <c r="U121" s="4"/>
      <c r="V121" s="4"/>
      <c r="W121" s="4"/>
      <c r="X121" s="4"/>
      <c r="Y121" s="4"/>
      <c r="Z121" s="4"/>
      <c r="AA121" s="4"/>
      <c r="AB121" s="4"/>
      <c r="AC121" s="4"/>
      <c r="AD121" s="4"/>
      <c r="AE121" s="4"/>
    </row>
    <row r="122" spans="2:31" ht="15.75" thickBot="1" x14ac:dyDescent="0.3">
      <c r="B122" s="1" t="s">
        <v>222</v>
      </c>
      <c r="C122" s="1"/>
      <c r="D122" s="1"/>
      <c r="E122" s="1"/>
      <c r="F122" s="1"/>
      <c r="G122" s="1"/>
      <c r="H122" s="1"/>
      <c r="I122" s="1"/>
      <c r="J122" s="1"/>
      <c r="K122" s="1"/>
      <c r="L122" s="1"/>
      <c r="M122" s="1"/>
      <c r="N122" s="105">
        <v>259</v>
      </c>
      <c r="O122" s="4"/>
      <c r="P122" s="4"/>
      <c r="Q122" s="4"/>
      <c r="R122" s="4"/>
      <c r="S122" s="4"/>
      <c r="T122" s="4"/>
      <c r="U122" s="4"/>
      <c r="V122" s="4"/>
      <c r="W122" s="4"/>
      <c r="X122" s="4"/>
      <c r="Y122" s="4"/>
      <c r="Z122" s="4"/>
      <c r="AA122" s="4"/>
      <c r="AB122" s="4"/>
      <c r="AC122" s="4"/>
      <c r="AD122" s="4"/>
      <c r="AE122" s="4"/>
    </row>
    <row r="123" spans="2:31" ht="15.75" thickBot="1" x14ac:dyDescent="0.3">
      <c r="B123" s="1" t="s">
        <v>221</v>
      </c>
      <c r="N123" s="215">
        <f>(N121-N122)/N122</f>
        <v>2.4708272955347157E-3</v>
      </c>
      <c r="O123" s="4"/>
      <c r="P123" s="4"/>
      <c r="Q123" s="4"/>
      <c r="R123" s="4"/>
      <c r="S123" s="4"/>
      <c r="T123" s="4"/>
      <c r="U123" s="4"/>
      <c r="V123" s="4"/>
      <c r="W123" s="4"/>
      <c r="X123" s="4"/>
      <c r="Y123" s="4"/>
      <c r="Z123" s="4"/>
      <c r="AA123" s="4"/>
      <c r="AB123" s="4"/>
      <c r="AC123" s="4"/>
      <c r="AD123" s="4"/>
      <c r="AE123" s="4"/>
    </row>
    <row r="124" spans="2:31" x14ac:dyDescent="0.2">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row>
    <row r="125" spans="2:31" x14ac:dyDescent="0.2">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row>
    <row r="126" spans="2:31" ht="15" x14ac:dyDescent="0.25">
      <c r="B126" s="16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row>
    <row r="127" spans="2:31" x14ac:dyDescent="0.2">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row>
    <row r="128" spans="2:31" ht="15" x14ac:dyDescent="0.25">
      <c r="B128" s="191"/>
      <c r="C128" s="4"/>
      <c r="D128" s="4"/>
      <c r="E128" s="191"/>
      <c r="F128" s="191"/>
      <c r="G128" s="191"/>
      <c r="H128" s="191"/>
      <c r="I128" s="165"/>
      <c r="J128" s="165"/>
      <c r="K128" s="165"/>
      <c r="L128" s="165"/>
      <c r="M128" s="165"/>
      <c r="N128" s="165"/>
      <c r="O128" s="165"/>
      <c r="P128" s="165"/>
      <c r="Q128" s="166"/>
      <c r="R128" s="4"/>
      <c r="S128" s="4"/>
      <c r="T128" s="4"/>
      <c r="U128" s="4"/>
      <c r="V128" s="4"/>
      <c r="W128" s="4"/>
      <c r="X128" s="4"/>
      <c r="Y128" s="4"/>
      <c r="Z128" s="4"/>
      <c r="AA128" s="4"/>
      <c r="AB128" s="4"/>
      <c r="AC128" s="4"/>
      <c r="AD128" s="4"/>
      <c r="AE128" s="4"/>
    </row>
    <row r="129" spans="2:31" x14ac:dyDescent="0.2">
      <c r="B129" s="4"/>
      <c r="C129" s="4"/>
      <c r="D129" s="4"/>
      <c r="E129" s="177"/>
      <c r="F129" s="177"/>
      <c r="G129" s="177"/>
      <c r="H129" s="177"/>
      <c r="I129" s="177"/>
      <c r="J129" s="153"/>
      <c r="K129" s="153"/>
      <c r="L129" s="153"/>
      <c r="M129" s="153"/>
      <c r="N129" s="153"/>
      <c r="O129" s="4"/>
      <c r="P129" s="4"/>
      <c r="Q129" s="4"/>
      <c r="R129" s="4"/>
      <c r="S129" s="4"/>
      <c r="T129" s="4"/>
      <c r="U129" s="4"/>
      <c r="V129" s="4"/>
      <c r="W129" s="4"/>
      <c r="X129" s="4"/>
      <c r="Y129" s="4"/>
      <c r="Z129" s="4"/>
      <c r="AA129" s="4"/>
      <c r="AB129" s="4"/>
      <c r="AC129" s="4"/>
      <c r="AD129" s="4"/>
      <c r="AE129" s="4"/>
    </row>
    <row r="130" spans="2:31" x14ac:dyDescent="0.2">
      <c r="B130" s="192"/>
      <c r="C130" s="4"/>
      <c r="D130" s="4"/>
      <c r="E130" s="178"/>
      <c r="F130" s="178"/>
      <c r="G130" s="178"/>
      <c r="H130" s="178"/>
      <c r="I130" s="167"/>
      <c r="J130" s="167"/>
      <c r="K130" s="167"/>
      <c r="L130" s="167"/>
      <c r="M130" s="167"/>
      <c r="N130" s="167"/>
      <c r="O130" s="167"/>
      <c r="P130" s="167"/>
      <c r="Q130" s="167"/>
      <c r="R130" s="4"/>
      <c r="S130" s="4"/>
      <c r="T130" s="4"/>
      <c r="U130" s="4"/>
      <c r="V130" s="4"/>
      <c r="W130" s="4"/>
      <c r="X130" s="4"/>
      <c r="Y130" s="4"/>
      <c r="Z130" s="4"/>
      <c r="AA130" s="4"/>
      <c r="AB130" s="4"/>
      <c r="AC130" s="4"/>
      <c r="AD130" s="4"/>
      <c r="AE130" s="4"/>
    </row>
    <row r="131" spans="2:31" ht="15" x14ac:dyDescent="0.25">
      <c r="B131" s="4"/>
      <c r="C131" s="4"/>
      <c r="D131" s="4"/>
      <c r="E131" s="4"/>
      <c r="F131" s="4"/>
      <c r="G131" s="164"/>
      <c r="H131" s="4"/>
      <c r="I131" s="4"/>
      <c r="J131" s="4"/>
      <c r="K131" s="4"/>
      <c r="L131" s="4"/>
      <c r="M131" s="4"/>
      <c r="N131" s="4"/>
      <c r="O131" s="4"/>
      <c r="P131" s="4"/>
      <c r="Q131" s="4"/>
      <c r="R131" s="4"/>
      <c r="S131" s="4"/>
      <c r="T131" s="4"/>
      <c r="U131" s="4"/>
      <c r="V131" s="4"/>
      <c r="W131" s="4"/>
      <c r="X131" s="4"/>
      <c r="Y131" s="4"/>
      <c r="Z131" s="4"/>
      <c r="AA131" s="4"/>
      <c r="AB131" s="4"/>
      <c r="AC131" s="4"/>
      <c r="AD131" s="4"/>
      <c r="AE131" s="4"/>
    </row>
    <row r="132" spans="2:31" x14ac:dyDescent="0.2">
      <c r="B132" s="193"/>
      <c r="C132" s="4"/>
      <c r="D132" s="4"/>
      <c r="E132" s="177"/>
      <c r="F132" s="177"/>
      <c r="G132" s="177"/>
      <c r="H132" s="177"/>
      <c r="I132" s="170"/>
      <c r="J132" s="168"/>
      <c r="K132" s="168"/>
      <c r="L132" s="168"/>
      <c r="M132" s="168"/>
      <c r="N132" s="168"/>
      <c r="O132" s="168"/>
      <c r="P132" s="168"/>
      <c r="Q132" s="168"/>
      <c r="R132" s="4"/>
      <c r="S132" s="4"/>
      <c r="T132" s="4"/>
      <c r="U132" s="4"/>
      <c r="V132" s="4"/>
      <c r="W132" s="4"/>
      <c r="X132" s="4"/>
      <c r="Y132" s="4"/>
      <c r="Z132" s="4"/>
      <c r="AA132" s="4"/>
      <c r="AB132" s="4"/>
      <c r="AC132" s="4"/>
      <c r="AD132" s="4"/>
      <c r="AE132" s="4"/>
    </row>
    <row r="133" spans="2:31" x14ac:dyDescent="0.2">
      <c r="B133" s="192"/>
      <c r="C133" s="4"/>
      <c r="D133" s="4"/>
      <c r="E133" s="178"/>
      <c r="F133" s="178"/>
      <c r="G133" s="178"/>
      <c r="H133" s="178"/>
      <c r="I133" s="169"/>
      <c r="J133" s="169"/>
      <c r="K133" s="169"/>
      <c r="L133" s="169"/>
      <c r="M133" s="169"/>
      <c r="N133" s="169"/>
      <c r="O133" s="170"/>
      <c r="P133" s="170"/>
      <c r="Q133" s="170"/>
      <c r="R133" s="4"/>
      <c r="S133" s="4"/>
      <c r="T133" s="4"/>
      <c r="U133" s="4"/>
      <c r="V133" s="4"/>
      <c r="W133" s="4"/>
      <c r="X133" s="4"/>
      <c r="Y133" s="4"/>
      <c r="Z133" s="4"/>
      <c r="AA133" s="4"/>
      <c r="AB133" s="4"/>
      <c r="AC133" s="4"/>
      <c r="AD133" s="4"/>
      <c r="AE133" s="4"/>
    </row>
    <row r="134" spans="2:31" x14ac:dyDescent="0.2">
      <c r="B134" s="4"/>
      <c r="C134" s="4"/>
      <c r="D134" s="4"/>
      <c r="E134" s="4"/>
      <c r="F134" s="4"/>
      <c r="G134" s="4"/>
      <c r="H134" s="4"/>
      <c r="I134" s="176"/>
      <c r="J134" s="176"/>
      <c r="K134" s="176"/>
      <c r="L134" s="176"/>
      <c r="M134" s="176"/>
      <c r="N134" s="176"/>
      <c r="O134" s="176"/>
      <c r="P134" s="176"/>
      <c r="Q134" s="176"/>
      <c r="R134" s="4"/>
      <c r="S134" s="4"/>
      <c r="T134" s="4"/>
      <c r="U134" s="4"/>
      <c r="V134" s="4"/>
      <c r="W134" s="4"/>
      <c r="X134" s="4"/>
      <c r="Y134" s="4"/>
      <c r="Z134" s="4"/>
      <c r="AA134" s="4"/>
      <c r="AB134" s="4"/>
      <c r="AC134" s="4"/>
      <c r="AD134" s="4"/>
      <c r="AE134" s="4"/>
    </row>
    <row r="135" spans="2:31" x14ac:dyDescent="0.2">
      <c r="B135" s="4"/>
      <c r="C135" s="4"/>
      <c r="D135" s="4"/>
      <c r="E135" s="4"/>
      <c r="F135" s="4"/>
      <c r="G135" s="4"/>
      <c r="H135" s="4"/>
      <c r="I135" s="170"/>
      <c r="J135" s="170"/>
      <c r="K135" s="170"/>
      <c r="L135" s="170"/>
      <c r="M135" s="170"/>
      <c r="N135" s="170"/>
      <c r="O135" s="170"/>
      <c r="P135" s="170"/>
      <c r="Q135" s="170"/>
      <c r="R135" s="4"/>
      <c r="S135" s="4"/>
      <c r="T135" s="4"/>
      <c r="U135" s="4"/>
      <c r="V135" s="4"/>
      <c r="W135" s="4"/>
      <c r="X135" s="4"/>
      <c r="Y135" s="4"/>
      <c r="Z135" s="4"/>
      <c r="AA135" s="4"/>
      <c r="AB135" s="4"/>
      <c r="AC135" s="4"/>
      <c r="AD135" s="4"/>
      <c r="AE135" s="4"/>
    </row>
    <row r="136" spans="2:31" x14ac:dyDescent="0.2">
      <c r="B136" s="193"/>
      <c r="C136" s="4"/>
      <c r="D136" s="4"/>
      <c r="E136" s="177"/>
      <c r="F136" s="177"/>
      <c r="G136" s="177"/>
      <c r="H136" s="177"/>
      <c r="I136" s="170"/>
      <c r="J136" s="170"/>
      <c r="K136" s="170"/>
      <c r="L136" s="170"/>
      <c r="M136" s="170"/>
      <c r="N136" s="170"/>
      <c r="O136" s="170"/>
      <c r="P136" s="170"/>
      <c r="Q136" s="170"/>
      <c r="R136" s="4"/>
      <c r="S136" s="4"/>
      <c r="T136" s="4"/>
      <c r="U136" s="4"/>
      <c r="V136" s="4"/>
      <c r="W136" s="4"/>
      <c r="X136" s="4"/>
      <c r="Y136" s="4"/>
      <c r="Z136" s="4"/>
      <c r="AA136" s="4"/>
      <c r="AB136" s="4"/>
      <c r="AC136" s="4"/>
      <c r="AD136" s="4"/>
      <c r="AE136" s="4"/>
    </row>
    <row r="137" spans="2:31" x14ac:dyDescent="0.2">
      <c r="B137" s="192"/>
      <c r="C137" s="4"/>
      <c r="D137" s="4"/>
      <c r="E137" s="178"/>
      <c r="F137" s="178"/>
      <c r="G137" s="178"/>
      <c r="H137" s="178"/>
      <c r="I137" s="169"/>
      <c r="J137" s="169"/>
      <c r="K137" s="169"/>
      <c r="L137" s="169"/>
      <c r="M137" s="169"/>
      <c r="N137" s="169"/>
      <c r="O137" s="170"/>
      <c r="P137" s="170"/>
      <c r="Q137" s="170"/>
      <c r="R137" s="4"/>
      <c r="S137" s="4"/>
      <c r="T137" s="4"/>
      <c r="U137" s="4"/>
      <c r="V137" s="4"/>
      <c r="W137" s="4"/>
      <c r="X137" s="4"/>
      <c r="Y137" s="4"/>
      <c r="Z137" s="4"/>
      <c r="AA137" s="4"/>
      <c r="AB137" s="4"/>
      <c r="AC137" s="4"/>
      <c r="AD137" s="4"/>
      <c r="AE137" s="4"/>
    </row>
    <row r="138" spans="2:31" x14ac:dyDescent="0.2">
      <c r="B138" s="4"/>
      <c r="C138" s="4"/>
      <c r="D138" s="4"/>
      <c r="E138" s="4"/>
      <c r="F138" s="4"/>
      <c r="G138" s="4"/>
      <c r="H138" s="4"/>
      <c r="I138" s="172"/>
      <c r="J138" s="172"/>
      <c r="K138" s="172"/>
      <c r="L138" s="172"/>
      <c r="M138" s="172"/>
      <c r="N138" s="172"/>
      <c r="O138" s="172"/>
      <c r="P138" s="172"/>
      <c r="Q138" s="172"/>
      <c r="R138" s="4"/>
      <c r="S138" s="4"/>
      <c r="T138" s="4"/>
      <c r="U138" s="4"/>
      <c r="V138" s="4"/>
      <c r="W138" s="4"/>
      <c r="X138" s="4"/>
      <c r="Y138" s="4"/>
      <c r="Z138" s="4"/>
      <c r="AA138" s="4"/>
      <c r="AB138" s="4"/>
      <c r="AC138" s="4"/>
      <c r="AD138" s="4"/>
      <c r="AE138" s="4"/>
    </row>
    <row r="139" spans="2:31" x14ac:dyDescent="0.2">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row>
    <row r="140" spans="2:31" ht="15" x14ac:dyDescent="0.25">
      <c r="B140" s="170"/>
      <c r="C140" s="179"/>
      <c r="D140" s="179"/>
      <c r="E140" s="179"/>
      <c r="F140" s="179"/>
      <c r="G140" s="179"/>
      <c r="H140" s="179"/>
      <c r="I140" s="170"/>
      <c r="J140" s="170"/>
      <c r="K140" s="170"/>
      <c r="L140" s="170"/>
      <c r="M140" s="170"/>
      <c r="N140" s="170"/>
      <c r="O140" s="170"/>
      <c r="P140" s="170"/>
      <c r="Q140" s="170"/>
      <c r="R140" s="4"/>
      <c r="S140" s="4"/>
      <c r="T140" s="4"/>
      <c r="U140" s="4"/>
      <c r="V140" s="4"/>
      <c r="W140" s="4"/>
      <c r="X140" s="4"/>
      <c r="Y140" s="4"/>
      <c r="Z140" s="4"/>
      <c r="AA140" s="4"/>
      <c r="AB140" s="4"/>
      <c r="AC140" s="4"/>
      <c r="AD140" s="4"/>
      <c r="AE140" s="4"/>
    </row>
    <row r="141" spans="2:31" x14ac:dyDescent="0.2">
      <c r="B141" s="194"/>
      <c r="C141" s="173"/>
      <c r="D141" s="173"/>
      <c r="E141" s="173"/>
      <c r="F141" s="173"/>
      <c r="G141" s="173"/>
      <c r="H141" s="173"/>
      <c r="I141" s="173"/>
      <c r="J141" s="173"/>
      <c r="K141" s="173"/>
      <c r="L141" s="173"/>
      <c r="M141" s="173"/>
      <c r="N141" s="173"/>
      <c r="O141" s="173"/>
      <c r="P141" s="173"/>
      <c r="Q141" s="173"/>
      <c r="R141" s="4"/>
      <c r="S141" s="4"/>
      <c r="T141" s="4"/>
      <c r="U141" s="4"/>
      <c r="V141" s="4"/>
      <c r="W141" s="4"/>
      <c r="X141" s="4"/>
      <c r="Y141" s="4"/>
      <c r="Z141" s="4"/>
      <c r="AA141" s="4"/>
      <c r="AB141" s="4"/>
      <c r="AC141" s="4"/>
      <c r="AD141" s="4"/>
      <c r="AE141" s="4"/>
    </row>
    <row r="142" spans="2:31" x14ac:dyDescent="0.2">
      <c r="B142" s="194"/>
      <c r="C142" s="173"/>
      <c r="D142" s="173"/>
      <c r="E142" s="173"/>
      <c r="F142" s="173"/>
      <c r="G142" s="173"/>
      <c r="H142" s="173"/>
      <c r="I142" s="173"/>
      <c r="J142" s="4"/>
      <c r="K142" s="4"/>
      <c r="L142" s="4"/>
      <c r="M142" s="4"/>
      <c r="N142" s="4"/>
      <c r="O142" s="4"/>
      <c r="P142" s="4"/>
      <c r="Q142" s="4"/>
      <c r="R142" s="4"/>
      <c r="S142" s="4"/>
      <c r="T142" s="4"/>
      <c r="U142" s="4"/>
      <c r="V142" s="4"/>
      <c r="W142" s="4"/>
      <c r="X142" s="4"/>
      <c r="Y142" s="4"/>
      <c r="Z142" s="4"/>
      <c r="AA142" s="4"/>
      <c r="AB142" s="4"/>
      <c r="AC142" s="4"/>
      <c r="AD142" s="4"/>
      <c r="AE142" s="4"/>
    </row>
    <row r="143" spans="2:31" x14ac:dyDescent="0.2">
      <c r="B143" s="194"/>
      <c r="C143" s="173"/>
      <c r="D143" s="173"/>
      <c r="E143" s="173"/>
      <c r="F143" s="173"/>
      <c r="G143" s="173"/>
      <c r="H143" s="173"/>
      <c r="I143" s="173"/>
      <c r="J143" s="173"/>
      <c r="K143" s="173"/>
      <c r="L143" s="173"/>
      <c r="M143" s="173"/>
      <c r="N143" s="173"/>
      <c r="O143" s="173"/>
      <c r="P143" s="173"/>
      <c r="Q143" s="173"/>
      <c r="R143" s="4"/>
      <c r="S143" s="4"/>
      <c r="T143" s="4"/>
      <c r="U143" s="4"/>
      <c r="V143" s="4"/>
      <c r="W143" s="4"/>
      <c r="X143" s="4"/>
      <c r="Y143" s="4"/>
      <c r="Z143" s="4"/>
      <c r="AA143" s="4"/>
      <c r="AB143" s="4"/>
      <c r="AC143" s="4"/>
      <c r="AD143" s="4"/>
      <c r="AE143" s="4"/>
    </row>
    <row r="144" spans="2:31" x14ac:dyDescent="0.2">
      <c r="B144" s="194"/>
      <c r="C144" s="173"/>
      <c r="D144" s="173"/>
      <c r="E144" s="173"/>
      <c r="F144" s="173"/>
      <c r="G144" s="173"/>
      <c r="H144" s="173"/>
      <c r="I144" s="173"/>
      <c r="J144" s="170"/>
      <c r="K144" s="170"/>
      <c r="L144" s="170"/>
      <c r="M144" s="170"/>
      <c r="N144" s="170"/>
      <c r="O144" s="170"/>
      <c r="P144" s="170"/>
      <c r="Q144" s="170"/>
      <c r="R144" s="4"/>
      <c r="S144" s="4"/>
      <c r="T144" s="4"/>
      <c r="U144" s="4"/>
      <c r="V144" s="4"/>
      <c r="W144" s="4"/>
      <c r="X144" s="4"/>
      <c r="Y144" s="4"/>
      <c r="Z144" s="4"/>
      <c r="AA144" s="4"/>
      <c r="AB144" s="4"/>
      <c r="AC144" s="4"/>
      <c r="AD144" s="4"/>
      <c r="AE144" s="4"/>
    </row>
    <row r="145" spans="2:31" x14ac:dyDescent="0.2">
      <c r="B145" s="194"/>
      <c r="C145" s="173"/>
      <c r="D145" s="173"/>
      <c r="E145" s="173"/>
      <c r="F145" s="173"/>
      <c r="G145" s="173"/>
      <c r="H145" s="173"/>
      <c r="I145" s="173"/>
      <c r="J145" s="173"/>
      <c r="K145" s="173"/>
      <c r="L145" s="173"/>
      <c r="M145" s="173"/>
      <c r="N145" s="173"/>
      <c r="O145" s="173"/>
      <c r="P145" s="173"/>
      <c r="Q145" s="173"/>
      <c r="R145" s="4"/>
      <c r="S145" s="4"/>
      <c r="T145" s="4"/>
      <c r="U145" s="4"/>
      <c r="V145" s="4"/>
      <c r="W145" s="4"/>
      <c r="X145" s="4"/>
      <c r="Y145" s="4"/>
      <c r="Z145" s="4"/>
      <c r="AA145" s="4"/>
      <c r="AB145" s="4"/>
      <c r="AC145" s="4"/>
      <c r="AD145" s="4"/>
      <c r="AE145" s="4"/>
    </row>
    <row r="146" spans="2:31" x14ac:dyDescent="0.2">
      <c r="B146" s="170"/>
      <c r="C146" s="173"/>
      <c r="D146" s="173"/>
      <c r="E146" s="180"/>
      <c r="F146" s="180"/>
      <c r="G146" s="180"/>
      <c r="H146" s="180"/>
      <c r="I146" s="180"/>
      <c r="J146" s="174"/>
      <c r="K146" s="174"/>
      <c r="L146" s="174"/>
      <c r="M146" s="174"/>
      <c r="N146" s="174"/>
      <c r="O146" s="174"/>
      <c r="P146" s="174"/>
      <c r="Q146" s="174"/>
      <c r="R146" s="4"/>
      <c r="S146" s="4"/>
      <c r="T146" s="4"/>
      <c r="U146" s="4"/>
      <c r="V146" s="4"/>
      <c r="W146" s="4"/>
      <c r="X146" s="4"/>
      <c r="Y146" s="4"/>
      <c r="Z146" s="4"/>
      <c r="AA146" s="4"/>
      <c r="AB146" s="4"/>
      <c r="AC146" s="4"/>
      <c r="AD146" s="4"/>
      <c r="AE146" s="4"/>
    </row>
    <row r="147" spans="2:31" x14ac:dyDescent="0.2">
      <c r="B147" s="173"/>
      <c r="C147" s="173"/>
      <c r="D147" s="173"/>
      <c r="E147" s="180"/>
      <c r="F147" s="180"/>
      <c r="G147" s="180"/>
      <c r="H147" s="180"/>
      <c r="I147" s="180"/>
      <c r="J147" s="181"/>
      <c r="K147" s="181"/>
      <c r="L147" s="181"/>
      <c r="M147" s="181"/>
      <c r="N147" s="181"/>
      <c r="O147" s="181"/>
      <c r="P147" s="181"/>
      <c r="Q147" s="181"/>
      <c r="R147" s="4"/>
      <c r="S147" s="4"/>
      <c r="T147" s="4"/>
      <c r="U147" s="4"/>
      <c r="V147" s="4"/>
      <c r="W147" s="4"/>
      <c r="X147" s="4"/>
      <c r="Y147" s="4"/>
      <c r="Z147" s="4"/>
      <c r="AA147" s="4"/>
      <c r="AB147" s="4"/>
      <c r="AC147" s="4"/>
      <c r="AD147" s="4"/>
      <c r="AE147" s="4"/>
    </row>
    <row r="148" spans="2:31" ht="15" x14ac:dyDescent="0.25">
      <c r="B148" s="170"/>
      <c r="C148" s="173"/>
      <c r="D148" s="173"/>
      <c r="E148" s="180"/>
      <c r="F148" s="180"/>
      <c r="G148" s="180"/>
      <c r="H148" s="225"/>
      <c r="I148" s="225"/>
      <c r="J148" s="170"/>
      <c r="K148" s="170"/>
      <c r="L148" s="170"/>
      <c r="M148" s="170"/>
      <c r="N148" s="170"/>
      <c r="O148" s="170"/>
      <c r="P148" s="170"/>
      <c r="Q148" s="170"/>
      <c r="R148" s="4"/>
      <c r="S148" s="4"/>
      <c r="T148" s="4"/>
      <c r="U148" s="4"/>
      <c r="V148" s="4"/>
      <c r="W148" s="4"/>
      <c r="X148" s="4"/>
      <c r="Y148" s="4"/>
      <c r="Z148" s="4"/>
      <c r="AA148" s="4"/>
      <c r="AB148" s="4"/>
      <c r="AC148" s="4"/>
      <c r="AD148" s="4"/>
      <c r="AE148" s="4"/>
    </row>
    <row r="149" spans="2:31" ht="15" x14ac:dyDescent="0.25">
      <c r="B149" s="4"/>
      <c r="C149" s="164"/>
      <c r="D149" s="164"/>
      <c r="E149" s="164"/>
      <c r="F149" s="164"/>
      <c r="G149" s="164"/>
      <c r="H149" s="225"/>
      <c r="I149" s="225"/>
      <c r="J149" s="182"/>
      <c r="K149" s="182"/>
      <c r="L149" s="182"/>
      <c r="M149" s="182"/>
      <c r="N149" s="182"/>
      <c r="O149" s="182"/>
      <c r="P149" s="182"/>
      <c r="Q149" s="182"/>
      <c r="R149" s="4"/>
      <c r="S149" s="4"/>
      <c r="T149" s="4"/>
      <c r="U149" s="4"/>
      <c r="V149" s="4"/>
      <c r="W149" s="4"/>
      <c r="X149" s="4"/>
      <c r="Y149" s="4"/>
      <c r="Z149" s="4"/>
      <c r="AA149" s="4"/>
      <c r="AB149" s="4"/>
      <c r="AC149" s="4"/>
      <c r="AD149" s="4"/>
      <c r="AE149" s="4"/>
    </row>
    <row r="150" spans="2:31" ht="15" x14ac:dyDescent="0.25">
      <c r="B150" s="4"/>
      <c r="C150" s="164"/>
      <c r="D150" s="164"/>
      <c r="E150" s="164"/>
      <c r="F150" s="164"/>
      <c r="G150" s="164"/>
      <c r="H150" s="164"/>
      <c r="I150" s="4"/>
      <c r="J150" s="170"/>
      <c r="K150" s="170"/>
      <c r="L150" s="170"/>
      <c r="M150" s="170"/>
      <c r="N150" s="170"/>
      <c r="O150" s="170"/>
      <c r="P150" s="170"/>
      <c r="Q150" s="170"/>
      <c r="R150" s="4"/>
      <c r="S150" s="4"/>
      <c r="T150" s="4"/>
      <c r="U150" s="4"/>
      <c r="V150" s="4"/>
      <c r="W150" s="4"/>
      <c r="X150" s="4"/>
      <c r="Y150" s="4"/>
      <c r="Z150" s="4"/>
      <c r="AA150" s="4"/>
      <c r="AB150" s="4"/>
      <c r="AC150" s="4"/>
      <c r="AD150" s="4"/>
      <c r="AE150" s="4"/>
    </row>
    <row r="151" spans="2:31" ht="15" x14ac:dyDescent="0.25">
      <c r="B151" s="4"/>
      <c r="C151" s="4"/>
      <c r="D151" s="4"/>
      <c r="E151" s="4"/>
      <c r="F151" s="4"/>
      <c r="G151" s="4"/>
      <c r="H151" s="4"/>
      <c r="I151" s="164"/>
      <c r="J151" s="173"/>
      <c r="K151" s="4"/>
      <c r="L151" s="4"/>
      <c r="M151" s="4"/>
      <c r="N151" s="4"/>
      <c r="O151" s="4"/>
      <c r="P151" s="4"/>
      <c r="Q151" s="4"/>
      <c r="R151" s="4"/>
      <c r="S151" s="4"/>
      <c r="T151" s="4"/>
      <c r="U151" s="4"/>
      <c r="V151" s="4"/>
      <c r="W151" s="4"/>
      <c r="X151" s="4"/>
      <c r="Y151" s="4"/>
      <c r="Z151" s="4"/>
      <c r="AA151" s="4"/>
      <c r="AB151" s="4"/>
      <c r="AC151" s="4"/>
      <c r="AD151" s="4"/>
      <c r="AE151" s="4"/>
    </row>
    <row r="152" spans="2:31" ht="15" x14ac:dyDescent="0.25">
      <c r="B152" s="4"/>
      <c r="C152" s="195"/>
      <c r="D152" s="4"/>
      <c r="E152" s="4"/>
      <c r="F152" s="4"/>
      <c r="G152" s="4"/>
      <c r="H152" s="4"/>
      <c r="I152" s="164"/>
      <c r="J152" s="173"/>
      <c r="K152" s="4"/>
      <c r="L152" s="4"/>
      <c r="M152" s="4"/>
      <c r="N152" s="4"/>
      <c r="O152" s="4"/>
      <c r="P152" s="4"/>
      <c r="Q152" s="4"/>
      <c r="R152" s="4"/>
      <c r="S152" s="4"/>
      <c r="T152" s="4"/>
      <c r="U152" s="4"/>
      <c r="V152" s="4"/>
      <c r="W152" s="4"/>
      <c r="X152" s="4"/>
      <c r="Y152" s="4"/>
      <c r="Z152" s="4"/>
      <c r="AA152" s="4"/>
      <c r="AB152" s="4"/>
      <c r="AC152" s="4"/>
      <c r="AD152" s="4"/>
      <c r="AE152" s="4"/>
    </row>
    <row r="153" spans="2:31" x14ac:dyDescent="0.2">
      <c r="B153" s="4"/>
      <c r="C153" s="4"/>
      <c r="D153" s="4"/>
      <c r="E153" s="4"/>
      <c r="F153" s="4"/>
      <c r="G153" s="4"/>
      <c r="H153" s="4"/>
      <c r="I153" s="4"/>
      <c r="J153" s="183"/>
      <c r="K153" s="4"/>
      <c r="L153" s="4"/>
      <c r="M153" s="4"/>
      <c r="N153" s="184"/>
      <c r="O153" s="4"/>
      <c r="P153" s="4"/>
      <c r="Q153" s="4"/>
      <c r="R153" s="4"/>
      <c r="S153" s="4"/>
      <c r="T153" s="4"/>
      <c r="U153" s="4"/>
      <c r="V153" s="4"/>
      <c r="W153" s="4"/>
      <c r="X153" s="4"/>
      <c r="Y153" s="4"/>
      <c r="Z153" s="4"/>
      <c r="AA153" s="4"/>
      <c r="AB153" s="4"/>
      <c r="AC153" s="4"/>
      <c r="AD153" s="4"/>
      <c r="AE153" s="4"/>
    </row>
    <row r="154" spans="2:31" x14ac:dyDescent="0.2">
      <c r="B154" s="4"/>
      <c r="C154" s="4"/>
      <c r="D154" s="4"/>
      <c r="E154" s="4"/>
      <c r="F154" s="4"/>
      <c r="G154" s="4"/>
      <c r="H154" s="4"/>
      <c r="I154" s="4"/>
      <c r="J154" s="4"/>
      <c r="K154" s="4"/>
      <c r="L154" s="4"/>
      <c r="M154" s="4"/>
      <c r="N154" s="184"/>
      <c r="O154" s="4"/>
      <c r="P154" s="4"/>
      <c r="Q154" s="4"/>
      <c r="R154" s="4"/>
      <c r="S154" s="4"/>
      <c r="T154" s="4"/>
      <c r="U154" s="4"/>
      <c r="V154" s="4"/>
      <c r="W154" s="4"/>
      <c r="X154" s="4"/>
      <c r="Y154" s="4"/>
      <c r="Z154" s="4"/>
      <c r="AA154" s="4"/>
      <c r="AB154" s="4"/>
      <c r="AC154" s="4"/>
      <c r="AD154" s="4"/>
      <c r="AE154" s="4"/>
    </row>
    <row r="155" spans="2:31" ht="15" x14ac:dyDescent="0.25">
      <c r="B155" s="164"/>
      <c r="C155" s="164"/>
      <c r="D155" s="164"/>
      <c r="E155" s="164"/>
      <c r="F155" s="164"/>
      <c r="G155" s="164"/>
      <c r="H155" s="164"/>
      <c r="I155" s="164"/>
      <c r="J155" s="164"/>
      <c r="K155" s="164"/>
      <c r="L155" s="164"/>
      <c r="M155" s="164"/>
      <c r="N155" s="185"/>
      <c r="O155" s="4"/>
      <c r="P155" s="4"/>
      <c r="Q155" s="4"/>
      <c r="R155" s="4"/>
      <c r="S155" s="4"/>
      <c r="T155" s="4"/>
      <c r="U155" s="4"/>
      <c r="V155" s="4"/>
      <c r="W155" s="4"/>
      <c r="X155" s="4"/>
      <c r="Y155" s="4"/>
      <c r="Z155" s="4"/>
      <c r="AA155" s="4"/>
      <c r="AB155" s="4"/>
      <c r="AC155" s="4"/>
      <c r="AD155" s="4"/>
      <c r="AE155" s="4"/>
    </row>
    <row r="156" spans="2:31" x14ac:dyDescent="0.2">
      <c r="B156" s="196"/>
      <c r="C156" s="4"/>
      <c r="D156" s="4"/>
      <c r="E156" s="4"/>
      <c r="F156" s="4"/>
      <c r="G156" s="4"/>
      <c r="H156" s="4"/>
      <c r="I156" s="4"/>
      <c r="J156" s="4"/>
      <c r="K156" s="4"/>
      <c r="L156" s="4"/>
      <c r="M156" s="4"/>
      <c r="N156" s="186"/>
      <c r="O156" s="4"/>
      <c r="P156" s="4"/>
      <c r="Q156" s="4"/>
      <c r="R156" s="4"/>
      <c r="S156" s="4"/>
      <c r="T156" s="4"/>
      <c r="U156" s="4"/>
      <c r="V156" s="4"/>
      <c r="W156" s="4"/>
      <c r="X156" s="4"/>
      <c r="Y156" s="4"/>
      <c r="Z156" s="4"/>
      <c r="AA156" s="4"/>
      <c r="AB156" s="4"/>
      <c r="AC156" s="4"/>
      <c r="AD156" s="4"/>
      <c r="AE156" s="4"/>
    </row>
    <row r="157" spans="2:31" x14ac:dyDescent="0.2">
      <c r="B157" s="196"/>
      <c r="C157" s="4"/>
      <c r="D157" s="4"/>
      <c r="E157" s="4"/>
      <c r="F157" s="4"/>
      <c r="G157" s="4"/>
      <c r="H157" s="4"/>
      <c r="I157" s="4"/>
      <c r="J157" s="4"/>
      <c r="K157" s="4"/>
      <c r="L157" s="4"/>
      <c r="M157" s="4"/>
      <c r="N157" s="186"/>
      <c r="O157" s="4"/>
      <c r="P157" s="4"/>
      <c r="Q157" s="4"/>
      <c r="R157" s="4"/>
      <c r="S157" s="4"/>
      <c r="T157" s="4"/>
      <c r="U157" s="4"/>
      <c r="V157" s="4"/>
      <c r="W157" s="4"/>
      <c r="X157" s="4"/>
      <c r="Y157" s="4"/>
      <c r="Z157" s="4"/>
      <c r="AA157" s="4"/>
      <c r="AB157" s="4"/>
      <c r="AC157" s="4"/>
      <c r="AD157" s="4"/>
      <c r="AE157" s="4"/>
    </row>
    <row r="158" spans="2:31" ht="15" x14ac:dyDescent="0.25">
      <c r="B158" s="164"/>
      <c r="C158" s="164"/>
      <c r="D158" s="164"/>
      <c r="E158" s="164"/>
      <c r="F158" s="164"/>
      <c r="G158" s="164"/>
      <c r="H158" s="164"/>
      <c r="I158" s="164"/>
      <c r="J158" s="164"/>
      <c r="K158" s="164"/>
      <c r="L158" s="164"/>
      <c r="M158" s="164"/>
      <c r="N158" s="187"/>
      <c r="O158" s="4"/>
      <c r="P158" s="4"/>
      <c r="Q158" s="4"/>
      <c r="R158" s="4"/>
      <c r="S158" s="4"/>
      <c r="T158" s="4"/>
      <c r="U158" s="4"/>
      <c r="V158" s="4"/>
      <c r="W158" s="4"/>
      <c r="X158" s="4"/>
      <c r="Y158" s="4"/>
      <c r="Z158" s="4"/>
      <c r="AA158" s="4"/>
      <c r="AB158" s="4"/>
      <c r="AC158" s="4"/>
      <c r="AD158" s="4"/>
      <c r="AE158" s="4"/>
    </row>
    <row r="159" spans="2:31" x14ac:dyDescent="0.2">
      <c r="B159" s="4"/>
      <c r="C159" s="4"/>
      <c r="D159" s="4"/>
      <c r="E159" s="4"/>
      <c r="F159" s="4"/>
      <c r="G159" s="4"/>
      <c r="H159" s="4"/>
      <c r="I159" s="4"/>
      <c r="J159" s="4"/>
      <c r="K159" s="4"/>
      <c r="L159" s="4"/>
      <c r="M159" s="4"/>
      <c r="N159" s="188"/>
      <c r="O159" s="4"/>
      <c r="P159" s="4"/>
      <c r="Q159" s="4"/>
      <c r="R159" s="4"/>
      <c r="S159" s="4"/>
      <c r="T159" s="4"/>
      <c r="U159" s="4"/>
      <c r="V159" s="4"/>
      <c r="W159" s="4"/>
      <c r="X159" s="4"/>
      <c r="Y159" s="4"/>
      <c r="Z159" s="4"/>
      <c r="AA159" s="4"/>
      <c r="AB159" s="4"/>
      <c r="AC159" s="4"/>
      <c r="AD159" s="4"/>
      <c r="AE159" s="4"/>
    </row>
    <row r="160" spans="2:31" ht="15" x14ac:dyDescent="0.25">
      <c r="B160" s="164"/>
      <c r="C160" s="164"/>
      <c r="D160" s="164"/>
      <c r="E160" s="164"/>
      <c r="F160" s="164"/>
      <c r="G160" s="164"/>
      <c r="H160" s="164"/>
      <c r="I160" s="164"/>
      <c r="J160" s="164"/>
      <c r="K160" s="164"/>
      <c r="L160" s="164"/>
      <c r="M160" s="164"/>
      <c r="N160" s="189"/>
      <c r="O160" s="4"/>
      <c r="P160" s="4"/>
      <c r="Q160" s="4"/>
      <c r="R160" s="4"/>
      <c r="S160" s="4"/>
      <c r="T160" s="4"/>
      <c r="U160" s="4"/>
      <c r="V160" s="4"/>
      <c r="W160" s="4"/>
      <c r="X160" s="4"/>
      <c r="Y160" s="4"/>
      <c r="Z160" s="4"/>
      <c r="AA160" s="4"/>
      <c r="AB160" s="4"/>
      <c r="AC160" s="4"/>
      <c r="AD160" s="4"/>
      <c r="AE160" s="4"/>
    </row>
    <row r="161" spans="2:31" ht="15" x14ac:dyDescent="0.25">
      <c r="B161" s="164"/>
      <c r="C161" s="164"/>
      <c r="D161" s="164"/>
      <c r="E161" s="164"/>
      <c r="F161" s="164"/>
      <c r="G161" s="164"/>
      <c r="H161" s="164"/>
      <c r="I161" s="164"/>
      <c r="J161" s="164"/>
      <c r="K161" s="164"/>
      <c r="L161" s="164"/>
      <c r="M161" s="164"/>
      <c r="N161" s="189"/>
      <c r="O161" s="4"/>
      <c r="P161" s="4"/>
      <c r="Q161" s="4"/>
      <c r="R161" s="4"/>
      <c r="S161" s="4"/>
      <c r="T161" s="4"/>
      <c r="U161" s="4"/>
      <c r="V161" s="4"/>
      <c r="W161" s="4"/>
      <c r="X161" s="4"/>
      <c r="Y161" s="4"/>
      <c r="Z161" s="4"/>
      <c r="AA161" s="4"/>
      <c r="AB161" s="4"/>
      <c r="AC161" s="4"/>
      <c r="AD161" s="4"/>
      <c r="AE161" s="4"/>
    </row>
    <row r="162" spans="2:31" ht="15" x14ac:dyDescent="0.25">
      <c r="B162" s="164"/>
      <c r="C162" s="4"/>
      <c r="D162" s="4"/>
      <c r="E162" s="4"/>
      <c r="F162" s="4"/>
      <c r="G162" s="4"/>
      <c r="H162" s="4"/>
      <c r="I162" s="4"/>
      <c r="J162" s="4"/>
      <c r="K162" s="4"/>
      <c r="L162" s="4"/>
      <c r="M162" s="4"/>
      <c r="N162" s="190"/>
      <c r="O162" s="4"/>
      <c r="P162" s="4"/>
      <c r="Q162" s="4"/>
      <c r="R162" s="4"/>
      <c r="S162" s="4"/>
      <c r="T162" s="4"/>
      <c r="U162" s="4"/>
      <c r="V162" s="4"/>
      <c r="W162" s="4"/>
      <c r="X162" s="4"/>
      <c r="Y162" s="4"/>
      <c r="Z162" s="4"/>
      <c r="AA162" s="4"/>
      <c r="AB162" s="4"/>
      <c r="AC162" s="4"/>
      <c r="AD162" s="4"/>
      <c r="AE162" s="4"/>
    </row>
    <row r="163" spans="2:31" x14ac:dyDescent="0.2">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row>
    <row r="164" spans="2:31" x14ac:dyDescent="0.2">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row>
    <row r="165" spans="2:31" x14ac:dyDescent="0.2">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row>
    <row r="166" spans="2:31" x14ac:dyDescent="0.2">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row>
    <row r="167" spans="2:31" x14ac:dyDescent="0.2">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row>
  </sheetData>
  <mergeCells count="3">
    <mergeCell ref="N5:V7"/>
    <mergeCell ref="H149:I149"/>
    <mergeCell ref="H148:I148"/>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74DAD-67D4-4D92-959A-CA6870B69270}">
  <sheetPr>
    <tabColor rgb="FF0070C0"/>
  </sheetPr>
  <dimension ref="B4:K26"/>
  <sheetViews>
    <sheetView showGridLines="0" showRowColHeaders="0" workbookViewId="0">
      <selection activeCell="L39" sqref="L39"/>
    </sheetView>
  </sheetViews>
  <sheetFormatPr defaultRowHeight="14.25" x14ac:dyDescent="0.2"/>
  <sheetData>
    <row r="4" spans="2:11" x14ac:dyDescent="0.2">
      <c r="C4" s="222" t="s">
        <v>262</v>
      </c>
      <c r="D4" s="222"/>
      <c r="E4" s="222"/>
      <c r="F4" s="222"/>
      <c r="G4" s="222"/>
      <c r="H4" s="222"/>
      <c r="I4" s="222"/>
      <c r="J4" s="222"/>
      <c r="K4" s="222"/>
    </row>
    <row r="5" spans="2:11" x14ac:dyDescent="0.2">
      <c r="C5" s="222"/>
      <c r="D5" s="222"/>
      <c r="E5" s="222"/>
      <c r="F5" s="222"/>
      <c r="G5" s="222"/>
      <c r="H5" s="222"/>
      <c r="I5" s="222"/>
      <c r="J5" s="222"/>
      <c r="K5" s="222"/>
    </row>
    <row r="6" spans="2:11" x14ac:dyDescent="0.2">
      <c r="C6" s="222"/>
      <c r="D6" s="222"/>
      <c r="E6" s="222"/>
      <c r="F6" s="222"/>
      <c r="G6" s="222"/>
      <c r="H6" s="222"/>
      <c r="I6" s="222"/>
      <c r="J6" s="222"/>
      <c r="K6" s="222"/>
    </row>
    <row r="7" spans="2:11" x14ac:dyDescent="0.2">
      <c r="C7" s="222"/>
      <c r="D7" s="222"/>
      <c r="E7" s="222"/>
      <c r="F7" s="222"/>
      <c r="G7" s="222"/>
      <c r="H7" s="222"/>
      <c r="I7" s="222"/>
      <c r="J7" s="222"/>
      <c r="K7" s="222"/>
    </row>
    <row r="10" spans="2:11" x14ac:dyDescent="0.2">
      <c r="B10" t="s">
        <v>268</v>
      </c>
    </row>
    <row r="11" spans="2:11" x14ac:dyDescent="0.2">
      <c r="B11" t="s">
        <v>263</v>
      </c>
    </row>
    <row r="12" spans="2:11" x14ac:dyDescent="0.2">
      <c r="B12" t="s">
        <v>264</v>
      </c>
    </row>
    <row r="13" spans="2:11" x14ac:dyDescent="0.2">
      <c r="B13" t="s">
        <v>265</v>
      </c>
    </row>
    <row r="15" spans="2:11" x14ac:dyDescent="0.2">
      <c r="B15" t="s">
        <v>269</v>
      </c>
    </row>
    <row r="16" spans="2:11" x14ac:dyDescent="0.2">
      <c r="B16" t="s">
        <v>267</v>
      </c>
    </row>
    <row r="18" spans="2:4" x14ac:dyDescent="0.2">
      <c r="B18" t="s">
        <v>270</v>
      </c>
    </row>
    <row r="19" spans="2:4" x14ac:dyDescent="0.2">
      <c r="B19" t="s">
        <v>271</v>
      </c>
    </row>
    <row r="21" spans="2:4" x14ac:dyDescent="0.2">
      <c r="B21" t="s">
        <v>272</v>
      </c>
    </row>
    <row r="24" spans="2:4" ht="14.25" customHeight="1" x14ac:dyDescent="0.2">
      <c r="B24" s="226" t="s">
        <v>273</v>
      </c>
      <c r="C24" s="226"/>
      <c r="D24" s="226"/>
    </row>
    <row r="25" spans="2:4" ht="14.25" customHeight="1" x14ac:dyDescent="0.2">
      <c r="B25" s="226"/>
      <c r="C25" s="226"/>
      <c r="D25" s="226"/>
    </row>
    <row r="26" spans="2:4" ht="14.25" customHeight="1" x14ac:dyDescent="0.2">
      <c r="B26" s="226"/>
      <c r="C26" s="226"/>
      <c r="D26" s="226"/>
    </row>
  </sheetData>
  <mergeCells count="2">
    <mergeCell ref="C4:K7"/>
    <mergeCell ref="B24:D2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97EF9-63AB-4C27-BA24-85D7F9760BFC}">
  <dimension ref="A1"/>
  <sheetViews>
    <sheetView workbookViewId="0">
      <selection activeCell="F6" sqref="F6"/>
    </sheetView>
  </sheetViews>
  <sheetFormatPr defaultRowHeight="14.25" x14ac:dyDescent="0.2"/>
  <sheetData>
    <row r="1" spans="1:1" x14ac:dyDescent="0.2">
      <c r="A1"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1.Openning</vt:lpstr>
      <vt:lpstr>2.Equity</vt:lpstr>
      <vt:lpstr>3.Debt</vt:lpstr>
      <vt:lpstr>4.WACC</vt:lpstr>
      <vt:lpstr>5.Story&amp;Estimations</vt:lpstr>
      <vt:lpstr>6.DCF</vt:lpstr>
      <vt:lpstr>7.Final Thoughts</vt:lpstr>
      <vt:lpstr>disclaimer</vt:lpstr>
      <vt:lpstr>tgr</vt:lpstr>
      <vt:lpstr>wacc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איתי דיין</dc:creator>
  <cp:lastModifiedBy>רועי דיין</cp:lastModifiedBy>
  <dcterms:created xsi:type="dcterms:W3CDTF">2015-06-05T18:17:20Z</dcterms:created>
  <dcterms:modified xsi:type="dcterms:W3CDTF">2024-06-07T18:21:21Z</dcterms:modified>
</cp:coreProperties>
</file>