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c2016\Desktop\borsa\DCF\Companies\PYPL\"/>
    </mc:Choice>
  </mc:AlternateContent>
  <xr:revisionPtr revIDLastSave="0" documentId="13_ncr:1_{960CB1DD-8FA0-4FB2-970A-819AAC06B1F1}" xr6:coauthVersionLast="47" xr6:coauthVersionMax="47" xr10:uidLastSave="{00000000-0000-0000-0000-000000000000}"/>
  <bookViews>
    <workbookView xWindow="7245" yWindow="3795" windowWidth="21600" windowHeight="11385" xr2:uid="{00000000-000D-0000-FFFF-FFFF00000000}"/>
  </bookViews>
  <sheets>
    <sheet name="Sheet1" sheetId="1" r:id="rId1"/>
    <sheet name="balance sheet" sheetId="2" r:id="rId2"/>
  </sheets>
  <definedNames>
    <definedName name="_xlchart.v1.0" hidden="1">Sheet1!$E$76:$E$79</definedName>
    <definedName name="_xlchart.v1.1" hidden="1">Sheet1!$F$76:$F$79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1" l="1"/>
  <c r="H48" i="1"/>
  <c r="C84" i="1"/>
  <c r="B241" i="1"/>
  <c r="D234" i="1"/>
  <c r="D233" i="1"/>
  <c r="D232" i="1"/>
  <c r="D230" i="1"/>
  <c r="D231" i="1"/>
  <c r="B238" i="1"/>
  <c r="D137" i="1"/>
  <c r="B236" i="1"/>
  <c r="B234" i="1"/>
  <c r="B232" i="1"/>
  <c r="K218" i="1"/>
  <c r="D217" i="1"/>
  <c r="D216" i="1"/>
  <c r="H218" i="1"/>
  <c r="D225" i="1"/>
  <c r="D218" i="1"/>
  <c r="D219" i="1"/>
  <c r="D220" i="1"/>
  <c r="D221" i="1"/>
  <c r="D222" i="1"/>
  <c r="D223" i="1"/>
  <c r="D224" i="1"/>
  <c r="D215" i="1"/>
  <c r="D214" i="1"/>
  <c r="G202" i="1"/>
  <c r="D195" i="1"/>
  <c r="D194" i="1"/>
  <c r="D193" i="1"/>
  <c r="D192" i="1"/>
  <c r="E192" i="1" s="1"/>
  <c r="D191" i="1"/>
  <c r="D187" i="1"/>
  <c r="E187" i="1" s="1"/>
  <c r="C188" i="1"/>
  <c r="C189" i="1"/>
  <c r="E189" i="1" s="1"/>
  <c r="C190" i="1"/>
  <c r="E190" i="1" s="1"/>
  <c r="C191" i="1"/>
  <c r="C192" i="1"/>
  <c r="C193" i="1"/>
  <c r="C194" i="1"/>
  <c r="C195" i="1"/>
  <c r="C187" i="1"/>
  <c r="C186" i="1"/>
  <c r="E186" i="1" s="1"/>
  <c r="C185" i="1"/>
  <c r="E185" i="1" s="1"/>
  <c r="B196" i="1"/>
  <c r="M182" i="1"/>
  <c r="G78" i="1"/>
  <c r="G77" i="1"/>
  <c r="G76" i="1"/>
  <c r="E195" i="1" l="1"/>
  <c r="E191" i="1"/>
  <c r="E194" i="1"/>
  <c r="E193" i="1"/>
  <c r="E196" i="1" s="1"/>
  <c r="G79" i="1"/>
  <c r="C196" i="1"/>
  <c r="A129" i="1"/>
  <c r="B106" i="1"/>
  <c r="B109" i="1" s="1"/>
  <c r="H50" i="1"/>
  <c r="H45" i="1"/>
  <c r="H52" i="1" s="1"/>
  <c r="H43" i="1"/>
  <c r="F132" i="1" l="1"/>
  <c r="B204" i="1" s="1"/>
</calcChain>
</file>

<file path=xl/sharedStrings.xml><?xml version="1.0" encoding="utf-8"?>
<sst xmlns="http://schemas.openxmlformats.org/spreadsheetml/2006/main" count="200" uniqueCount="163">
  <si>
    <t xml:space="preserve">                                                                                                                                </t>
  </si>
  <si>
    <r>
      <t xml:space="preserve">                                                                                                                </t>
    </r>
    <r>
      <rPr>
        <b/>
        <sz val="26"/>
        <color theme="1"/>
        <rFont val="Arial"/>
        <family val="2"/>
        <scheme val="minor"/>
      </rPr>
      <t>PYPL DCF MODEL - WACC</t>
    </r>
  </si>
  <si>
    <t>us risk ree rate = us10y treasury:</t>
  </si>
  <si>
    <t>להבין את העסק</t>
  </si>
  <si>
    <t>פייפאל היא חברת fintech שמטרת העיקרית והיחידה היא לשמש כגוף ומוסד להעברת כספים ו loans ב fees נמוכים משל הבנק,</t>
  </si>
  <si>
    <t>פייאפל מתעסקת כמט אך ורק בצד של השירותים הכספיים והדיגיטלים</t>
  </si>
  <si>
    <t xml:space="preserve">המטרה של פייפאל: </t>
  </si>
  <si>
    <t xml:space="preserve"> ההצהרה של פייאפל הינה שמשימתה היא "להפוך את השירותים הפיננסיים לדמוקרטים כדיי </t>
  </si>
  <si>
    <t>להבטיח שלכל אחד ללא קשר לרקע או מעמד כלעלי תהיה גישה למוצרים ושירותים נוחים ובטוחים במחירים נוחים</t>
  </si>
  <si>
    <t>כדי להשתלט על חייהם הפיננסיים:</t>
  </si>
  <si>
    <t>beta</t>
  </si>
  <si>
    <t>ndustry Name</t>
  </si>
  <si>
    <t>Number of firms</t>
  </si>
  <si>
    <t>Beta </t>
  </si>
  <si>
    <t>D/E Ratio</t>
  </si>
  <si>
    <t>Effective Tax rate</t>
  </si>
  <si>
    <t>Unlevered beta</t>
  </si>
  <si>
    <t>Cash/Firm value</t>
  </si>
  <si>
    <t>Unlevered beta corrected for cash</t>
  </si>
  <si>
    <t>HiLo Risk</t>
  </si>
  <si>
    <t>Standard deviation of equity</t>
  </si>
  <si>
    <t>Standard deviation in operating income (last 10 years)</t>
  </si>
  <si>
    <t>Average (2019-23)</t>
  </si>
  <si>
    <t>Financial Svcs. (Non-bank &amp; Insuran</t>
  </si>
  <si>
    <t>Date</t>
  </si>
  <si>
    <t>Change %</t>
  </si>
  <si>
    <t>09/24/2023</t>
  </si>
  <si>
    <t>09/17/2023</t>
  </si>
  <si>
    <t>08/27/2023</t>
  </si>
  <si>
    <t>08/20/2023</t>
  </si>
  <si>
    <t>08/13/2023</t>
  </si>
  <si>
    <t>07/30/2023</t>
  </si>
  <si>
    <t>07/23/2023</t>
  </si>
  <si>
    <t>07/16/2023</t>
  </si>
  <si>
    <t>06/25/2023</t>
  </si>
  <si>
    <t>06/18/2023</t>
  </si>
  <si>
    <t xml:space="preserve">                        </t>
  </si>
  <si>
    <t xml:space="preserve">                         </t>
  </si>
  <si>
    <t xml:space="preserve">     PYPL</t>
  </si>
  <si>
    <t xml:space="preserve">  S&amp;P500</t>
  </si>
  <si>
    <t>PYPL REGRESSION BETA=</t>
  </si>
  <si>
    <t>paypal total debt:</t>
  </si>
  <si>
    <t>beta=</t>
  </si>
  <si>
    <t>firm cash ratio:</t>
  </si>
  <si>
    <t>correct for cash=</t>
  </si>
  <si>
    <t xml:space="preserve"> Equity risk Premium</t>
  </si>
  <si>
    <t>USA:</t>
  </si>
  <si>
    <t>PAYPAL REVENUE BY REGION</t>
  </si>
  <si>
    <t>none</t>
  </si>
  <si>
    <t>Cost of Equity:</t>
  </si>
  <si>
    <t xml:space="preserve">      Cost of Debt</t>
  </si>
  <si>
    <t>interest coverage ratio =  EBIT/Interest expenses</t>
  </si>
  <si>
    <t>ebit = operating income</t>
  </si>
  <si>
    <t>Cost of Debt = risk free rate + country default spread + company santetic default spread</t>
  </si>
  <si>
    <t>Company ticker:</t>
  </si>
  <si>
    <t>pypl</t>
  </si>
  <si>
    <t>EBIT:</t>
  </si>
  <si>
    <t>i(expenses:</t>
  </si>
  <si>
    <t>inco ratio:</t>
  </si>
  <si>
    <t>x =</t>
  </si>
  <si>
    <t>x&gt;y</t>
  </si>
  <si>
    <t>≤ to</t>
  </si>
  <si>
    <t>Rating is</t>
  </si>
  <si>
    <t>Spread is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</si>
  <si>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</si>
  <si>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</si>
  <si>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</si>
  <si>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</si>
  <si>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</si>
  <si>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</si>
  <si>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</si>
  <si>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</si>
  <si>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</si>
  <si>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</si>
  <si>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</si>
  <si>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</si>
  <si>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</si>
  <si>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</si>
  <si>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</si>
  <si>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cost of debt = risk free rate + country default spread + company default spread =</t>
  </si>
  <si>
    <t>Market Value</t>
  </si>
  <si>
    <t>market value of equity = number of shares * share price:</t>
  </si>
  <si>
    <t>debt market value dcf approach</t>
  </si>
  <si>
    <r>
      <rPr>
        <b/>
        <sz val="11"/>
        <color theme="1"/>
        <rFont val="Arial"/>
        <family val="2"/>
        <scheme val="minor"/>
      </rPr>
      <t xml:space="preserve">fv - </t>
    </r>
    <r>
      <rPr>
        <sz val="11"/>
        <color theme="1"/>
        <rFont val="Arial"/>
        <family val="2"/>
        <scheme val="minor"/>
      </rPr>
      <t>total interest bearing debt =</t>
    </r>
  </si>
  <si>
    <r>
      <rPr>
        <b/>
        <sz val="11"/>
        <color theme="1"/>
        <rFont val="Arial"/>
        <family val="2"/>
        <scheme val="minor"/>
      </rPr>
      <t xml:space="preserve">yeald - </t>
    </r>
    <r>
      <rPr>
        <sz val="11"/>
        <color theme="1"/>
        <rFont val="Arial"/>
        <family val="2"/>
        <scheme val="minor"/>
      </rPr>
      <t>interest expenses =</t>
    </r>
  </si>
  <si>
    <r>
      <t xml:space="preserve">r - </t>
    </r>
    <r>
      <rPr>
        <sz val="11"/>
        <color theme="1"/>
        <rFont val="Arial"/>
        <family val="2"/>
        <scheme val="minor"/>
      </rPr>
      <t xml:space="preserve"> cost of debt before tax=</t>
    </r>
  </si>
  <si>
    <r>
      <t xml:space="preserve">n - </t>
    </r>
    <r>
      <rPr>
        <sz val="11"/>
        <color theme="1"/>
        <rFont val="Arial"/>
        <family val="2"/>
        <scheme val="minor"/>
      </rPr>
      <t>avg maturity of Debt =</t>
    </r>
  </si>
  <si>
    <t>page 79</t>
  </si>
  <si>
    <t>us</t>
  </si>
  <si>
    <t>uk</t>
  </si>
  <si>
    <t>other</t>
  </si>
  <si>
    <t>total</t>
  </si>
  <si>
    <t>country</t>
  </si>
  <si>
    <t>amount $</t>
  </si>
  <si>
    <t>weighted average</t>
  </si>
  <si>
    <t xml:space="preserve">                                 pypal revenue by reigion</t>
  </si>
  <si>
    <t>erp country = us erp + default country spread</t>
  </si>
  <si>
    <t>UK:</t>
  </si>
  <si>
    <t>operaing leases - 84</t>
  </si>
  <si>
    <t>maturity debt - 105</t>
  </si>
  <si>
    <t>As of December 31,</t>
  </si>
  <si>
    <t>Maturities</t>
  </si>
  <si>
    <t>Effective Interest Rate</t>
  </si>
  <si>
    <t>(in millions)</t>
  </si>
  <si>
    <t>September 2019 debt issuance of $5.0 billion:</t>
  </si>
  <si>
    <t>Fixed-rate 2.200% notes</t>
  </si>
  <si>
    <t>9/26/2022</t>
  </si>
  <si>
    <t>$</t>
  </si>
  <si>
    <t>— </t>
  </si>
  <si>
    <t>1,000 </t>
  </si>
  <si>
    <t>Fixed-rate 2.400% notes</t>
  </si>
  <si>
    <t>1,250 </t>
  </si>
  <si>
    <t>Fixed-rate 2.650% notes</t>
  </si>
  <si>
    <t>Fixed-rate 2.850% notes</t>
  </si>
  <si>
    <t>1,500 </t>
  </si>
  <si>
    <t>May 2020 debt issuance of $4.0 billion:</t>
  </si>
  <si>
    <t>Fixed-rate 1.350% notes</t>
  </si>
  <si>
    <t>418 </t>
  </si>
  <si>
    <t>Fixed-rate 1.650% notes</t>
  </si>
  <si>
    <t>Fixed-rate 2.300% notes</t>
  </si>
  <si>
    <t>Fixed-rate 3.250% notes</t>
  </si>
  <si>
    <t>May 2022 debt issuance of $3.0 billion:</t>
  </si>
  <si>
    <t>Fixed-rate 3.900% notes</t>
  </si>
  <si>
    <t>500 </t>
  </si>
  <si>
    <t>Fixed-rate 4.400% notes</t>
  </si>
  <si>
    <t>Fixed-rate 5.050% notes</t>
  </si>
  <si>
    <t>Fixed-rate 5.250% notes</t>
  </si>
  <si>
    <t>Total term debt</t>
  </si>
  <si>
    <t>10,418 </t>
  </si>
  <si>
    <t>9,000 </t>
  </si>
  <si>
    <t>Unamortized premium (discount) and issuance costs, net</t>
  </si>
  <si>
    <r>
      <t>Less: current portion of term debt</t>
    </r>
    <r>
      <rPr>
        <sz val="5.85"/>
        <color rgb="FF000000"/>
        <rFont val="Times New Roman"/>
        <family val="1"/>
      </rPr>
      <t>(1)</t>
    </r>
  </si>
  <si>
    <t>Total carrying amount of term debt</t>
  </si>
  <si>
    <t>9,926 </t>
  </si>
  <si>
    <t>7,951 </t>
  </si>
  <si>
    <t>DATE</t>
  </si>
  <si>
    <t>AMOUNT</t>
  </si>
  <si>
    <t>WEIGHTED AVERAGE</t>
  </si>
  <si>
    <t>YEARS</t>
  </si>
  <si>
    <t>9.26.22</t>
  </si>
  <si>
    <t>TOTAL</t>
  </si>
  <si>
    <t>today's date:</t>
  </si>
  <si>
    <t>10.3.23</t>
  </si>
  <si>
    <t>10.51 = 11</t>
  </si>
  <si>
    <t xml:space="preserve">                                                                           FCF</t>
  </si>
  <si>
    <t>year</t>
  </si>
  <si>
    <t>value</t>
  </si>
  <si>
    <t>total:</t>
  </si>
  <si>
    <t>:</t>
  </si>
  <si>
    <t>Present Value = totral + fv:</t>
  </si>
  <si>
    <t>adjust to mill:</t>
  </si>
  <si>
    <t>TOTAL STATS:</t>
  </si>
  <si>
    <t>cost of debt before tax:</t>
  </si>
  <si>
    <t>cost of Equity:</t>
  </si>
  <si>
    <t>Market value of Equity:</t>
  </si>
  <si>
    <t>Market value of Debt:</t>
  </si>
  <si>
    <t>WACC =</t>
  </si>
  <si>
    <t>E:</t>
  </si>
  <si>
    <t>V = E+D:</t>
  </si>
  <si>
    <t>D:</t>
  </si>
  <si>
    <t>RE:</t>
  </si>
  <si>
    <t>RD:</t>
  </si>
  <si>
    <t>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</si>
</sst>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0.0000%"/>
    <numFmt numFmtId="166" formatCode="0.0%"/>
  </numFmts>
  <fonts count="28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u/>
      <sz val="2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24"/>
      <color theme="1"/>
      <name val="Arial"/>
      <family val="2"/>
      <scheme val="minor"/>
    </font>
    <font>
      <b/>
      <i/>
      <sz val="10"/>
      <name val="Verdana"/>
      <family val="2"/>
    </font>
    <font>
      <sz val="12"/>
      <color rgb="FF000000"/>
      <name val="Calibri"/>
      <family val="2"/>
    </font>
    <font>
      <sz val="11"/>
      <color rgb="FF232526"/>
      <name val="Segoe UI"/>
      <family val="2"/>
    </font>
    <font>
      <b/>
      <sz val="11"/>
      <color rgb="FF232526"/>
      <name val="Segoe UI"/>
      <family val="2"/>
    </font>
    <font>
      <i/>
      <sz val="14"/>
      <name val="Times New Roman"/>
      <family val="1"/>
      <charset val="177"/>
    </font>
    <font>
      <sz val="14"/>
      <name val="Times New Roman"/>
      <family val="1"/>
      <charset val="177"/>
    </font>
    <font>
      <sz val="14"/>
      <name val="Calibri"/>
      <family val="2"/>
      <charset val="177"/>
    </font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rgb="FF000000"/>
      <name val="Times New Roman"/>
      <family val="1"/>
    </font>
    <font>
      <b/>
      <sz val="8"/>
      <color rgb="FF003087"/>
      <name val="Times New Roman"/>
      <family val="1"/>
    </font>
    <font>
      <sz val="9"/>
      <color rgb="FF000000"/>
      <name val="Times New Roman"/>
      <family val="1"/>
    </font>
    <font>
      <sz val="5.85"/>
      <color rgb="FF000000"/>
      <name val="Times New Roman"/>
      <family val="1"/>
    </font>
    <font>
      <b/>
      <sz val="28"/>
      <color theme="1"/>
      <name val="Arial"/>
      <family val="2"/>
      <scheme val="minor"/>
    </font>
    <font>
      <b/>
      <u/>
      <sz val="22"/>
      <color theme="1"/>
      <name val="Arial"/>
      <family val="2"/>
      <scheme val="minor"/>
    </font>
    <font>
      <sz val="16"/>
      <color rgb="FF111111"/>
      <name val="Times New Roman"/>
      <family val="1"/>
    </font>
    <font>
      <i/>
      <sz val="16"/>
      <color rgb="FF111111"/>
      <name val="KaTeX_Math"/>
    </font>
    <font>
      <sz val="1"/>
      <color rgb="FF111111"/>
      <name val="Times New Roman"/>
      <family val="1"/>
    </font>
    <font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BDBDB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1" xfId="0" applyNumberFormat="1" applyFill="1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wrapText="1"/>
    </xf>
    <xf numFmtId="0" fontId="9" fillId="3" borderId="2" xfId="0" applyFont="1" applyFill="1" applyBorder="1"/>
    <xf numFmtId="0" fontId="9" fillId="3" borderId="2" xfId="0" applyFont="1" applyFill="1" applyBorder="1" applyAlignment="1">
      <alignment horizontal="center"/>
    </xf>
    <xf numFmtId="10" fontId="9" fillId="3" borderId="2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14" fontId="10" fillId="3" borderId="0" xfId="0" applyNumberFormat="1" applyFont="1" applyFill="1" applyAlignment="1">
      <alignment horizontal="left" vertical="center"/>
    </xf>
    <xf numFmtId="10" fontId="11" fillId="3" borderId="0" xfId="0" applyNumberFormat="1" applyFont="1" applyFill="1" applyAlignment="1">
      <alignment horizontal="right" vertical="center" readingOrder="1"/>
    </xf>
    <xf numFmtId="0" fontId="10" fillId="3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10" fontId="0" fillId="2" borderId="0" xfId="0" applyNumberFormat="1" applyFill="1"/>
    <xf numFmtId="0" fontId="4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0" fillId="0" borderId="2" xfId="0" applyBorder="1"/>
    <xf numFmtId="0" fontId="1" fillId="0" borderId="7" xfId="0" applyFont="1" applyBorder="1"/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0" fontId="14" fillId="0" borderId="9" xfId="0" applyNumberFormat="1" applyFont="1" applyBorder="1" applyAlignment="1">
      <alignment horizontal="center"/>
    </xf>
    <xf numFmtId="165" fontId="0" fillId="2" borderId="0" xfId="0" applyNumberFormat="1" applyFill="1"/>
    <xf numFmtId="0" fontId="0" fillId="2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0" xfId="0" applyFont="1" applyBorder="1"/>
    <xf numFmtId="0" fontId="1" fillId="0" borderId="16" xfId="0" applyFont="1" applyBorder="1"/>
    <xf numFmtId="0" fontId="1" fillId="0" borderId="11" xfId="0" applyFont="1" applyBorder="1"/>
    <xf numFmtId="0" fontId="0" fillId="0" borderId="0" xfId="0" applyBorder="1"/>
    <xf numFmtId="0" fontId="0" fillId="0" borderId="17" xfId="0" applyBorder="1"/>
    <xf numFmtId="9" fontId="0" fillId="0" borderId="13" xfId="2" applyFont="1" applyBorder="1"/>
    <xf numFmtId="9" fontId="0" fillId="0" borderId="13" xfId="0" applyNumberFormat="1" applyBorder="1"/>
    <xf numFmtId="0" fontId="17" fillId="0" borderId="0" xfId="0" applyFont="1"/>
    <xf numFmtId="164" fontId="0" fillId="2" borderId="0" xfId="0" applyNumberFormat="1" applyFill="1"/>
    <xf numFmtId="43" fontId="0" fillId="2" borderId="0" xfId="1" applyFont="1" applyFill="1"/>
    <xf numFmtId="0" fontId="20" fillId="3" borderId="0" xfId="0" applyFont="1" applyFill="1" applyAlignment="1">
      <alignment horizontal="left" wrapText="1"/>
    </xf>
    <xf numFmtId="0" fontId="20" fillId="3" borderId="0" xfId="0" applyFont="1" applyFill="1" applyAlignment="1">
      <alignment horizontal="right" wrapText="1"/>
    </xf>
    <xf numFmtId="0" fontId="18" fillId="3" borderId="0" xfId="0" applyFont="1" applyFill="1" applyAlignment="1">
      <alignment horizontal="right" wrapText="1"/>
    </xf>
    <xf numFmtId="0" fontId="18" fillId="5" borderId="0" xfId="0" applyFont="1" applyFill="1" applyAlignment="1">
      <alignment horizontal="right" wrapText="1"/>
    </xf>
    <xf numFmtId="0" fontId="20" fillId="3" borderId="19" xfId="0" applyFont="1" applyFill="1" applyBorder="1" applyAlignment="1">
      <alignment horizontal="left" wrapText="1"/>
    </xf>
    <xf numFmtId="0" fontId="20" fillId="3" borderId="19" xfId="0" applyFont="1" applyFill="1" applyBorder="1" applyAlignment="1">
      <alignment horizontal="right" wrapText="1"/>
    </xf>
    <xf numFmtId="0" fontId="18" fillId="3" borderId="19" xfId="0" applyFont="1" applyFill="1" applyBorder="1" applyAlignment="1">
      <alignment horizontal="right" wrapText="1"/>
    </xf>
    <xf numFmtId="0" fontId="20" fillId="3" borderId="21" xfId="0" applyFont="1" applyFill="1" applyBorder="1" applyAlignment="1">
      <alignment horizontal="left" wrapText="1"/>
    </xf>
    <xf numFmtId="0" fontId="20" fillId="3" borderId="21" xfId="0" applyFont="1" applyFill="1" applyBorder="1" applyAlignment="1">
      <alignment horizontal="right" wrapText="1"/>
    </xf>
    <xf numFmtId="0" fontId="18" fillId="3" borderId="21" xfId="0" applyFont="1" applyFill="1" applyBorder="1" applyAlignment="1">
      <alignment horizontal="right" wrapText="1"/>
    </xf>
    <xf numFmtId="14" fontId="0" fillId="0" borderId="12" xfId="0" applyNumberFormat="1" applyBorder="1"/>
    <xf numFmtId="0" fontId="1" fillId="0" borderId="14" xfId="0" applyFont="1" applyBorder="1"/>
    <xf numFmtId="0" fontId="1" fillId="0" borderId="17" xfId="0" applyFont="1" applyBorder="1"/>
    <xf numFmtId="0" fontId="0" fillId="2" borderId="13" xfId="0" applyFill="1" applyBorder="1"/>
    <xf numFmtId="0" fontId="0" fillId="2" borderId="0" xfId="0" applyFill="1" applyBorder="1"/>
    <xf numFmtId="166" fontId="0" fillId="0" borderId="0" xfId="2" applyNumberFormat="1" applyFont="1" applyBorder="1"/>
    <xf numFmtId="0" fontId="0" fillId="2" borderId="15" xfId="0" applyFill="1" applyBorder="1"/>
    <xf numFmtId="0" fontId="16" fillId="0" borderId="0" xfId="0" applyFont="1"/>
    <xf numFmtId="0" fontId="0" fillId="0" borderId="22" xfId="0" applyBorder="1"/>
    <xf numFmtId="0" fontId="0" fillId="0" borderId="13" xfId="0" applyFill="1" applyBorder="1"/>
    <xf numFmtId="0" fontId="22" fillId="0" borderId="0" xfId="0" applyFont="1"/>
    <xf numFmtId="0" fontId="0" fillId="2" borderId="1" xfId="0" applyFill="1" applyBorder="1"/>
    <xf numFmtId="0" fontId="23" fillId="0" borderId="10" xfId="0" applyFont="1" applyBorder="1"/>
    <xf numFmtId="0" fontId="1" fillId="0" borderId="12" xfId="0" applyFont="1" applyBorder="1"/>
    <xf numFmtId="164" fontId="0" fillId="2" borderId="13" xfId="0" applyNumberFormat="1" applyFill="1" applyBorder="1"/>
    <xf numFmtId="165" fontId="0" fillId="2" borderId="13" xfId="0" applyNumberFormat="1" applyFill="1" applyBorder="1"/>
    <xf numFmtId="43" fontId="0" fillId="2" borderId="13" xfId="0" applyNumberFormat="1" applyFill="1" applyBorder="1"/>
    <xf numFmtId="43" fontId="0" fillId="2" borderId="15" xfId="1" applyFont="1" applyFill="1" applyBorder="1"/>
    <xf numFmtId="0" fontId="26" fillId="0" borderId="0" xfId="0" applyFont="1"/>
    <xf numFmtId="0" fontId="25" fillId="0" borderId="0" xfId="0" applyFont="1"/>
    <xf numFmtId="43" fontId="24" fillId="0" borderId="11" xfId="0" applyNumberFormat="1" applyFont="1" applyBorder="1"/>
    <xf numFmtId="43" fontId="0" fillId="0" borderId="13" xfId="0" applyNumberFormat="1" applyBorder="1"/>
    <xf numFmtId="0" fontId="0" fillId="0" borderId="13" xfId="0" applyNumberFormat="1" applyBorder="1"/>
    <xf numFmtId="0" fontId="27" fillId="0" borderId="10" xfId="0" applyFont="1" applyBorder="1"/>
    <xf numFmtId="0" fontId="27" fillId="0" borderId="12" xfId="0" applyFont="1" applyBorder="1"/>
    <xf numFmtId="10" fontId="0" fillId="2" borderId="0" xfId="2" applyNumberFormat="1" applyFont="1" applyFill="1"/>
    <xf numFmtId="0" fontId="18" fillId="5" borderId="0" xfId="0" applyFont="1" applyFill="1" applyAlignment="1">
      <alignment vertical="center" wrapText="1"/>
    </xf>
    <xf numFmtId="0" fontId="20" fillId="5" borderId="18" xfId="0" applyFont="1" applyFill="1" applyBorder="1" applyAlignment="1">
      <alignment horizontal="right" wrapText="1"/>
    </xf>
    <xf numFmtId="0" fontId="20" fillId="3" borderId="0" xfId="0" applyFont="1" applyFill="1" applyAlignment="1">
      <alignment horizontal="left" wrapText="1" indent="2"/>
    </xf>
    <xf numFmtId="0" fontId="18" fillId="3" borderId="0" xfId="0" applyFont="1" applyFill="1" applyAlignment="1">
      <alignment vertical="center" wrapText="1"/>
    </xf>
    <xf numFmtId="0" fontId="20" fillId="5" borderId="0" xfId="0" applyFont="1" applyFill="1" applyAlignment="1">
      <alignment horizontal="left" vertical="center" wrapText="1" indent="1"/>
    </xf>
    <xf numFmtId="0" fontId="18" fillId="5" borderId="19" xfId="0" applyFont="1" applyFill="1" applyBorder="1" applyAlignment="1">
      <alignment vertical="center" wrapText="1"/>
    </xf>
    <xf numFmtId="0" fontId="20" fillId="3" borderId="0" xfId="0" applyFont="1" applyFill="1" applyAlignment="1">
      <alignment horizontal="left" wrapText="1" indent="1"/>
    </xf>
    <xf numFmtId="0" fontId="20" fillId="3" borderId="0" xfId="0" applyFont="1" applyFill="1" applyAlignment="1">
      <alignment horizontal="right" wrapText="1"/>
    </xf>
    <xf numFmtId="14" fontId="20" fillId="5" borderId="0" xfId="0" applyNumberFormat="1" applyFont="1" applyFill="1" applyAlignment="1">
      <alignment horizontal="center" wrapText="1"/>
    </xf>
    <xf numFmtId="10" fontId="20" fillId="5" borderId="0" xfId="0" applyNumberFormat="1" applyFont="1" applyFill="1" applyAlignment="1">
      <alignment horizontal="center" wrapText="1"/>
    </xf>
    <xf numFmtId="0" fontId="20" fillId="5" borderId="0" xfId="0" applyFont="1" applyFill="1" applyAlignment="1">
      <alignment horizontal="right" wrapText="1"/>
    </xf>
    <xf numFmtId="0" fontId="20" fillId="3" borderId="0" xfId="0" applyFont="1" applyFill="1" applyAlignment="1">
      <alignment horizontal="left" vertical="center" wrapText="1" indent="1"/>
    </xf>
    <xf numFmtId="14" fontId="20" fillId="3" borderId="0" xfId="0" applyNumberFormat="1" applyFont="1" applyFill="1" applyAlignment="1">
      <alignment horizontal="center" wrapText="1"/>
    </xf>
    <xf numFmtId="10" fontId="20" fillId="3" borderId="0" xfId="0" applyNumberFormat="1" applyFont="1" applyFill="1" applyAlignment="1">
      <alignment horizontal="center" wrapText="1"/>
    </xf>
    <xf numFmtId="0" fontId="20" fillId="5" borderId="0" xfId="0" applyFont="1" applyFill="1" applyAlignment="1">
      <alignment horizontal="left" vertical="center" wrapText="1"/>
    </xf>
    <xf numFmtId="0" fontId="20" fillId="3" borderId="0" xfId="0" applyFont="1" applyFill="1" applyAlignment="1">
      <alignment horizontal="center" wrapText="1"/>
    </xf>
    <xf numFmtId="0" fontId="18" fillId="4" borderId="20" xfId="0" applyFont="1" applyFill="1" applyBorder="1" applyAlignment="1">
      <alignment vertical="center" wrapText="1"/>
    </xf>
    <xf numFmtId="0" fontId="19" fillId="3" borderId="20" xfId="0" applyFont="1" applyFill="1" applyBorder="1" applyAlignment="1">
      <alignment horizontal="center" wrapText="1"/>
    </xf>
    <xf numFmtId="0" fontId="18" fillId="4" borderId="0" xfId="0" applyFont="1" applyFill="1" applyAlignment="1">
      <alignment vertical="center" wrapText="1"/>
    </xf>
    <xf numFmtId="0" fontId="18" fillId="4" borderId="19" xfId="0" applyFont="1" applyFill="1" applyBorder="1" applyAlignment="1">
      <alignment vertical="center" wrapText="1"/>
    </xf>
    <xf numFmtId="0" fontId="19" fillId="4" borderId="19" xfId="0" applyFont="1" applyFill="1" applyBorder="1" applyAlignment="1">
      <alignment horizontal="center" wrapText="1"/>
    </xf>
    <xf numFmtId="0" fontId="18" fillId="4" borderId="18" xfId="0" applyFont="1" applyFill="1" applyBorder="1" applyAlignment="1">
      <alignment vertical="center" wrapText="1"/>
    </xf>
    <xf numFmtId="0" fontId="19" fillId="4" borderId="18" xfId="0" applyFont="1" applyFill="1" applyBorder="1" applyAlignment="1">
      <alignment horizontal="center" wrapText="1"/>
    </xf>
    <xf numFmtId="0" fontId="19" fillId="4" borderId="20" xfId="0" applyFont="1" applyFill="1" applyBorder="1" applyAlignment="1">
      <alignment horizontal="center" wrapText="1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pypl regression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Sheet1!$D$39:$D$55</c:f>
              <c:numCache>
                <c:formatCode>0.00%</c:formatCode>
                <c:ptCount val="17"/>
                <c:pt idx="0">
                  <c:v>-7.4000000000000003E-3</c:v>
                </c:pt>
                <c:pt idx="1">
                  <c:v>-2.93E-2</c:v>
                </c:pt>
                <c:pt idx="2">
                  <c:v>-1.6000000000000001E-3</c:v>
                </c:pt>
                <c:pt idx="3">
                  <c:v>-1.29E-2</c:v>
                </c:pt>
                <c:pt idx="4">
                  <c:v>2.5000000000000001E-2</c:v>
                </c:pt>
                <c:pt idx="5">
                  <c:v>8.2000000000000007E-3</c:v>
                </c:pt>
                <c:pt idx="6">
                  <c:v>-2.1100000000000001E-2</c:v>
                </c:pt>
                <c:pt idx="7">
                  <c:v>-3.0999999999999999E-3</c:v>
                </c:pt>
                <c:pt idx="8">
                  <c:v>-2.2700000000000001E-2</c:v>
                </c:pt>
                <c:pt idx="9">
                  <c:v>1.01E-2</c:v>
                </c:pt>
                <c:pt idx="10">
                  <c:v>6.8999999999999999E-3</c:v>
                </c:pt>
                <c:pt idx="11">
                  <c:v>2.4199999999999999E-2</c:v>
                </c:pt>
                <c:pt idx="12">
                  <c:v>-1.1599999999999999E-2</c:v>
                </c:pt>
                <c:pt idx="13">
                  <c:v>2.35E-2</c:v>
                </c:pt>
                <c:pt idx="14">
                  <c:v>-1.3899999999999999E-2</c:v>
                </c:pt>
                <c:pt idx="15">
                  <c:v>2.58E-2</c:v>
                </c:pt>
                <c:pt idx="16">
                  <c:v>3.8999999999999998E-3</c:v>
                </c:pt>
              </c:numCache>
            </c:numRef>
          </c:xVal>
          <c:yVal>
            <c:numRef>
              <c:f>Sheet1!$B$39:$B$55</c:f>
              <c:numCache>
                <c:formatCode>0.00%</c:formatCode>
                <c:ptCount val="17"/>
                <c:pt idx="0">
                  <c:v>0.01</c:v>
                </c:pt>
                <c:pt idx="1">
                  <c:v>-9.8599999999999993E-2</c:v>
                </c:pt>
                <c:pt idx="2">
                  <c:v>5.2999999999999999E-2</c:v>
                </c:pt>
                <c:pt idx="3">
                  <c:v>-4.07E-2</c:v>
                </c:pt>
                <c:pt idx="4">
                  <c:v>3.8899999999999997E-2</c:v>
                </c:pt>
                <c:pt idx="5">
                  <c:v>2.98E-2</c:v>
                </c:pt>
                <c:pt idx="6">
                  <c:v>-3.44E-2</c:v>
                </c:pt>
                <c:pt idx="7">
                  <c:v>-1.9300000000000001E-2</c:v>
                </c:pt>
                <c:pt idx="8">
                  <c:v>-0.15179999999999999</c:v>
                </c:pt>
                <c:pt idx="9">
                  <c:v>1.3599999999999999E-2</c:v>
                </c:pt>
                <c:pt idx="10">
                  <c:v>1.23E-2</c:v>
                </c:pt>
                <c:pt idx="11">
                  <c:v>7.9500000000000001E-2</c:v>
                </c:pt>
                <c:pt idx="12">
                  <c:v>8.9999999999999998E-4</c:v>
                </c:pt>
                <c:pt idx="13">
                  <c:v>-3.0999999999999999E-3</c:v>
                </c:pt>
                <c:pt idx="14">
                  <c:v>7.7000000000000002E-3</c:v>
                </c:pt>
                <c:pt idx="15">
                  <c:v>4.6300000000000001E-2</c:v>
                </c:pt>
                <c:pt idx="16">
                  <c:v>-7.3000000000000001E-3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8-443D-ACA9-0FC5BACC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3775"/>
        <c:axId val="480015919"/>
      </c:scatterChart>
      <c:valAx>
        <c:axId val="2827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0015919"/>
        <c:crosses val="autoZero"/>
        <c:crossBetween val="midCat"/>
      </c:valAx>
      <c:valAx>
        <c:axId val="4800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27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Charta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Charta Title</a:t>
          </a:r>
        </a:p>
      </cx:txPr>
    </cx:title>
    <cx:plotArea>
      <cx:plotAreaRegion>
        <cx:series layoutId="clusteredColumn" uniqueId="{C6A75797-690C-4EE2-8BFE-ACBA816506C9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3188013-60A6-43A7-A8B1-61CEA07BB079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37</xdr:row>
      <xdr:rowOff>138112</xdr:rowOff>
    </xdr:from>
    <xdr:to>
      <xdr:col>14</xdr:col>
      <xdr:colOff>481012</xdr:colOff>
      <xdr:row>49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2D090-C91B-4962-8A9A-D2602644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70</xdr:row>
      <xdr:rowOff>157162</xdr:rowOff>
    </xdr:from>
    <xdr:to>
      <xdr:col>12</xdr:col>
      <xdr:colOff>261937</xdr:colOff>
      <xdr:row>81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262B478-BB29-4BAC-B3A9-890A62E98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4187" y="14939962"/>
              <a:ext cx="45720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41"/>
  <sheetViews>
    <sheetView tabSelected="1" topLeftCell="A106" workbookViewId="0">
      <selection activeCell="G118" sqref="G118"/>
    </sheetView>
  </sheetViews>
  <sheetFormatPr defaultRowHeight="14.25"/>
  <cols>
    <col min="1" max="1" width="25.75" customWidth="1"/>
    <col min="2" max="2" width="18" customWidth="1"/>
    <col min="3" max="3" width="22.125" customWidth="1"/>
    <col min="4" max="4" width="23.25" customWidth="1"/>
    <col min="5" max="5" width="11.875" customWidth="1"/>
    <col min="6" max="6" width="10.75" customWidth="1"/>
    <col min="7" max="7" width="23.5" customWidth="1"/>
    <col min="8" max="8" width="16.25" customWidth="1"/>
    <col min="11" max="11" width="17.75" customWidth="1"/>
    <col min="13" max="13" width="12.625" customWidth="1"/>
    <col min="16" max="16" width="12" customWidth="1"/>
  </cols>
  <sheetData>
    <row r="2" spans="1:22">
      <c r="A2" t="s">
        <v>0</v>
      </c>
    </row>
    <row r="3" spans="1:22" ht="33.75">
      <c r="C3" t="s">
        <v>1</v>
      </c>
    </row>
    <row r="7" spans="1:22" ht="15" thickBot="1"/>
    <row r="8" spans="1:22" ht="15.75" thickBot="1">
      <c r="B8" s="1" t="s">
        <v>2</v>
      </c>
      <c r="F8" s="3">
        <v>4.6210000000000001E-2</v>
      </c>
    </row>
    <row r="14" spans="1:22" ht="26.25">
      <c r="V14" s="4" t="s">
        <v>3</v>
      </c>
    </row>
    <row r="17" spans="2:25">
      <c r="Y17" t="s">
        <v>4</v>
      </c>
    </row>
    <row r="18" spans="2:25">
      <c r="Y18" t="s">
        <v>5</v>
      </c>
    </row>
    <row r="21" spans="2:25" ht="23.25">
      <c r="V21" s="6" t="s">
        <v>7</v>
      </c>
      <c r="Y21" s="5" t="s">
        <v>6</v>
      </c>
    </row>
    <row r="22" spans="2:25">
      <c r="V22" t="s">
        <v>8</v>
      </c>
    </row>
    <row r="23" spans="2:25">
      <c r="V23" t="s">
        <v>9</v>
      </c>
    </row>
    <row r="31" spans="2:25" ht="30">
      <c r="B31" s="7" t="s">
        <v>10</v>
      </c>
    </row>
    <row r="34" spans="1:16" ht="63.75">
      <c r="A34" s="8" t="s">
        <v>11</v>
      </c>
      <c r="B34" s="9" t="s">
        <v>12</v>
      </c>
      <c r="C34" s="9" t="s">
        <v>13</v>
      </c>
      <c r="D34" s="9" t="s">
        <v>14</v>
      </c>
      <c r="E34" s="9" t="s">
        <v>15</v>
      </c>
      <c r="F34" s="9" t="s">
        <v>16</v>
      </c>
      <c r="G34" s="9" t="s">
        <v>17</v>
      </c>
      <c r="H34" s="9" t="s">
        <v>18</v>
      </c>
      <c r="I34" s="9" t="s">
        <v>19</v>
      </c>
      <c r="J34" s="9" t="s">
        <v>20</v>
      </c>
      <c r="K34" s="9" t="s">
        <v>21</v>
      </c>
      <c r="L34" s="9">
        <v>2019</v>
      </c>
      <c r="M34" s="9">
        <v>2020</v>
      </c>
      <c r="N34" s="9">
        <v>2021</v>
      </c>
      <c r="O34" s="9">
        <v>2022</v>
      </c>
      <c r="P34" s="9" t="s">
        <v>22</v>
      </c>
    </row>
    <row r="35" spans="1:16" ht="15.75">
      <c r="A35" s="10" t="s">
        <v>23</v>
      </c>
      <c r="B35" s="11">
        <v>223</v>
      </c>
      <c r="C35" s="11">
        <v>0.89</v>
      </c>
      <c r="D35" s="12">
        <v>10.044</v>
      </c>
      <c r="E35" s="12">
        <v>0.14610000000000001</v>
      </c>
      <c r="F35" s="11">
        <v>0.1</v>
      </c>
      <c r="G35" s="12">
        <v>2.24E-2</v>
      </c>
      <c r="H35" s="11">
        <v>0.11</v>
      </c>
      <c r="I35" s="11">
        <v>0.33779999999999999</v>
      </c>
      <c r="J35" s="12">
        <v>0.27150000000000002</v>
      </c>
      <c r="K35" s="12">
        <v>0.61670000000000003</v>
      </c>
      <c r="L35" s="11">
        <v>0.08</v>
      </c>
      <c r="M35" s="11">
        <v>0.1</v>
      </c>
      <c r="N35" s="13">
        <v>0.11</v>
      </c>
      <c r="O35" s="11">
        <v>0.15</v>
      </c>
      <c r="P35" s="14">
        <v>0.11</v>
      </c>
    </row>
    <row r="36" spans="1:16" ht="15">
      <c r="A36" s="1" t="s">
        <v>36</v>
      </c>
    </row>
    <row r="37" spans="1:16" ht="15">
      <c r="A37" s="1" t="s">
        <v>37</v>
      </c>
      <c r="B37" s="1" t="s">
        <v>38</v>
      </c>
      <c r="D37" s="1" t="s">
        <v>39</v>
      </c>
    </row>
    <row r="38" spans="1:16" ht="16.5">
      <c r="A38" s="15" t="s">
        <v>24</v>
      </c>
      <c r="B38" s="16" t="s">
        <v>25</v>
      </c>
      <c r="C38" s="15"/>
      <c r="D38" s="16" t="s">
        <v>25</v>
      </c>
    </row>
    <row r="39" spans="1:16" ht="16.5">
      <c r="A39" s="19" t="s">
        <v>26</v>
      </c>
      <c r="B39" s="18">
        <v>0.01</v>
      </c>
      <c r="C39" s="19" t="s">
        <v>26</v>
      </c>
      <c r="D39" s="18">
        <v>-7.4000000000000003E-3</v>
      </c>
    </row>
    <row r="40" spans="1:16" ht="16.5">
      <c r="A40" s="19" t="s">
        <v>27</v>
      </c>
      <c r="B40" s="18">
        <v>-9.8599999999999993E-2</v>
      </c>
      <c r="C40" s="19" t="s">
        <v>27</v>
      </c>
      <c r="D40" s="18">
        <v>-2.93E-2</v>
      </c>
    </row>
    <row r="41" spans="1:16" ht="16.5">
      <c r="A41" s="17">
        <v>45208</v>
      </c>
      <c r="B41" s="18">
        <v>5.2999999999999999E-2</v>
      </c>
      <c r="C41" s="17">
        <v>45208</v>
      </c>
      <c r="D41" s="18">
        <v>-1.6000000000000001E-3</v>
      </c>
    </row>
    <row r="42" spans="1:16" ht="16.5">
      <c r="A42" s="17">
        <v>44994</v>
      </c>
      <c r="B42" s="18">
        <v>-4.07E-2</v>
      </c>
      <c r="C42" s="17">
        <v>44994</v>
      </c>
      <c r="D42" s="18">
        <v>-1.29E-2</v>
      </c>
    </row>
    <row r="43" spans="1:16" ht="16.5">
      <c r="A43" s="19" t="s">
        <v>28</v>
      </c>
      <c r="B43" s="18">
        <v>3.8899999999999997E-2</v>
      </c>
      <c r="C43" s="19" t="s">
        <v>28</v>
      </c>
      <c r="D43" s="18">
        <v>2.5000000000000001E-2</v>
      </c>
      <c r="F43" s="1" t="s">
        <v>40</v>
      </c>
      <c r="H43" s="2">
        <f>SLOPE(B39:B55,D39:D55)</f>
        <v>2.3493883344090936</v>
      </c>
    </row>
    <row r="44" spans="1:16" ht="16.5">
      <c r="A44" s="19" t="s">
        <v>29</v>
      </c>
      <c r="B44" s="18">
        <v>2.98E-2</v>
      </c>
      <c r="C44" s="19" t="s">
        <v>29</v>
      </c>
      <c r="D44" s="18">
        <v>8.2000000000000007E-3</v>
      </c>
    </row>
    <row r="45" spans="1:16" ht="16.5">
      <c r="A45" s="19" t="s">
        <v>30</v>
      </c>
      <c r="B45" s="18">
        <v>-3.44E-2</v>
      </c>
      <c r="C45" s="19" t="s">
        <v>30</v>
      </c>
      <c r="D45" s="18">
        <v>-2.1100000000000001E-2</v>
      </c>
      <c r="F45" s="1" t="s">
        <v>41</v>
      </c>
      <c r="H45" s="2">
        <f>10417/20274</f>
        <v>0.51381079214757819</v>
      </c>
    </row>
    <row r="46" spans="1:16" ht="16.5">
      <c r="A46" s="17">
        <v>45085</v>
      </c>
      <c r="B46" s="18">
        <v>-1.9300000000000001E-2</v>
      </c>
      <c r="C46" s="17">
        <v>45085</v>
      </c>
      <c r="D46" s="18">
        <v>-3.0999999999999999E-3</v>
      </c>
    </row>
    <row r="47" spans="1:16" ht="16.5">
      <c r="A47" s="19" t="s">
        <v>31</v>
      </c>
      <c r="B47" s="18">
        <v>-0.15179999999999999</v>
      </c>
      <c r="C47" s="19" t="s">
        <v>31</v>
      </c>
      <c r="D47" s="18">
        <v>-2.2700000000000001E-2</v>
      </c>
    </row>
    <row r="48" spans="1:16" ht="16.5">
      <c r="A48" s="19" t="s">
        <v>32</v>
      </c>
      <c r="B48" s="18">
        <v>1.3599999999999999E-2</v>
      </c>
      <c r="C48" s="19" t="s">
        <v>32</v>
      </c>
      <c r="D48" s="18">
        <v>1.01E-2</v>
      </c>
      <c r="F48" s="1" t="s">
        <v>42</v>
      </c>
      <c r="H48" s="2">
        <f>C35/(1+(1-E35)*H45)</f>
        <v>0.61859552268372653</v>
      </c>
    </row>
    <row r="49" spans="1:16" ht="16.5">
      <c r="A49" s="19" t="s">
        <v>33</v>
      </c>
      <c r="B49" s="18">
        <v>1.23E-2</v>
      </c>
      <c r="C49" s="19" t="s">
        <v>33</v>
      </c>
      <c r="D49" s="18">
        <v>6.8999999999999999E-3</v>
      </c>
    </row>
    <row r="50" spans="1:16" ht="16.5">
      <c r="A50" s="17">
        <v>45176</v>
      </c>
      <c r="B50" s="18">
        <v>7.9500000000000001E-2</v>
      </c>
      <c r="C50" s="17">
        <v>45176</v>
      </c>
      <c r="D50" s="18">
        <v>2.4199999999999999E-2</v>
      </c>
      <c r="F50" s="1" t="s">
        <v>43</v>
      </c>
      <c r="H50" s="2">
        <f>7776/78717</f>
        <v>9.8784252448645152E-2</v>
      </c>
    </row>
    <row r="51" spans="1:16" ht="16.5">
      <c r="A51" s="17">
        <v>44964</v>
      </c>
      <c r="B51" s="18">
        <v>8.9999999999999998E-4</v>
      </c>
      <c r="C51" s="17">
        <v>44964</v>
      </c>
      <c r="D51" s="18">
        <v>-1.1599999999999999E-2</v>
      </c>
    </row>
    <row r="52" spans="1:16" ht="16.5">
      <c r="A52" s="19" t="s">
        <v>34</v>
      </c>
      <c r="B52" s="18">
        <v>-3.0999999999999999E-3</v>
      </c>
      <c r="C52" s="19" t="s">
        <v>34</v>
      </c>
      <c r="D52" s="18">
        <v>2.35E-2</v>
      </c>
      <c r="F52" s="1" t="s">
        <v>44</v>
      </c>
      <c r="H52" s="2">
        <f>H48*(1-H50)</f>
        <v>0.55748802640733564</v>
      </c>
    </row>
    <row r="53" spans="1:16" ht="16.5">
      <c r="A53" s="19" t="s">
        <v>35</v>
      </c>
      <c r="B53" s="18">
        <v>7.7000000000000002E-3</v>
      </c>
      <c r="C53" s="19" t="s">
        <v>35</v>
      </c>
      <c r="D53" s="18">
        <v>-1.3899999999999999E-2</v>
      </c>
    </row>
    <row r="54" spans="1:16" ht="16.5">
      <c r="A54" s="17">
        <v>45236</v>
      </c>
      <c r="B54" s="18">
        <v>4.6300000000000001E-2</v>
      </c>
      <c r="C54" s="17">
        <v>45236</v>
      </c>
      <c r="D54" s="18">
        <v>2.58E-2</v>
      </c>
    </row>
    <row r="55" spans="1:16" ht="16.5">
      <c r="A55" s="17">
        <v>45022</v>
      </c>
      <c r="B55" s="18">
        <v>-7.3000000000000001E-3</v>
      </c>
      <c r="C55" s="17">
        <v>45022</v>
      </c>
      <c r="D55" s="18">
        <v>3.8999999999999998E-3</v>
      </c>
    </row>
    <row r="58" spans="1:16" ht="15" thickBot="1"/>
    <row r="59" spans="1:16" ht="28.5" thickBot="1">
      <c r="A59" s="23" t="s">
        <v>47</v>
      </c>
      <c r="N59" s="24"/>
      <c r="P59" s="24"/>
    </row>
    <row r="65" spans="1:7">
      <c r="A65" t="s">
        <v>48</v>
      </c>
    </row>
    <row r="74" spans="1:7" ht="27" thickBot="1">
      <c r="A74" s="22" t="s">
        <v>45</v>
      </c>
      <c r="D74" s="1" t="s">
        <v>95</v>
      </c>
    </row>
    <row r="75" spans="1:7" ht="26.25">
      <c r="A75" s="22"/>
      <c r="E75" s="45" t="s">
        <v>92</v>
      </c>
      <c r="F75" s="46" t="s">
        <v>93</v>
      </c>
      <c r="G75" s="47" t="s">
        <v>94</v>
      </c>
    </row>
    <row r="76" spans="1:7" ht="26.25">
      <c r="A76" s="22"/>
      <c r="E76" s="41" t="s">
        <v>88</v>
      </c>
      <c r="F76" s="48">
        <v>15807</v>
      </c>
      <c r="G76" s="50">
        <f>F76/F79</f>
        <v>0.57442401337306492</v>
      </c>
    </row>
    <row r="77" spans="1:7" ht="18">
      <c r="A77" s="52" t="s">
        <v>96</v>
      </c>
      <c r="E77" s="41" t="s">
        <v>89</v>
      </c>
      <c r="F77" s="48">
        <v>2071</v>
      </c>
      <c r="G77" s="50">
        <f>F77/F79</f>
        <v>7.5259829929500685E-2</v>
      </c>
    </row>
    <row r="78" spans="1:7">
      <c r="E78" s="41" t="s">
        <v>90</v>
      </c>
      <c r="F78" s="48">
        <v>9640</v>
      </c>
      <c r="G78" s="50">
        <f>F78/F79</f>
        <v>0.35031615669743443</v>
      </c>
    </row>
    <row r="79" spans="1:7">
      <c r="A79" t="s">
        <v>46</v>
      </c>
      <c r="B79" s="21">
        <v>4.36E-2</v>
      </c>
      <c r="E79" s="41" t="s">
        <v>91</v>
      </c>
      <c r="F79" s="48">
        <v>27518</v>
      </c>
      <c r="G79" s="51">
        <f>G78+G77+G76</f>
        <v>1</v>
      </c>
    </row>
    <row r="80" spans="1:7" ht="15" thickBot="1">
      <c r="A80" t="s">
        <v>97</v>
      </c>
      <c r="E80" s="43"/>
      <c r="F80" s="49"/>
      <c r="G80" s="44"/>
    </row>
    <row r="82" spans="1:7" ht="23.25">
      <c r="A82" s="5"/>
    </row>
    <row r="84" spans="1:7" ht="27.75">
      <c r="A84" s="23" t="s">
        <v>49</v>
      </c>
      <c r="C84" s="37">
        <f>F8+(H52*B79)</f>
        <v>7.0516477951359832E-2</v>
      </c>
    </row>
    <row r="88" spans="1:7">
      <c r="G88" t="s">
        <v>87</v>
      </c>
    </row>
    <row r="90" spans="1:7" ht="23.25">
      <c r="A90" s="1"/>
      <c r="C90" s="5" t="s">
        <v>50</v>
      </c>
    </row>
    <row r="93" spans="1:7">
      <c r="A93" t="s">
        <v>51</v>
      </c>
    </row>
    <row r="95" spans="1:7">
      <c r="A95" t="s">
        <v>52</v>
      </c>
    </row>
    <row r="98" spans="1:4" ht="15">
      <c r="A98" s="1" t="s">
        <v>53</v>
      </c>
    </row>
    <row r="101" spans="1:4" ht="15">
      <c r="A101" s="25" t="s">
        <v>54</v>
      </c>
      <c r="B101" s="26"/>
      <c r="C101" s="27" t="s">
        <v>55</v>
      </c>
    </row>
    <row r="103" spans="1:4" ht="15">
      <c r="A103" s="28" t="s">
        <v>56</v>
      </c>
      <c r="B103" s="29">
        <v>3837</v>
      </c>
    </row>
    <row r="104" spans="1:4" ht="15">
      <c r="A104" s="28" t="s">
        <v>57</v>
      </c>
      <c r="B104" s="29">
        <v>304</v>
      </c>
    </row>
    <row r="105" spans="1:4">
      <c r="A105" s="29"/>
      <c r="B105" s="29"/>
    </row>
    <row r="106" spans="1:4" ht="15">
      <c r="A106" s="28" t="s">
        <v>58</v>
      </c>
      <c r="B106" s="29">
        <f>B103/B104</f>
        <v>12.621710526315789</v>
      </c>
    </row>
    <row r="109" spans="1:4" ht="15">
      <c r="A109" s="25" t="s">
        <v>59</v>
      </c>
      <c r="B109" s="30">
        <f>B106</f>
        <v>12.621710526315789</v>
      </c>
    </row>
    <row r="111" spans="1:4" ht="18.75">
      <c r="A111" s="31" t="s">
        <v>60</v>
      </c>
      <c r="B111" s="32" t="s">
        <v>61</v>
      </c>
      <c r="C111" s="32" t="s">
        <v>62</v>
      </c>
      <c r="D111" s="32" t="s">
        <v>63</v>
      </c>
    </row>
    <row r="112" spans="1:4" ht="18.75">
      <c r="A112" s="33">
        <v>-100000</v>
      </c>
      <c r="B112" s="34">
        <v>0.19999900000000001</v>
      </c>
      <c r="C112" s="35" t="s">
        <v>64</v>
      </c>
      <c r="D112" s="36">
        <v>0.2</v>
      </c>
    </row>
    <row r="113" spans="1:7" ht="18.75">
      <c r="A113" s="33">
        <v>0.2</v>
      </c>
      <c r="B113" s="34">
        <v>0.64999899999999999</v>
      </c>
      <c r="C113" s="35" t="s">
        <v>65</v>
      </c>
      <c r="D113" s="36">
        <v>0.17499999999999999</v>
      </c>
    </row>
    <row r="114" spans="1:7" ht="18.75">
      <c r="A114" s="33">
        <v>0.65</v>
      </c>
      <c r="B114" s="34">
        <v>0.79999900000000002</v>
      </c>
      <c r="C114" s="35" t="s">
        <v>66</v>
      </c>
      <c r="D114" s="36">
        <v>0.1578</v>
      </c>
    </row>
    <row r="115" spans="1:7" ht="18.75">
      <c r="A115" s="33">
        <v>0.8</v>
      </c>
      <c r="B115" s="34">
        <v>1.2499990000000001</v>
      </c>
      <c r="C115" s="35" t="s">
        <v>67</v>
      </c>
      <c r="D115" s="36">
        <v>0.1157</v>
      </c>
    </row>
    <row r="116" spans="1:7" ht="18.75">
      <c r="A116" s="33">
        <v>1.25</v>
      </c>
      <c r="B116" s="34">
        <v>1.4999990000000001</v>
      </c>
      <c r="C116" s="35" t="s">
        <v>68</v>
      </c>
      <c r="D116" s="36">
        <v>7.3700000000000002E-2</v>
      </c>
    </row>
    <row r="117" spans="1:7" ht="18.75">
      <c r="A117" s="33">
        <v>1.5</v>
      </c>
      <c r="B117" s="34">
        <v>1.7499990000000001</v>
      </c>
      <c r="C117" s="35" t="s">
        <v>69</v>
      </c>
      <c r="D117" s="36">
        <v>5.2600000000000001E-2</v>
      </c>
      <c r="G117" s="115">
        <f>15943425 * 196.94</f>
        <v>3139898119.5</v>
      </c>
    </row>
    <row r="118" spans="1:7" ht="18.75">
      <c r="A118" s="33">
        <v>1.75</v>
      </c>
      <c r="B118" s="34">
        <v>1.9999990000000001</v>
      </c>
      <c r="C118" s="35" t="s">
        <v>70</v>
      </c>
      <c r="D118" s="36">
        <v>4.5499999999999999E-2</v>
      </c>
    </row>
    <row r="119" spans="1:7" ht="18.75">
      <c r="A119" s="33">
        <v>2</v>
      </c>
      <c r="B119" s="34">
        <v>2.2499999000000002</v>
      </c>
      <c r="C119" s="35" t="s">
        <v>71</v>
      </c>
      <c r="D119" s="36">
        <v>3.1300000000000001E-2</v>
      </c>
    </row>
    <row r="120" spans="1:7" ht="18.75">
      <c r="A120" s="33">
        <v>2.25</v>
      </c>
      <c r="B120" s="34">
        <v>2.4999899999999999</v>
      </c>
      <c r="C120" s="35" t="s">
        <v>72</v>
      </c>
      <c r="D120" s="36">
        <v>2.4199999999999999E-2</v>
      </c>
    </row>
    <row r="121" spans="1:7" ht="18.75">
      <c r="A121" s="33">
        <v>2.5</v>
      </c>
      <c r="B121" s="34">
        <v>2.9999989999999999</v>
      </c>
      <c r="C121" s="35" t="s">
        <v>73</v>
      </c>
      <c r="D121" s="36">
        <v>0.02</v>
      </c>
    </row>
    <row r="122" spans="1:7" ht="18.75">
      <c r="A122" s="33">
        <v>3</v>
      </c>
      <c r="B122" s="34">
        <v>4.2499989999999999</v>
      </c>
      <c r="C122" s="35" t="s">
        <v>74</v>
      </c>
      <c r="D122" s="36">
        <v>1.6199999999999999E-2</v>
      </c>
    </row>
    <row r="123" spans="1:7" ht="18.75">
      <c r="A123" s="33">
        <v>4.25</v>
      </c>
      <c r="B123" s="34">
        <v>5.4999989999999999</v>
      </c>
      <c r="C123" s="35" t="s">
        <v>75</v>
      </c>
      <c r="D123" s="36">
        <v>1.4200000000000001E-2</v>
      </c>
    </row>
    <row r="124" spans="1:7" ht="18.75">
      <c r="A124" s="33">
        <v>5.5</v>
      </c>
      <c r="B124" s="34">
        <v>6.4999989999999999</v>
      </c>
      <c r="C124" s="35" t="s">
        <v>76</v>
      </c>
      <c r="D124" s="36">
        <v>1.23E-2</v>
      </c>
    </row>
    <row r="125" spans="1:7" ht="18.75">
      <c r="A125" s="33">
        <v>6.5</v>
      </c>
      <c r="B125" s="34">
        <v>8.4999990000000007</v>
      </c>
      <c r="C125" s="35" t="s">
        <v>77</v>
      </c>
      <c r="D125" s="36">
        <v>8.5000000000000006E-3</v>
      </c>
    </row>
    <row r="126" spans="1:7" ht="18.75">
      <c r="A126" s="33">
        <v>8.5</v>
      </c>
      <c r="B126" s="34">
        <v>100000</v>
      </c>
      <c r="C126" s="35" t="s">
        <v>78</v>
      </c>
      <c r="D126" s="36">
        <v>6.8999999999999999E-3</v>
      </c>
    </row>
    <row r="129" spans="1:6">
      <c r="A129" s="21">
        <f>D126</f>
        <v>6.8999999999999999E-3</v>
      </c>
    </row>
    <row r="132" spans="1:6" ht="15">
      <c r="A132" s="1" t="s">
        <v>79</v>
      </c>
      <c r="F132" s="53">
        <f>A129+0+F8</f>
        <v>5.3110000000000004E-2</v>
      </c>
    </row>
    <row r="135" spans="1:6" ht="30">
      <c r="A135" s="7" t="s">
        <v>80</v>
      </c>
    </row>
    <row r="137" spans="1:6" ht="15">
      <c r="A137" s="1" t="s">
        <v>81</v>
      </c>
      <c r="D137" s="54">
        <f>1131373298*58.56</f>
        <v>66253220330.880005</v>
      </c>
    </row>
    <row r="143" spans="1:6" ht="26.25">
      <c r="A143" s="22" t="s">
        <v>82</v>
      </c>
    </row>
    <row r="145" spans="1:24">
      <c r="E145" t="s">
        <v>98</v>
      </c>
    </row>
    <row r="148" spans="1:24">
      <c r="E148" t="s">
        <v>99</v>
      </c>
    </row>
    <row r="154" spans="1:24" ht="20.25" thickBot="1">
      <c r="A154" s="109"/>
      <c r="B154" s="109"/>
      <c r="C154" s="109"/>
      <c r="D154" s="112"/>
      <c r="E154" s="112"/>
      <c r="F154" s="112"/>
      <c r="G154" s="112"/>
      <c r="H154" s="112"/>
      <c r="I154" s="112"/>
      <c r="J154" s="112"/>
      <c r="K154" s="112"/>
      <c r="L154" s="112"/>
      <c r="M154" s="109"/>
      <c r="N154" s="109"/>
      <c r="O154" s="109"/>
      <c r="P154" s="113" t="s">
        <v>100</v>
      </c>
      <c r="Q154" s="113"/>
      <c r="R154" s="113"/>
      <c r="S154" s="113"/>
      <c r="T154" s="113"/>
      <c r="U154" s="113"/>
      <c r="V154" s="113"/>
      <c r="W154" s="113"/>
      <c r="X154" s="113"/>
    </row>
    <row r="155" spans="1:24" ht="20.25" thickBot="1">
      <c r="A155" s="109"/>
      <c r="B155" s="109"/>
      <c r="C155" s="109"/>
      <c r="D155" s="114" t="s">
        <v>101</v>
      </c>
      <c r="E155" s="114"/>
      <c r="F155" s="114"/>
      <c r="G155" s="110"/>
      <c r="H155" s="110"/>
      <c r="I155" s="110"/>
      <c r="J155" s="114" t="s">
        <v>102</v>
      </c>
      <c r="K155" s="114"/>
      <c r="L155" s="114"/>
      <c r="M155" s="109"/>
      <c r="N155" s="109"/>
      <c r="O155" s="109"/>
      <c r="P155" s="114">
        <v>2022</v>
      </c>
      <c r="Q155" s="114"/>
      <c r="R155" s="114"/>
      <c r="S155" s="107"/>
      <c r="T155" s="107"/>
      <c r="U155" s="107"/>
      <c r="V155" s="108">
        <v>2021</v>
      </c>
      <c r="W155" s="108"/>
      <c r="X155" s="108"/>
    </row>
    <row r="156" spans="1:24" ht="18.75">
      <c r="A156" s="109"/>
      <c r="B156" s="109"/>
      <c r="C156" s="109"/>
      <c r="D156" s="110"/>
      <c r="E156" s="110"/>
      <c r="F156" s="110"/>
      <c r="G156" s="109"/>
      <c r="H156" s="109"/>
      <c r="I156" s="109"/>
      <c r="J156" s="110"/>
      <c r="K156" s="110"/>
      <c r="L156" s="110"/>
      <c r="M156" s="109"/>
      <c r="N156" s="109"/>
      <c r="O156" s="109"/>
      <c r="P156" s="111" t="s">
        <v>103</v>
      </c>
      <c r="Q156" s="111"/>
      <c r="R156" s="111"/>
      <c r="S156" s="111"/>
      <c r="T156" s="111"/>
      <c r="U156" s="111"/>
      <c r="V156" s="111"/>
      <c r="W156" s="111"/>
      <c r="X156" s="111"/>
    </row>
    <row r="157" spans="1:24" ht="18.75">
      <c r="A157" s="105" t="s">
        <v>104</v>
      </c>
      <c r="B157" s="105"/>
      <c r="C157" s="105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</row>
    <row r="158" spans="1:24" ht="18.75">
      <c r="A158" s="102" t="s">
        <v>105</v>
      </c>
      <c r="B158" s="102"/>
      <c r="C158" s="102"/>
      <c r="D158" s="106" t="s">
        <v>106</v>
      </c>
      <c r="E158" s="106"/>
      <c r="F158" s="106"/>
      <c r="G158" s="94"/>
      <c r="H158" s="94"/>
      <c r="I158" s="94"/>
      <c r="J158" s="104">
        <v>2.3900000000000001E-2</v>
      </c>
      <c r="K158" s="104"/>
      <c r="L158" s="104"/>
      <c r="M158" s="94"/>
      <c r="N158" s="94"/>
      <c r="O158" s="94"/>
      <c r="P158" s="55" t="s">
        <v>107</v>
      </c>
      <c r="Q158" s="56" t="s">
        <v>108</v>
      </c>
      <c r="R158" s="57"/>
      <c r="S158" s="94"/>
      <c r="T158" s="94"/>
      <c r="U158" s="94"/>
      <c r="V158" s="55" t="s">
        <v>107</v>
      </c>
      <c r="W158" s="56" t="s">
        <v>109</v>
      </c>
      <c r="X158" s="57"/>
    </row>
    <row r="159" spans="1:24" ht="18.75">
      <c r="A159" s="95" t="s">
        <v>110</v>
      </c>
      <c r="B159" s="95"/>
      <c r="C159" s="95"/>
      <c r="D159" s="99">
        <v>45301</v>
      </c>
      <c r="E159" s="99"/>
      <c r="F159" s="99"/>
      <c r="G159" s="91"/>
      <c r="H159" s="91"/>
      <c r="I159" s="91"/>
      <c r="J159" s="100">
        <v>2.52E-2</v>
      </c>
      <c r="K159" s="100"/>
      <c r="L159" s="100"/>
      <c r="M159" s="91"/>
      <c r="N159" s="91"/>
      <c r="O159" s="91"/>
      <c r="P159" s="101" t="s">
        <v>111</v>
      </c>
      <c r="Q159" s="101"/>
      <c r="R159" s="58"/>
      <c r="S159" s="91"/>
      <c r="T159" s="91"/>
      <c r="U159" s="91"/>
      <c r="V159" s="101" t="s">
        <v>111</v>
      </c>
      <c r="W159" s="101"/>
      <c r="X159" s="58"/>
    </row>
    <row r="160" spans="1:24" ht="18.75">
      <c r="A160" s="102" t="s">
        <v>112</v>
      </c>
      <c r="B160" s="102"/>
      <c r="C160" s="102"/>
      <c r="D160" s="103">
        <v>46032</v>
      </c>
      <c r="E160" s="103"/>
      <c r="F160" s="103"/>
      <c r="G160" s="94"/>
      <c r="H160" s="94"/>
      <c r="I160" s="94"/>
      <c r="J160" s="104">
        <v>2.7799999999999998E-2</v>
      </c>
      <c r="K160" s="104"/>
      <c r="L160" s="104"/>
      <c r="M160" s="94"/>
      <c r="N160" s="94"/>
      <c r="O160" s="94"/>
      <c r="P160" s="98" t="s">
        <v>111</v>
      </c>
      <c r="Q160" s="98"/>
      <c r="R160" s="57"/>
      <c r="S160" s="94"/>
      <c r="T160" s="94"/>
      <c r="U160" s="94"/>
      <c r="V160" s="98" t="s">
        <v>111</v>
      </c>
      <c r="W160" s="98"/>
      <c r="X160" s="57"/>
    </row>
    <row r="161" spans="1:24" ht="18.75">
      <c r="A161" s="95" t="s">
        <v>113</v>
      </c>
      <c r="B161" s="95"/>
      <c r="C161" s="95"/>
      <c r="D161" s="99">
        <v>47128</v>
      </c>
      <c r="E161" s="99"/>
      <c r="F161" s="99"/>
      <c r="G161" s="91"/>
      <c r="H161" s="91"/>
      <c r="I161" s="91"/>
      <c r="J161" s="100">
        <v>2.9600000000000001E-2</v>
      </c>
      <c r="K161" s="100"/>
      <c r="L161" s="100"/>
      <c r="M161" s="91"/>
      <c r="N161" s="91"/>
      <c r="O161" s="91"/>
      <c r="P161" s="101" t="s">
        <v>114</v>
      </c>
      <c r="Q161" s="101"/>
      <c r="R161" s="58"/>
      <c r="S161" s="91"/>
      <c r="T161" s="91"/>
      <c r="U161" s="91"/>
      <c r="V161" s="101" t="s">
        <v>114</v>
      </c>
      <c r="W161" s="101"/>
      <c r="X161" s="58"/>
    </row>
    <row r="162" spans="1:24" ht="18.75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</row>
    <row r="163" spans="1:24" ht="18.75">
      <c r="A163" s="105" t="s">
        <v>115</v>
      </c>
      <c r="B163" s="105"/>
      <c r="C163" s="105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</row>
    <row r="164" spans="1:24" ht="18.75">
      <c r="A164" s="102" t="s">
        <v>116</v>
      </c>
      <c r="B164" s="102"/>
      <c r="C164" s="102"/>
      <c r="D164" s="103">
        <v>44932</v>
      </c>
      <c r="E164" s="103"/>
      <c r="F164" s="103"/>
      <c r="G164" s="94"/>
      <c r="H164" s="94"/>
      <c r="I164" s="94"/>
      <c r="J164" s="104">
        <v>1.55E-2</v>
      </c>
      <c r="K164" s="104"/>
      <c r="L164" s="104"/>
      <c r="M164" s="94"/>
      <c r="N164" s="94"/>
      <c r="O164" s="94"/>
      <c r="P164" s="98" t="s">
        <v>117</v>
      </c>
      <c r="Q164" s="98"/>
      <c r="R164" s="57"/>
      <c r="S164" s="94"/>
      <c r="T164" s="94"/>
      <c r="U164" s="94"/>
      <c r="V164" s="98" t="s">
        <v>109</v>
      </c>
      <c r="W164" s="98"/>
      <c r="X164" s="57"/>
    </row>
    <row r="165" spans="1:24" ht="18.75">
      <c r="A165" s="95" t="s">
        <v>118</v>
      </c>
      <c r="B165" s="95"/>
      <c r="C165" s="95"/>
      <c r="D165" s="99">
        <v>45663</v>
      </c>
      <c r="E165" s="99"/>
      <c r="F165" s="99"/>
      <c r="G165" s="91"/>
      <c r="H165" s="91"/>
      <c r="I165" s="91"/>
      <c r="J165" s="100">
        <v>1.78E-2</v>
      </c>
      <c r="K165" s="100"/>
      <c r="L165" s="100"/>
      <c r="M165" s="91"/>
      <c r="N165" s="91"/>
      <c r="O165" s="91"/>
      <c r="P165" s="101" t="s">
        <v>109</v>
      </c>
      <c r="Q165" s="101"/>
      <c r="R165" s="58"/>
      <c r="S165" s="91"/>
      <c r="T165" s="91"/>
      <c r="U165" s="91"/>
      <c r="V165" s="101" t="s">
        <v>109</v>
      </c>
      <c r="W165" s="101"/>
      <c r="X165" s="58"/>
    </row>
    <row r="166" spans="1:24" ht="18.75">
      <c r="A166" s="102" t="s">
        <v>119</v>
      </c>
      <c r="B166" s="102"/>
      <c r="C166" s="102"/>
      <c r="D166" s="103">
        <v>47489</v>
      </c>
      <c r="E166" s="103"/>
      <c r="F166" s="103"/>
      <c r="G166" s="94"/>
      <c r="H166" s="94"/>
      <c r="I166" s="94"/>
      <c r="J166" s="104">
        <v>2.3900000000000001E-2</v>
      </c>
      <c r="K166" s="104"/>
      <c r="L166" s="104"/>
      <c r="M166" s="94"/>
      <c r="N166" s="94"/>
      <c r="O166" s="94"/>
      <c r="P166" s="98" t="s">
        <v>109</v>
      </c>
      <c r="Q166" s="98"/>
      <c r="R166" s="57"/>
      <c r="S166" s="94"/>
      <c r="T166" s="94"/>
      <c r="U166" s="94"/>
      <c r="V166" s="98" t="s">
        <v>109</v>
      </c>
      <c r="W166" s="98"/>
      <c r="X166" s="57"/>
    </row>
    <row r="167" spans="1:24" ht="18.75">
      <c r="A167" s="95" t="s">
        <v>120</v>
      </c>
      <c r="B167" s="95"/>
      <c r="C167" s="95"/>
      <c r="D167" s="99">
        <v>54794</v>
      </c>
      <c r="E167" s="99"/>
      <c r="F167" s="99"/>
      <c r="G167" s="91"/>
      <c r="H167" s="91"/>
      <c r="I167" s="91"/>
      <c r="J167" s="100">
        <v>3.3300000000000003E-2</v>
      </c>
      <c r="K167" s="100"/>
      <c r="L167" s="100"/>
      <c r="M167" s="91"/>
      <c r="N167" s="91"/>
      <c r="O167" s="91"/>
      <c r="P167" s="101" t="s">
        <v>109</v>
      </c>
      <c r="Q167" s="101"/>
      <c r="R167" s="58"/>
      <c r="S167" s="91"/>
      <c r="T167" s="91"/>
      <c r="U167" s="91"/>
      <c r="V167" s="101" t="s">
        <v>109</v>
      </c>
      <c r="W167" s="101"/>
      <c r="X167" s="58"/>
    </row>
    <row r="168" spans="1:24" ht="18.75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</row>
    <row r="169" spans="1:24" ht="18.75">
      <c r="A169" s="105" t="s">
        <v>121</v>
      </c>
      <c r="B169" s="105"/>
      <c r="C169" s="105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</row>
    <row r="170" spans="1:24" ht="18.75">
      <c r="A170" s="102" t="s">
        <v>122</v>
      </c>
      <c r="B170" s="102"/>
      <c r="C170" s="102"/>
      <c r="D170" s="103">
        <v>46393</v>
      </c>
      <c r="E170" s="103"/>
      <c r="F170" s="103"/>
      <c r="G170" s="94"/>
      <c r="H170" s="94"/>
      <c r="I170" s="94"/>
      <c r="J170" s="104">
        <v>4.0599999999999997E-2</v>
      </c>
      <c r="K170" s="104"/>
      <c r="L170" s="104"/>
      <c r="M170" s="94"/>
      <c r="N170" s="94"/>
      <c r="O170" s="94"/>
      <c r="P170" s="98" t="s">
        <v>123</v>
      </c>
      <c r="Q170" s="98"/>
      <c r="R170" s="57"/>
      <c r="S170" s="94"/>
      <c r="T170" s="94"/>
      <c r="U170" s="94"/>
      <c r="V170" s="98" t="s">
        <v>108</v>
      </c>
      <c r="W170" s="98"/>
      <c r="X170" s="57"/>
    </row>
    <row r="171" spans="1:24" ht="18.75">
      <c r="A171" s="95" t="s">
        <v>124</v>
      </c>
      <c r="B171" s="95"/>
      <c r="C171" s="95"/>
      <c r="D171" s="99">
        <v>48219</v>
      </c>
      <c r="E171" s="99"/>
      <c r="F171" s="99"/>
      <c r="G171" s="91"/>
      <c r="H171" s="91"/>
      <c r="I171" s="91"/>
      <c r="J171" s="100">
        <v>4.53E-2</v>
      </c>
      <c r="K171" s="100"/>
      <c r="L171" s="100"/>
      <c r="M171" s="91"/>
      <c r="N171" s="91"/>
      <c r="O171" s="91"/>
      <c r="P171" s="101" t="s">
        <v>109</v>
      </c>
      <c r="Q171" s="101"/>
      <c r="R171" s="58"/>
      <c r="S171" s="91"/>
      <c r="T171" s="91"/>
      <c r="U171" s="91"/>
      <c r="V171" s="101" t="s">
        <v>108</v>
      </c>
      <c r="W171" s="101"/>
      <c r="X171" s="58"/>
    </row>
    <row r="172" spans="1:24" ht="18.75">
      <c r="A172" s="102" t="s">
        <v>125</v>
      </c>
      <c r="B172" s="102"/>
      <c r="C172" s="102"/>
      <c r="D172" s="103">
        <v>55524</v>
      </c>
      <c r="E172" s="103"/>
      <c r="F172" s="103"/>
      <c r="G172" s="94"/>
      <c r="H172" s="94"/>
      <c r="I172" s="94"/>
      <c r="J172" s="104">
        <v>5.1400000000000001E-2</v>
      </c>
      <c r="K172" s="104"/>
      <c r="L172" s="104"/>
      <c r="M172" s="94"/>
      <c r="N172" s="94"/>
      <c r="O172" s="94"/>
      <c r="P172" s="98" t="s">
        <v>109</v>
      </c>
      <c r="Q172" s="98"/>
      <c r="R172" s="57"/>
      <c r="S172" s="94"/>
      <c r="T172" s="94"/>
      <c r="U172" s="94"/>
      <c r="V172" s="98" t="s">
        <v>108</v>
      </c>
      <c r="W172" s="98"/>
      <c r="X172" s="57"/>
    </row>
    <row r="173" spans="1:24" ht="19.5" thickBot="1">
      <c r="A173" s="95" t="s">
        <v>126</v>
      </c>
      <c r="B173" s="95"/>
      <c r="C173" s="95"/>
      <c r="D173" s="99">
        <v>59177</v>
      </c>
      <c r="E173" s="99"/>
      <c r="F173" s="99"/>
      <c r="G173" s="91"/>
      <c r="H173" s="91"/>
      <c r="I173" s="91"/>
      <c r="J173" s="100">
        <v>5.3400000000000003E-2</v>
      </c>
      <c r="K173" s="100"/>
      <c r="L173" s="100"/>
      <c r="M173" s="91"/>
      <c r="N173" s="91"/>
      <c r="O173" s="91"/>
      <c r="P173" s="92" t="s">
        <v>123</v>
      </c>
      <c r="Q173" s="92"/>
      <c r="R173" s="58"/>
      <c r="S173" s="91"/>
      <c r="T173" s="91"/>
      <c r="U173" s="91"/>
      <c r="V173" s="92" t="s">
        <v>108</v>
      </c>
      <c r="W173" s="92"/>
      <c r="X173" s="58"/>
    </row>
    <row r="174" spans="1:24" ht="19.5" thickBot="1">
      <c r="A174" s="93" t="s">
        <v>127</v>
      </c>
      <c r="B174" s="93"/>
      <c r="C174" s="93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59" t="s">
        <v>107</v>
      </c>
      <c r="Q174" s="60" t="s">
        <v>128</v>
      </c>
      <c r="R174" s="61"/>
      <c r="S174" s="94"/>
      <c r="T174" s="94"/>
      <c r="U174" s="94"/>
      <c r="V174" s="59" t="s">
        <v>107</v>
      </c>
      <c r="W174" s="60" t="s">
        <v>129</v>
      </c>
      <c r="X174" s="61"/>
    </row>
    <row r="175" spans="1:24" ht="18.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6"/>
      <c r="Q175" s="96"/>
      <c r="R175" s="96"/>
      <c r="S175" s="91"/>
      <c r="T175" s="91"/>
      <c r="U175" s="91"/>
      <c r="V175" s="96"/>
      <c r="W175" s="96"/>
      <c r="X175" s="96"/>
    </row>
    <row r="176" spans="1:24" ht="18.75">
      <c r="A176" s="97" t="s">
        <v>130</v>
      </c>
      <c r="B176" s="97"/>
      <c r="C176" s="97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8">
        <v>-74</v>
      </c>
      <c r="Q176" s="98"/>
      <c r="R176" s="57"/>
      <c r="S176" s="94"/>
      <c r="T176" s="94"/>
      <c r="U176" s="94"/>
      <c r="V176" s="98">
        <v>-50</v>
      </c>
      <c r="W176" s="98"/>
      <c r="X176" s="57"/>
    </row>
    <row r="177" spans="1:24" ht="19.5" thickBot="1">
      <c r="A177" s="95" t="s">
        <v>131</v>
      </c>
      <c r="B177" s="95"/>
      <c r="C177" s="95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2">
        <v>-418</v>
      </c>
      <c r="Q177" s="92"/>
      <c r="R177" s="58"/>
      <c r="S177" s="91"/>
      <c r="T177" s="91"/>
      <c r="U177" s="91"/>
      <c r="V177" s="92">
        <v>-999</v>
      </c>
      <c r="W177" s="92"/>
      <c r="X177" s="58"/>
    </row>
    <row r="178" spans="1:24" ht="19.5" thickBot="1">
      <c r="A178" s="93" t="s">
        <v>132</v>
      </c>
      <c r="B178" s="93"/>
      <c r="C178" s="93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62" t="s">
        <v>107</v>
      </c>
      <c r="Q178" s="63" t="s">
        <v>133</v>
      </c>
      <c r="R178" s="64"/>
      <c r="S178" s="94"/>
      <c r="T178" s="94"/>
      <c r="U178" s="94"/>
      <c r="V178" s="62" t="s">
        <v>107</v>
      </c>
      <c r="W178" s="63" t="s">
        <v>134</v>
      </c>
      <c r="X178" s="64"/>
    </row>
    <row r="179" spans="1:24" ht="15" thickTop="1"/>
    <row r="182" spans="1:24" ht="15" thickBot="1">
      <c r="M182">
        <f>1250+1250+1500+418+3000+500+2000+500</f>
        <v>10418</v>
      </c>
    </row>
    <row r="183" spans="1:24" ht="15">
      <c r="A183" s="45" t="s">
        <v>135</v>
      </c>
      <c r="B183" s="46" t="s">
        <v>136</v>
      </c>
      <c r="C183" s="46" t="s">
        <v>137</v>
      </c>
      <c r="D183" s="46" t="s">
        <v>138</v>
      </c>
      <c r="E183" s="40"/>
    </row>
    <row r="184" spans="1:24">
      <c r="A184" s="41" t="s">
        <v>139</v>
      </c>
      <c r="B184" s="48" t="s">
        <v>48</v>
      </c>
      <c r="C184" s="48"/>
      <c r="D184" s="48"/>
      <c r="E184" s="42"/>
    </row>
    <row r="185" spans="1:24" ht="15">
      <c r="A185" s="65">
        <v>45301</v>
      </c>
      <c r="B185" s="48">
        <v>1250</v>
      </c>
      <c r="C185" s="70">
        <f>B185/10418</f>
        <v>0.11998464196582838</v>
      </c>
      <c r="D185" s="68">
        <v>1</v>
      </c>
      <c r="E185" s="42">
        <f>D185*C185</f>
        <v>0.11998464196582838</v>
      </c>
      <c r="F185" s="1" t="s">
        <v>141</v>
      </c>
      <c r="G185" s="2" t="s">
        <v>142</v>
      </c>
    </row>
    <row r="186" spans="1:24">
      <c r="A186" s="65">
        <v>46032</v>
      </c>
      <c r="B186" s="48">
        <v>1250</v>
      </c>
      <c r="C186" s="70">
        <f>B186/10418</f>
        <v>0.11998464196582838</v>
      </c>
      <c r="D186" s="69">
        <v>3</v>
      </c>
      <c r="E186" s="42">
        <f t="shared" ref="E186:E195" si="0">D186*C186</f>
        <v>0.35995392589748515</v>
      </c>
    </row>
    <row r="187" spans="1:24">
      <c r="A187" s="65">
        <v>47128</v>
      </c>
      <c r="B187" s="48">
        <v>1500</v>
      </c>
      <c r="C187" s="70">
        <f>B187/10418</f>
        <v>0.14398157035899406</v>
      </c>
      <c r="D187" s="69">
        <f>29-23</f>
        <v>6</v>
      </c>
      <c r="E187" s="42">
        <f t="shared" si="0"/>
        <v>0.86388942215396436</v>
      </c>
    </row>
    <row r="188" spans="1:24">
      <c r="A188" s="65">
        <v>44932</v>
      </c>
      <c r="B188" s="48">
        <v>418</v>
      </c>
      <c r="C188" s="70">
        <f t="shared" ref="C188:C195" si="1">B188/10418</f>
        <v>4.0122864273373006E-2</v>
      </c>
      <c r="D188" s="69" t="s">
        <v>48</v>
      </c>
      <c r="E188" s="42"/>
    </row>
    <row r="189" spans="1:24">
      <c r="A189" s="65">
        <v>45663</v>
      </c>
      <c r="B189" s="48">
        <v>1000</v>
      </c>
      <c r="C189" s="70">
        <f t="shared" si="1"/>
        <v>9.5987713572662697E-2</v>
      </c>
      <c r="D189" s="69">
        <v>2</v>
      </c>
      <c r="E189" s="42">
        <f t="shared" si="0"/>
        <v>0.19197542714532539</v>
      </c>
    </row>
    <row r="190" spans="1:24">
      <c r="A190" s="65">
        <v>47489</v>
      </c>
      <c r="B190" s="48">
        <v>1000</v>
      </c>
      <c r="C190" s="70">
        <f t="shared" si="1"/>
        <v>9.5987713572662697E-2</v>
      </c>
      <c r="D190" s="69">
        <v>7</v>
      </c>
      <c r="E190" s="42">
        <f t="shared" si="0"/>
        <v>0.67191399500863891</v>
      </c>
    </row>
    <row r="191" spans="1:24">
      <c r="A191" s="65">
        <v>54794</v>
      </c>
      <c r="B191" s="48">
        <v>1000</v>
      </c>
      <c r="C191" s="70">
        <f t="shared" si="1"/>
        <v>9.5987713572662697E-2</v>
      </c>
      <c r="D191" s="69">
        <f>50-23</f>
        <v>27</v>
      </c>
      <c r="E191" s="42">
        <f t="shared" si="0"/>
        <v>2.5916682664618929</v>
      </c>
    </row>
    <row r="192" spans="1:24">
      <c r="A192" s="65">
        <v>46393</v>
      </c>
      <c r="B192" s="48">
        <v>500</v>
      </c>
      <c r="C192" s="70">
        <f t="shared" si="1"/>
        <v>4.7993856786331349E-2</v>
      </c>
      <c r="D192" s="69">
        <f>27-23</f>
        <v>4</v>
      </c>
      <c r="E192" s="42">
        <f t="shared" si="0"/>
        <v>0.19197542714532539</v>
      </c>
    </row>
    <row r="193" spans="1:7">
      <c r="A193" s="65">
        <v>48219</v>
      </c>
      <c r="B193" s="48">
        <v>1000</v>
      </c>
      <c r="C193" s="70">
        <f t="shared" si="1"/>
        <v>9.5987713572662697E-2</v>
      </c>
      <c r="D193" s="69">
        <f>32-23</f>
        <v>9</v>
      </c>
      <c r="E193" s="42">
        <f t="shared" si="0"/>
        <v>0.86388942215396425</v>
      </c>
    </row>
    <row r="194" spans="1:7">
      <c r="A194" s="65">
        <v>55524</v>
      </c>
      <c r="B194" s="48">
        <v>1000</v>
      </c>
      <c r="C194" s="70">
        <f t="shared" si="1"/>
        <v>9.5987713572662697E-2</v>
      </c>
      <c r="D194" s="69">
        <f>52-23</f>
        <v>29</v>
      </c>
      <c r="E194" s="42">
        <f t="shared" si="0"/>
        <v>2.7836436936072184</v>
      </c>
    </row>
    <row r="195" spans="1:7">
      <c r="A195" s="65">
        <v>59177</v>
      </c>
      <c r="B195" s="48">
        <v>500</v>
      </c>
      <c r="C195" s="70">
        <f t="shared" si="1"/>
        <v>4.7993856786331349E-2</v>
      </c>
      <c r="D195" s="69">
        <f>62-23</f>
        <v>39</v>
      </c>
      <c r="E195" s="42">
        <f t="shared" si="0"/>
        <v>1.8717604146669227</v>
      </c>
    </row>
    <row r="196" spans="1:7" ht="15.75" thickBot="1">
      <c r="A196" s="66" t="s">
        <v>140</v>
      </c>
      <c r="B196" s="67">
        <f>SUM(B185:B195)</f>
        <v>10418</v>
      </c>
      <c r="C196" s="67">
        <f>SUM(C185:C195)</f>
        <v>1</v>
      </c>
      <c r="D196" s="49"/>
      <c r="E196" s="71">
        <f>SUM(E185:E195)</f>
        <v>10.510654636206567</v>
      </c>
    </row>
    <row r="200" spans="1:7" ht="15">
      <c r="A200" t="s">
        <v>83</v>
      </c>
      <c r="B200" s="2">
        <v>10417</v>
      </c>
    </row>
    <row r="202" spans="1:7" ht="15">
      <c r="A202" t="s">
        <v>84</v>
      </c>
      <c r="B202" s="2">
        <v>304</v>
      </c>
      <c r="G202">
        <f>9/(1+2)^2</f>
        <v>1</v>
      </c>
    </row>
    <row r="204" spans="1:7" ht="15">
      <c r="A204" s="1" t="s">
        <v>85</v>
      </c>
      <c r="B204" s="38">
        <f>F132</f>
        <v>5.3110000000000004E-2</v>
      </c>
    </row>
    <row r="206" spans="1:7" ht="15">
      <c r="A206" s="1" t="s">
        <v>86</v>
      </c>
      <c r="B206" s="2" t="s">
        <v>143</v>
      </c>
    </row>
    <row r="211" spans="1:11" ht="20.25">
      <c r="A211" s="72" t="s">
        <v>144</v>
      </c>
    </row>
    <row r="212" spans="1:11" ht="20.25">
      <c r="A212" s="72"/>
    </row>
    <row r="213" spans="1:11" ht="15" thickBot="1">
      <c r="C213" t="s">
        <v>145</v>
      </c>
      <c r="D213" t="s">
        <v>146</v>
      </c>
    </row>
    <row r="214" spans="1:11" ht="15" thickBot="1">
      <c r="C214" s="39">
        <v>1</v>
      </c>
      <c r="D214" s="40">
        <f>304/(1+0.05311)^C214</f>
        <v>288.66880003038619</v>
      </c>
    </row>
    <row r="215" spans="1:11" ht="15" thickBot="1">
      <c r="B215" t="s">
        <v>148</v>
      </c>
      <c r="C215" s="41">
        <v>2</v>
      </c>
      <c r="D215" s="40">
        <f>304/(1+0.05311)^C215</f>
        <v>274.11077668086546</v>
      </c>
    </row>
    <row r="216" spans="1:11" ht="15" thickBot="1">
      <c r="C216" s="41">
        <v>3</v>
      </c>
      <c r="D216" s="40">
        <f>304/(1+0.05311)^C216</f>
        <v>260.28693743375851</v>
      </c>
    </row>
    <row r="217" spans="1:11" ht="15" thickBot="1">
      <c r="B217" t="s">
        <v>148</v>
      </c>
      <c r="C217" s="41">
        <v>4</v>
      </c>
      <c r="D217" s="40">
        <f>304/(1+0.05311)^C217</f>
        <v>247.16025622561611</v>
      </c>
    </row>
    <row r="218" spans="1:11" ht="21" thickBot="1">
      <c r="C218" s="41">
        <v>5</v>
      </c>
      <c r="D218" s="40">
        <f t="shared" ref="D218:D224" si="2">304/(1+0.05311)^C218</f>
        <v>234.69557427582694</v>
      </c>
      <c r="F218" s="72" t="s">
        <v>149</v>
      </c>
      <c r="H218" s="76">
        <f>D225+B200</f>
        <v>12901.407998548035</v>
      </c>
      <c r="I218" t="s">
        <v>150</v>
      </c>
      <c r="K218">
        <f>H218*1000000</f>
        <v>12901407998.548035</v>
      </c>
    </row>
    <row r="219" spans="1:11" ht="15" thickBot="1">
      <c r="C219" s="41">
        <v>6</v>
      </c>
      <c r="D219" s="40">
        <f t="shared" si="2"/>
        <v>222.85950591659653</v>
      </c>
    </row>
    <row r="220" spans="1:11" ht="28.5" thickBot="1">
      <c r="C220" s="41">
        <v>7</v>
      </c>
      <c r="D220" s="40">
        <f t="shared" si="2"/>
        <v>211.62034917206799</v>
      </c>
      <c r="F220" s="23"/>
    </row>
    <row r="221" spans="1:11" ht="15" thickBot="1">
      <c r="C221" s="41">
        <v>8</v>
      </c>
      <c r="D221" s="40">
        <f t="shared" si="2"/>
        <v>200.94800084707961</v>
      </c>
    </row>
    <row r="222" spans="1:11" ht="15" thickBot="1">
      <c r="C222" s="41">
        <v>9</v>
      </c>
      <c r="D222" s="40">
        <f t="shared" si="2"/>
        <v>190.81387589812994</v>
      </c>
    </row>
    <row r="223" spans="1:11" ht="15" thickBot="1">
      <c r="C223" s="41">
        <v>10</v>
      </c>
      <c r="D223" s="40">
        <f t="shared" si="2"/>
        <v>181.19083087059278</v>
      </c>
    </row>
    <row r="224" spans="1:11" ht="15" thickBot="1">
      <c r="C224" s="43">
        <v>11</v>
      </c>
      <c r="D224" s="73">
        <f t="shared" si="2"/>
        <v>172.05309119711404</v>
      </c>
    </row>
    <row r="225" spans="1:5" ht="15">
      <c r="C225" s="1" t="s">
        <v>147</v>
      </c>
      <c r="D225" s="74">
        <f>SUM(D214:D224)</f>
        <v>2484.4079985480344</v>
      </c>
    </row>
    <row r="229" spans="1:5" ht="15" thickBot="1"/>
    <row r="230" spans="1:5" ht="27.75">
      <c r="A230" s="77" t="s">
        <v>151</v>
      </c>
      <c r="B230" s="40"/>
      <c r="C230" s="88" t="s">
        <v>157</v>
      </c>
      <c r="D230" s="85">
        <f>B236</f>
        <v>66253220330.880005</v>
      </c>
      <c r="E230" s="83"/>
    </row>
    <row r="231" spans="1:5">
      <c r="A231" s="41"/>
      <c r="B231" s="42"/>
      <c r="C231" s="89" t="s">
        <v>159</v>
      </c>
      <c r="D231" s="86">
        <f>B238</f>
        <v>12901407998.548035</v>
      </c>
    </row>
    <row r="232" spans="1:5" ht="20.25">
      <c r="A232" s="78" t="s">
        <v>152</v>
      </c>
      <c r="B232" s="79">
        <f>F132</f>
        <v>5.3110000000000004E-2</v>
      </c>
      <c r="C232" s="89" t="s">
        <v>158</v>
      </c>
      <c r="D232" s="86">
        <f>D231+D230</f>
        <v>79154628329.42804</v>
      </c>
      <c r="E232" s="84"/>
    </row>
    <row r="233" spans="1:5">
      <c r="A233" s="41"/>
      <c r="B233" s="42"/>
      <c r="C233" s="89" t="s">
        <v>160</v>
      </c>
      <c r="D233" s="87">
        <f>B234</f>
        <v>7.0516477951359832E-2</v>
      </c>
    </row>
    <row r="234" spans="1:5" ht="20.25">
      <c r="A234" s="78" t="s">
        <v>153</v>
      </c>
      <c r="B234" s="80">
        <f>C84</f>
        <v>7.0516477951359832E-2</v>
      </c>
      <c r="C234" s="89" t="s">
        <v>161</v>
      </c>
      <c r="D234" s="87">
        <f>B232</f>
        <v>5.3110000000000004E-2</v>
      </c>
      <c r="E234" s="84"/>
    </row>
    <row r="235" spans="1:5">
      <c r="A235" s="41"/>
      <c r="B235" s="42"/>
      <c r="C235" s="89" t="s">
        <v>162</v>
      </c>
      <c r="D235" s="87">
        <v>0.21</v>
      </c>
    </row>
    <row r="236" spans="1:5" ht="15">
      <c r="A236" s="78" t="s">
        <v>154</v>
      </c>
      <c r="B236" s="81">
        <f>D137</f>
        <v>66253220330.880005</v>
      </c>
      <c r="C236" s="41"/>
      <c r="D236" s="42"/>
    </row>
    <row r="237" spans="1:5">
      <c r="A237" s="41"/>
      <c r="B237" s="42"/>
      <c r="C237" s="41"/>
      <c r="D237" s="42"/>
    </row>
    <row r="238" spans="1:5" ht="15.75" thickBot="1">
      <c r="A238" s="66" t="s">
        <v>155</v>
      </c>
      <c r="B238" s="82">
        <f>K218</f>
        <v>12901407998.548035</v>
      </c>
      <c r="C238" s="43"/>
      <c r="D238" s="44"/>
    </row>
    <row r="241" spans="1:2" ht="54" customHeight="1">
      <c r="A241" s="75" t="s">
        <v>156</v>
      </c>
      <c r="B241" s="90">
        <f>((D230/D232)*D233)+((D231/D232)*D234*(1-D235))</f>
        <v>6.5861554099233749E-2</v>
      </c>
    </row>
  </sheetData>
  <mergeCells count="188">
    <mergeCell ref="S155:U155"/>
    <mergeCell ref="V155:X155"/>
    <mergeCell ref="A156:C156"/>
    <mergeCell ref="D156:F156"/>
    <mergeCell ref="G156:I156"/>
    <mergeCell ref="J156:L156"/>
    <mergeCell ref="M156:O156"/>
    <mergeCell ref="P156:X156"/>
    <mergeCell ref="A154:C154"/>
    <mergeCell ref="D154:L154"/>
    <mergeCell ref="M154:O154"/>
    <mergeCell ref="P154:X154"/>
    <mergeCell ref="A155:C155"/>
    <mergeCell ref="D155:F155"/>
    <mergeCell ref="G155:I155"/>
    <mergeCell ref="J155:L155"/>
    <mergeCell ref="M155:O155"/>
    <mergeCell ref="P155:R155"/>
    <mergeCell ref="S157:U157"/>
    <mergeCell ref="V157:X157"/>
    <mergeCell ref="A158:C158"/>
    <mergeCell ref="D158:F158"/>
    <mergeCell ref="G158:I158"/>
    <mergeCell ref="J158:L158"/>
    <mergeCell ref="M158:O158"/>
    <mergeCell ref="S158:U158"/>
    <mergeCell ref="A157:C157"/>
    <mergeCell ref="D157:F157"/>
    <mergeCell ref="G157:I157"/>
    <mergeCell ref="J157:L157"/>
    <mergeCell ref="M157:O157"/>
    <mergeCell ref="P157:R157"/>
    <mergeCell ref="S159:U159"/>
    <mergeCell ref="V159:W159"/>
    <mergeCell ref="A160:C160"/>
    <mergeCell ref="D160:F160"/>
    <mergeCell ref="G160:I160"/>
    <mergeCell ref="J160:L160"/>
    <mergeCell ref="M160:O160"/>
    <mergeCell ref="P160:Q160"/>
    <mergeCell ref="S160:U160"/>
    <mergeCell ref="V160:W160"/>
    <mergeCell ref="A159:C159"/>
    <mergeCell ref="D159:F159"/>
    <mergeCell ref="G159:I159"/>
    <mergeCell ref="J159:L159"/>
    <mergeCell ref="M159:O159"/>
    <mergeCell ref="P159:Q159"/>
    <mergeCell ref="S161:U161"/>
    <mergeCell ref="V161:W161"/>
    <mergeCell ref="A162:C162"/>
    <mergeCell ref="D162:F162"/>
    <mergeCell ref="G162:I162"/>
    <mergeCell ref="J162:L162"/>
    <mergeCell ref="M162:O162"/>
    <mergeCell ref="P162:R162"/>
    <mergeCell ref="S162:U162"/>
    <mergeCell ref="V162:X162"/>
    <mergeCell ref="A161:C161"/>
    <mergeCell ref="D161:F161"/>
    <mergeCell ref="G161:I161"/>
    <mergeCell ref="J161:L161"/>
    <mergeCell ref="M161:O161"/>
    <mergeCell ref="P161:Q161"/>
    <mergeCell ref="S163:U163"/>
    <mergeCell ref="V163:X163"/>
    <mergeCell ref="A164:C164"/>
    <mergeCell ref="D164:F164"/>
    <mergeCell ref="G164:I164"/>
    <mergeCell ref="J164:L164"/>
    <mergeCell ref="M164:O164"/>
    <mergeCell ref="P164:Q164"/>
    <mergeCell ref="S164:U164"/>
    <mergeCell ref="V164:W164"/>
    <mergeCell ref="A163:C163"/>
    <mergeCell ref="D163:F163"/>
    <mergeCell ref="G163:I163"/>
    <mergeCell ref="J163:L163"/>
    <mergeCell ref="M163:O163"/>
    <mergeCell ref="P163:R163"/>
    <mergeCell ref="S165:U165"/>
    <mergeCell ref="V165:W165"/>
    <mergeCell ref="A166:C166"/>
    <mergeCell ref="D166:F166"/>
    <mergeCell ref="G166:I166"/>
    <mergeCell ref="J166:L166"/>
    <mergeCell ref="M166:O166"/>
    <mergeCell ref="P166:Q166"/>
    <mergeCell ref="S166:U166"/>
    <mergeCell ref="V166:W166"/>
    <mergeCell ref="A165:C165"/>
    <mergeCell ref="D165:F165"/>
    <mergeCell ref="G165:I165"/>
    <mergeCell ref="J165:L165"/>
    <mergeCell ref="M165:O165"/>
    <mergeCell ref="P165:Q165"/>
    <mergeCell ref="S167:U167"/>
    <mergeCell ref="V167:W167"/>
    <mergeCell ref="A168:C168"/>
    <mergeCell ref="D168:F168"/>
    <mergeCell ref="G168:I168"/>
    <mergeCell ref="J168:L168"/>
    <mergeCell ref="M168:O168"/>
    <mergeCell ref="P168:R168"/>
    <mergeCell ref="S168:U168"/>
    <mergeCell ref="V168:X168"/>
    <mergeCell ref="A167:C167"/>
    <mergeCell ref="D167:F167"/>
    <mergeCell ref="G167:I167"/>
    <mergeCell ref="J167:L167"/>
    <mergeCell ref="M167:O167"/>
    <mergeCell ref="P167:Q167"/>
    <mergeCell ref="S169:U169"/>
    <mergeCell ref="V169:X169"/>
    <mergeCell ref="A170:C170"/>
    <mergeCell ref="D170:F170"/>
    <mergeCell ref="G170:I170"/>
    <mergeCell ref="J170:L170"/>
    <mergeCell ref="M170:O170"/>
    <mergeCell ref="P170:Q170"/>
    <mergeCell ref="S170:U170"/>
    <mergeCell ref="V170:W170"/>
    <mergeCell ref="A169:C169"/>
    <mergeCell ref="D169:F169"/>
    <mergeCell ref="G169:I169"/>
    <mergeCell ref="J169:L169"/>
    <mergeCell ref="M169:O169"/>
    <mergeCell ref="P169:R169"/>
    <mergeCell ref="S171:U171"/>
    <mergeCell ref="V171:W171"/>
    <mergeCell ref="A172:C172"/>
    <mergeCell ref="D172:F172"/>
    <mergeCell ref="G172:I172"/>
    <mergeCell ref="J172:L172"/>
    <mergeCell ref="M172:O172"/>
    <mergeCell ref="P172:Q172"/>
    <mergeCell ref="S172:U172"/>
    <mergeCell ref="V172:W172"/>
    <mergeCell ref="A171:C171"/>
    <mergeCell ref="D171:F171"/>
    <mergeCell ref="G171:I171"/>
    <mergeCell ref="J171:L171"/>
    <mergeCell ref="M171:O171"/>
    <mergeCell ref="P171:Q171"/>
    <mergeCell ref="S173:U173"/>
    <mergeCell ref="V173:W173"/>
    <mergeCell ref="A174:C174"/>
    <mergeCell ref="D174:F174"/>
    <mergeCell ref="G174:I174"/>
    <mergeCell ref="J174:L174"/>
    <mergeCell ref="M174:O174"/>
    <mergeCell ref="S174:U174"/>
    <mergeCell ref="A173:C173"/>
    <mergeCell ref="D173:F173"/>
    <mergeCell ref="G173:I173"/>
    <mergeCell ref="J173:L173"/>
    <mergeCell ref="M173:O173"/>
    <mergeCell ref="P173:Q173"/>
    <mergeCell ref="S175:U175"/>
    <mergeCell ref="V175:X175"/>
    <mergeCell ref="A176:C176"/>
    <mergeCell ref="D176:F176"/>
    <mergeCell ref="G176:I176"/>
    <mergeCell ref="J176:L176"/>
    <mergeCell ref="M176:O176"/>
    <mergeCell ref="P176:Q176"/>
    <mergeCell ref="S176:U176"/>
    <mergeCell ref="V176:W176"/>
    <mergeCell ref="A175:C175"/>
    <mergeCell ref="D175:F175"/>
    <mergeCell ref="G175:I175"/>
    <mergeCell ref="J175:L175"/>
    <mergeCell ref="M175:O175"/>
    <mergeCell ref="P175:R175"/>
    <mergeCell ref="S177:U177"/>
    <mergeCell ref="V177:W177"/>
    <mergeCell ref="A178:C178"/>
    <mergeCell ref="D178:F178"/>
    <mergeCell ref="G178:I178"/>
    <mergeCell ref="J178:L178"/>
    <mergeCell ref="M178:O178"/>
    <mergeCell ref="S178:U178"/>
    <mergeCell ref="A177:C177"/>
    <mergeCell ref="D177:F177"/>
    <mergeCell ref="G177:I177"/>
    <mergeCell ref="J177:L177"/>
    <mergeCell ref="M177:O177"/>
    <mergeCell ref="P177:Q17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A6D5-4F06-4A05-87A8-42F634F40EAE}">
  <dimension ref="F7"/>
  <sheetViews>
    <sheetView workbookViewId="0">
      <selection activeCell="G3" sqref="G3"/>
    </sheetView>
  </sheetViews>
  <sheetFormatPr defaultRowHeight="14.25"/>
  <sheetData>
    <row r="7" spans="6:6">
      <c r="F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איתי דיין</dc:creator>
  <cp:lastModifiedBy>רועי</cp:lastModifiedBy>
  <dcterms:created xsi:type="dcterms:W3CDTF">2015-06-05T18:17:20Z</dcterms:created>
  <dcterms:modified xsi:type="dcterms:W3CDTF">2023-12-20T12:14:25Z</dcterms:modified>
</cp:coreProperties>
</file>