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drawings/drawing4.xml" ContentType="application/vnd.openxmlformats-officedocument.drawingml.chartshapes+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charts/chart47.xml" ContentType="application/vnd.openxmlformats-officedocument.drawingml.chart+xml"/>
  <Override PartName="/xl/charts/style46.xml" ContentType="application/vnd.ms-office.chartstyle+xml"/>
  <Override PartName="/xl/charts/colors46.xml" ContentType="application/vnd.ms-office.chartcolorstyle+xml"/>
  <Override PartName="/xl/charts/chart48.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c2016\Desktop\borsa\DCF\Companies\specifics\PLPC\"/>
    </mc:Choice>
  </mc:AlternateContent>
  <xr:revisionPtr revIDLastSave="0" documentId="13_ncr:1_{FBC2D454-F299-4FA3-A008-28C44ED5E48A}" xr6:coauthVersionLast="47" xr6:coauthVersionMax="47" xr10:uidLastSave="{00000000-0000-0000-0000-000000000000}"/>
  <bookViews>
    <workbookView xWindow="-120" yWindow="-120" windowWidth="29040" windowHeight="15840" activeTab="4" xr2:uid="{00000000-000D-0000-FFFF-FFFF00000000}"/>
  </bookViews>
  <sheets>
    <sheet name="Openning" sheetId="1" r:id="rId1"/>
    <sheet name="analysis" sheetId="7" r:id="rId2"/>
    <sheet name="WACC" sheetId="2" r:id="rId3"/>
    <sheet name="Story&amp;Estimates" sheetId="4" r:id="rId4"/>
    <sheet name="DCF" sheetId="6" r:id="rId5"/>
    <sheet name="PRICING" sheetId="9" r:id="rId6"/>
    <sheet name="data" sheetId="3" r:id="rId7"/>
  </sheets>
  <externalReferences>
    <externalReference r:id="rId8"/>
  </externalReferences>
  <definedNames>
    <definedName name="tgr">DCF!$D$11</definedName>
    <definedName name="wacc">DCF!$D$10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6" l="1"/>
  <c r="R15" i="6"/>
  <c r="O15" i="6"/>
  <c r="M15" i="6"/>
  <c r="P239" i="4"/>
  <c r="P240" i="4"/>
  <c r="J130" i="6"/>
  <c r="Q130" i="6"/>
  <c r="P130" i="6"/>
  <c r="O130" i="6"/>
  <c r="N130" i="6"/>
  <c r="M130" i="6"/>
  <c r="L130" i="6"/>
  <c r="K130" i="6"/>
  <c r="L158" i="3"/>
  <c r="L159" i="3"/>
  <c r="J150" i="3"/>
  <c r="J151" i="3"/>
  <c r="J152" i="3"/>
  <c r="J153" i="3"/>
  <c r="J154" i="3"/>
  <c r="J155" i="3"/>
  <c r="J156" i="3"/>
  <c r="J157" i="3"/>
  <c r="J158" i="3"/>
  <c r="J159" i="3"/>
  <c r="J160" i="3"/>
  <c r="J161" i="3"/>
  <c r="J162" i="3"/>
  <c r="J163" i="3"/>
  <c r="J164" i="3"/>
  <c r="I150" i="3"/>
  <c r="I151" i="3"/>
  <c r="I152" i="3"/>
  <c r="I153" i="3"/>
  <c r="I154" i="3"/>
  <c r="I155" i="3"/>
  <c r="I156" i="3"/>
  <c r="I157" i="3"/>
  <c r="I158" i="3"/>
  <c r="I159" i="3"/>
  <c r="I160" i="3"/>
  <c r="I161" i="3"/>
  <c r="I162" i="3"/>
  <c r="I163" i="3"/>
  <c r="I164" i="3"/>
  <c r="P183" i="4"/>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N90" i="3"/>
  <c r="N91" i="3"/>
  <c r="G150" i="4"/>
  <c r="G151" i="4"/>
  <c r="F150" i="4"/>
  <c r="F151" i="4"/>
  <c r="P182" i="4"/>
  <c r="E150" i="4"/>
  <c r="D131" i="4"/>
  <c r="K15" i="6"/>
  <c r="L15" i="6"/>
  <c r="N15" i="6"/>
  <c r="P15" i="6"/>
  <c r="J15" i="6"/>
  <c r="D50" i="4"/>
  <c r="L28" i="4"/>
  <c r="L27" i="4"/>
  <c r="J32" i="4"/>
  <c r="J33" i="4"/>
  <c r="J34" i="4"/>
  <c r="J31" i="4"/>
  <c r="J30" i="4"/>
  <c r="J29" i="4"/>
  <c r="J28" i="4"/>
  <c r="J27" i="4"/>
  <c r="J26" i="4"/>
  <c r="H209" i="2"/>
  <c r="G209" i="2"/>
  <c r="F105" i="2"/>
  <c r="H58" i="2"/>
  <c r="J58" i="2" s="1"/>
  <c r="H49" i="2"/>
  <c r="N46" i="6"/>
  <c r="N44" i="6"/>
  <c r="O27" i="6"/>
  <c r="P27" i="6"/>
  <c r="Q27" i="6"/>
  <c r="R27" i="6"/>
  <c r="P226" i="4"/>
  <c r="O226" i="4"/>
  <c r="N226" i="4"/>
  <c r="M226" i="4"/>
  <c r="H226" i="4"/>
  <c r="O19" i="6"/>
  <c r="P19" i="6" s="1"/>
  <c r="Q19" i="6" s="1"/>
  <c r="R19" i="6" s="1"/>
  <c r="E41" i="4"/>
  <c r="H32" i="4"/>
  <c r="H31" i="4"/>
  <c r="J66" i="6"/>
  <c r="J232" i="4"/>
  <c r="I232" i="4"/>
  <c r="H232" i="4"/>
  <c r="L110" i="6"/>
  <c r="K110" i="6"/>
  <c r="V152" i="7"/>
  <c r="M304" i="7"/>
  <c r="X257" i="7"/>
  <c r="X256" i="7"/>
  <c r="E51" i="4"/>
  <c r="F51" i="4" s="1"/>
  <c r="G51" i="4" s="1"/>
  <c r="P294" i="7"/>
  <c r="D273" i="7"/>
  <c r="D272" i="7"/>
  <c r="E242" i="7"/>
  <c r="E243" i="7"/>
  <c r="E244" i="7"/>
  <c r="E245" i="7"/>
  <c r="G220" i="7"/>
  <c r="G221" i="7"/>
  <c r="G222" i="7"/>
  <c r="G223" i="7"/>
  <c r="G224" i="7"/>
  <c r="G225" i="7"/>
  <c r="G226" i="7"/>
  <c r="G227" i="7"/>
  <c r="G228" i="7"/>
  <c r="G229" i="7"/>
  <c r="G230" i="7"/>
  <c r="G231" i="7"/>
  <c r="G232" i="7"/>
  <c r="G233" i="7"/>
  <c r="G234" i="7"/>
  <c r="G235" i="7"/>
  <c r="G236" i="7"/>
  <c r="G237" i="7"/>
  <c r="G219" i="7"/>
  <c r="F220" i="7"/>
  <c r="F221" i="7"/>
  <c r="F222" i="7"/>
  <c r="F223" i="7"/>
  <c r="F224" i="7"/>
  <c r="F225" i="7"/>
  <c r="F226" i="7"/>
  <c r="F227" i="7"/>
  <c r="F228" i="7"/>
  <c r="F229" i="7"/>
  <c r="F230" i="7"/>
  <c r="F231" i="7"/>
  <c r="F232" i="7"/>
  <c r="F233" i="7"/>
  <c r="F234" i="7"/>
  <c r="F235" i="7"/>
  <c r="F236" i="7"/>
  <c r="F237" i="7"/>
  <c r="R48" i="9"/>
  <c r="R49" i="9"/>
  <c r="R50" i="9"/>
  <c r="R51" i="9"/>
  <c r="R52" i="9"/>
  <c r="R53" i="9"/>
  <c r="R54" i="9"/>
  <c r="R55" i="9"/>
  <c r="R56" i="9"/>
  <c r="R57" i="9"/>
  <c r="R58" i="9"/>
  <c r="R59" i="9"/>
  <c r="R60" i="9"/>
  <c r="R61" i="9"/>
  <c r="R62" i="9"/>
  <c r="R63" i="9"/>
  <c r="R47" i="9"/>
  <c r="M60" i="9"/>
  <c r="M59" i="9"/>
  <c r="K60" i="9"/>
  <c r="K59" i="9"/>
  <c r="F50" i="4" l="1"/>
  <c r="G50" i="4" s="1"/>
  <c r="P295" i="7"/>
  <c r="P296" i="7" s="1"/>
  <c r="P297" i="7" s="1"/>
  <c r="B36" i="9"/>
  <c r="B35" i="9"/>
  <c r="H62" i="9"/>
  <c r="H61" i="9"/>
  <c r="E38" i="4"/>
  <c r="M42" i="9"/>
  <c r="M41" i="9"/>
  <c r="P298" i="7" l="1"/>
  <c r="P299" i="7" s="1"/>
  <c r="P300" i="7" s="1"/>
  <c r="U300" i="7"/>
  <c r="W300" i="7" s="1"/>
  <c r="U298" i="7"/>
  <c r="M303" i="7" s="1"/>
  <c r="N303" i="7" s="1"/>
  <c r="I39" i="9"/>
  <c r="I38" i="9"/>
  <c r="I36" i="9"/>
  <c r="I35" i="9"/>
  <c r="E39" i="9"/>
  <c r="E38" i="9"/>
  <c r="E36" i="9"/>
  <c r="E35" i="9"/>
  <c r="K122" i="6"/>
  <c r="L122" i="6"/>
  <c r="M122" i="6"/>
  <c r="N122" i="6"/>
  <c r="O122" i="6"/>
  <c r="P122" i="6"/>
  <c r="Q122" i="6"/>
  <c r="R122" i="6"/>
  <c r="J122" i="6"/>
  <c r="I17" i="6"/>
  <c r="M110" i="6"/>
  <c r="N110" i="6"/>
  <c r="O110" i="6"/>
  <c r="P110" i="6"/>
  <c r="Q110" i="6"/>
  <c r="R110" i="6"/>
  <c r="J110" i="6"/>
  <c r="N139" i="6"/>
  <c r="N90" i="6"/>
  <c r="N141" i="6"/>
  <c r="J54" i="4"/>
  <c r="J53" i="4"/>
  <c r="C213" i="7"/>
  <c r="C212" i="7"/>
  <c r="G191" i="7"/>
  <c r="G190" i="7"/>
  <c r="C189" i="7"/>
  <c r="C190" i="7" s="1"/>
  <c r="C191" i="7" s="1"/>
  <c r="C192" i="7" s="1"/>
  <c r="C193" i="7" s="1"/>
  <c r="C194" i="7" s="1"/>
  <c r="C188" i="7"/>
  <c r="D187" i="7"/>
  <c r="D186" i="7"/>
  <c r="D185" i="7"/>
  <c r="D184" i="7"/>
  <c r="D183" i="7"/>
  <c r="D182" i="7"/>
  <c r="D181" i="7"/>
  <c r="D180" i="7"/>
  <c r="D179" i="7"/>
  <c r="D178" i="7"/>
  <c r="D177" i="7"/>
  <c r="D176" i="7"/>
  <c r="D175" i="7"/>
  <c r="D174" i="7"/>
  <c r="D173" i="7"/>
  <c r="D172" i="7"/>
  <c r="D171" i="7"/>
  <c r="D170" i="7"/>
  <c r="V153" i="7"/>
  <c r="W136" i="7"/>
  <c r="W135" i="7"/>
  <c r="D101" i="7"/>
  <c r="D102" i="7"/>
  <c r="D103" i="7"/>
  <c r="D104" i="7"/>
  <c r="D105" i="7"/>
  <c r="D106" i="7"/>
  <c r="D107" i="7"/>
  <c r="D108" i="7"/>
  <c r="D109" i="7"/>
  <c r="D110" i="7"/>
  <c r="D111" i="7"/>
  <c r="D112" i="7"/>
  <c r="D113" i="7"/>
  <c r="D114" i="7"/>
  <c r="D115" i="7"/>
  <c r="D116" i="7"/>
  <c r="D117" i="7"/>
  <c r="D118" i="7"/>
  <c r="E46" i="7"/>
  <c r="E102" i="7"/>
  <c r="E103" i="7"/>
  <c r="E104" i="7"/>
  <c r="E105" i="7"/>
  <c r="E106" i="7"/>
  <c r="E107" i="7"/>
  <c r="E108" i="7"/>
  <c r="E109" i="7"/>
  <c r="E110" i="7"/>
  <c r="E111" i="7"/>
  <c r="E112" i="7"/>
  <c r="E113" i="7"/>
  <c r="E114" i="7"/>
  <c r="E115" i="7"/>
  <c r="E116" i="7"/>
  <c r="E117" i="7"/>
  <c r="E118" i="7"/>
  <c r="D40" i="7"/>
  <c r="E44" i="7" s="1"/>
  <c r="D38" i="7"/>
  <c r="E42" i="7"/>
  <c r="D36" i="7"/>
  <c r="F28" i="7"/>
  <c r="D24" i="7"/>
  <c r="K66" i="6"/>
  <c r="L66" i="6"/>
  <c r="M66" i="6"/>
  <c r="N66" i="6"/>
  <c r="O66" i="6"/>
  <c r="N92" i="6"/>
  <c r="K56" i="4" l="1"/>
  <c r="F48" i="7"/>
  <c r="B255" i="4"/>
  <c r="E255" i="4"/>
  <c r="R215" i="4"/>
  <c r="R216" i="4" s="1"/>
  <c r="R217" i="4" s="1"/>
  <c r="R218" i="4" s="1"/>
  <c r="R219" i="4" s="1"/>
  <c r="R220" i="4" s="1"/>
  <c r="R221" i="4" s="1"/>
  <c r="R222" i="4" s="1"/>
  <c r="R223" i="4" s="1"/>
  <c r="Q215" i="4"/>
  <c r="Q211" i="4" l="1"/>
  <c r="P215" i="4"/>
  <c r="J27" i="6" s="1"/>
  <c r="Q216" i="4"/>
  <c r="P216" i="4" l="1"/>
  <c r="I226" i="4" s="1"/>
  <c r="K27" i="6" s="1"/>
  <c r="Q217" i="4"/>
  <c r="P217" i="4" l="1"/>
  <c r="J226" i="4" s="1"/>
  <c r="L27" i="6" s="1"/>
  <c r="Q218" i="4"/>
  <c r="G131" i="4"/>
  <c r="J19" i="6"/>
  <c r="N183" i="4"/>
  <c r="O183" i="4" s="1"/>
  <c r="F183" i="4"/>
  <c r="N182" i="4"/>
  <c r="O182" i="4" s="1"/>
  <c r="F182" i="4"/>
  <c r="N181" i="4"/>
  <c r="O181" i="4" s="1"/>
  <c r="F181" i="4"/>
  <c r="N180" i="4"/>
  <c r="O180" i="4" s="1"/>
  <c r="F180" i="4"/>
  <c r="N179" i="4"/>
  <c r="O179" i="4" s="1"/>
  <c r="F179" i="4"/>
  <c r="N178" i="4"/>
  <c r="O178" i="4" s="1"/>
  <c r="F178" i="4"/>
  <c r="N177" i="4"/>
  <c r="O177" i="4" s="1"/>
  <c r="F177" i="4"/>
  <c r="N176" i="4"/>
  <c r="O176" i="4" s="1"/>
  <c r="F176" i="4"/>
  <c r="N175" i="4"/>
  <c r="O175" i="4" s="1"/>
  <c r="F175" i="4"/>
  <c r="N174" i="4"/>
  <c r="O174" i="4" s="1"/>
  <c r="F174" i="4"/>
  <c r="N173" i="4"/>
  <c r="O173" i="4" s="1"/>
  <c r="F173" i="4"/>
  <c r="N172" i="4"/>
  <c r="O172" i="4" s="1"/>
  <c r="F172" i="4"/>
  <c r="N171" i="4"/>
  <c r="O171" i="4" s="1"/>
  <c r="F171" i="4"/>
  <c r="N170" i="4"/>
  <c r="O170" i="4" s="1"/>
  <c r="F170" i="4"/>
  <c r="N169" i="4"/>
  <c r="O169" i="4" s="1"/>
  <c r="F169" i="4"/>
  <c r="N168" i="4"/>
  <c r="O168" i="4" s="1"/>
  <c r="F168" i="4"/>
  <c r="N167" i="4"/>
  <c r="O167" i="4" s="1"/>
  <c r="F167" i="4"/>
  <c r="N166" i="4"/>
  <c r="O166" i="4" s="1"/>
  <c r="F166" i="4"/>
  <c r="N165" i="4"/>
  <c r="O165" i="4" s="1"/>
  <c r="F165" i="4"/>
  <c r="N164" i="4"/>
  <c r="O164" i="4" s="1"/>
  <c r="F164" i="4"/>
  <c r="N163" i="4"/>
  <c r="O163" i="4" s="1"/>
  <c r="F163" i="4"/>
  <c r="N162" i="4"/>
  <c r="O162" i="4" s="1"/>
  <c r="F162" i="4"/>
  <c r="N161" i="4"/>
  <c r="O161" i="4" s="1"/>
  <c r="F161" i="4"/>
  <c r="N160" i="4"/>
  <c r="O160" i="4" s="1"/>
  <c r="F160" i="4"/>
  <c r="N159" i="4"/>
  <c r="O159" i="4" s="1"/>
  <c r="F159" i="4"/>
  <c r="N158" i="4"/>
  <c r="F158" i="4"/>
  <c r="F157" i="4"/>
  <c r="F156" i="4"/>
  <c r="F64" i="3"/>
  <c r="F65" i="3"/>
  <c r="N65" i="3" s="1"/>
  <c r="P65" i="3" s="1"/>
  <c r="F66" i="3"/>
  <c r="F67" i="3"/>
  <c r="F68" i="3"/>
  <c r="F69" i="3"/>
  <c r="F70" i="3"/>
  <c r="F71" i="3"/>
  <c r="F72" i="3"/>
  <c r="F73" i="3"/>
  <c r="F74" i="3"/>
  <c r="F75" i="3"/>
  <c r="F76" i="3"/>
  <c r="F77" i="3"/>
  <c r="F78" i="3"/>
  <c r="F79" i="3"/>
  <c r="F80" i="3"/>
  <c r="F81" i="3"/>
  <c r="F82" i="3"/>
  <c r="F83" i="3"/>
  <c r="F84" i="3"/>
  <c r="F85" i="3"/>
  <c r="F86" i="3"/>
  <c r="P86" i="3" s="1"/>
  <c r="F87" i="3"/>
  <c r="P87" i="3" s="1"/>
  <c r="F88" i="3"/>
  <c r="P88" i="3" s="1"/>
  <c r="F89" i="3"/>
  <c r="P89" i="3" s="1"/>
  <c r="F90" i="3"/>
  <c r="P90" i="3" s="1"/>
  <c r="F91" i="3"/>
  <c r="P91" i="3" s="1"/>
  <c r="O86" i="3"/>
  <c r="O87" i="3"/>
  <c r="O88" i="3"/>
  <c r="O89" i="3"/>
  <c r="O90" i="3"/>
  <c r="O91" i="3"/>
  <c r="N66" i="3"/>
  <c r="P66" i="3" s="1"/>
  <c r="N67" i="3"/>
  <c r="N68" i="3"/>
  <c r="P68" i="3" s="1"/>
  <c r="N69" i="3"/>
  <c r="P69" i="3" s="1"/>
  <c r="N70" i="3"/>
  <c r="P70" i="3" s="1"/>
  <c r="N71" i="3"/>
  <c r="N72" i="3"/>
  <c r="P72" i="3" s="1"/>
  <c r="N73" i="3"/>
  <c r="P73" i="3" s="1"/>
  <c r="N74" i="3"/>
  <c r="P74" i="3" s="1"/>
  <c r="N75" i="3"/>
  <c r="P75" i="3" s="1"/>
  <c r="N76" i="3"/>
  <c r="P76" i="3" s="1"/>
  <c r="N77" i="3"/>
  <c r="P77" i="3" s="1"/>
  <c r="N78" i="3"/>
  <c r="P78" i="3" s="1"/>
  <c r="N79" i="3"/>
  <c r="N80" i="3"/>
  <c r="P80" i="3" s="1"/>
  <c r="N81" i="3"/>
  <c r="P81" i="3" s="1"/>
  <c r="N82" i="3"/>
  <c r="P82" i="3" s="1"/>
  <c r="N83" i="3"/>
  <c r="N84" i="3"/>
  <c r="P84" i="3" s="1"/>
  <c r="N85" i="3"/>
  <c r="P85" i="3" s="1"/>
  <c r="N86" i="3"/>
  <c r="N87" i="3"/>
  <c r="N88" i="3"/>
  <c r="N89" i="3"/>
  <c r="N64" i="3"/>
  <c r="P64" i="3" s="1"/>
  <c r="E93" i="3"/>
  <c r="K23" i="6"/>
  <c r="K74" i="6" s="1"/>
  <c r="K118" i="6" s="1"/>
  <c r="L23" i="6"/>
  <c r="L74" i="6" s="1"/>
  <c r="L118" i="6" s="1"/>
  <c r="M23" i="6"/>
  <c r="M74" i="6" s="1"/>
  <c r="M118" i="6" s="1"/>
  <c r="N23" i="6"/>
  <c r="N74" i="6" s="1"/>
  <c r="N118" i="6" s="1"/>
  <c r="O23" i="6"/>
  <c r="O74" i="6" s="1"/>
  <c r="O118" i="6" s="1"/>
  <c r="P118" i="6" s="1"/>
  <c r="Q118" i="6" s="1"/>
  <c r="R118" i="6" s="1"/>
  <c r="J23" i="6"/>
  <c r="J74" i="6" s="1"/>
  <c r="J118" i="6" s="1"/>
  <c r="H35" i="4"/>
  <c r="H34" i="4"/>
  <c r="I68" i="6"/>
  <c r="O83" i="3" l="1"/>
  <c r="P83" i="3"/>
  <c r="O71" i="3"/>
  <c r="P71" i="3"/>
  <c r="O67" i="3"/>
  <c r="P67" i="3"/>
  <c r="O79" i="3"/>
  <c r="P79" i="3"/>
  <c r="R182" i="4"/>
  <c r="O158" i="4"/>
  <c r="P158" i="4"/>
  <c r="J68" i="6"/>
  <c r="J72" i="6" s="1"/>
  <c r="J76" i="6" s="1"/>
  <c r="I112" i="6"/>
  <c r="J112" i="6" s="1"/>
  <c r="J126" i="6" s="1"/>
  <c r="P159" i="4"/>
  <c r="P161" i="4"/>
  <c r="P163" i="4"/>
  <c r="P165" i="4"/>
  <c r="P167" i="4"/>
  <c r="P169" i="4"/>
  <c r="R169" i="4" s="1"/>
  <c r="P171" i="4"/>
  <c r="R171" i="4" s="1"/>
  <c r="P173" i="4"/>
  <c r="R173" i="4" s="1"/>
  <c r="P175" i="4"/>
  <c r="R175" i="4" s="1"/>
  <c r="P181" i="4"/>
  <c r="R181" i="4" s="1"/>
  <c r="P178" i="4"/>
  <c r="R178" i="4" s="1"/>
  <c r="P180" i="4"/>
  <c r="R180" i="4" s="1"/>
  <c r="P218" i="4"/>
  <c r="K226" i="4" s="1"/>
  <c r="M27" i="6" s="1"/>
  <c r="Q219" i="4"/>
  <c r="P179" i="4"/>
  <c r="R179" i="4" s="1"/>
  <c r="R183" i="4"/>
  <c r="P160" i="4"/>
  <c r="P162" i="4"/>
  <c r="P164" i="4"/>
  <c r="P166" i="4"/>
  <c r="P168" i="4"/>
  <c r="P170" i="4"/>
  <c r="R170" i="4" s="1"/>
  <c r="P172" i="4"/>
  <c r="R172" i="4" s="1"/>
  <c r="P174" i="4"/>
  <c r="R174" i="4" s="1"/>
  <c r="P176" i="4"/>
  <c r="R176" i="4" s="1"/>
  <c r="P177" i="4"/>
  <c r="R177" i="4" s="1"/>
  <c r="N157" i="4"/>
  <c r="O157" i="4" s="1"/>
  <c r="N156" i="4"/>
  <c r="O156" i="4" s="1"/>
  <c r="O75" i="3"/>
  <c r="O82" i="3"/>
  <c r="O78" i="3"/>
  <c r="O70" i="3"/>
  <c r="O85" i="3"/>
  <c r="O81" i="3"/>
  <c r="O77" i="3"/>
  <c r="O73" i="3"/>
  <c r="O69" i="3"/>
  <c r="O65" i="3"/>
  <c r="O74" i="3"/>
  <c r="O66" i="3"/>
  <c r="O84" i="3"/>
  <c r="O80" i="3"/>
  <c r="O76" i="3"/>
  <c r="O72" i="3"/>
  <c r="O68" i="3"/>
  <c r="O64" i="3"/>
  <c r="K68" i="6" l="1"/>
  <c r="L68" i="6" s="1"/>
  <c r="K112" i="6"/>
  <c r="K126" i="6" s="1"/>
  <c r="Q220" i="4"/>
  <c r="P219" i="4"/>
  <c r="L226" i="4" s="1"/>
  <c r="N27" i="6" s="1"/>
  <c r="J81" i="6"/>
  <c r="K72" i="6"/>
  <c r="K76" i="6" s="1"/>
  <c r="P156" i="4"/>
  <c r="P157" i="4"/>
  <c r="P220" i="4" l="1"/>
  <c r="Q221" i="4"/>
  <c r="L112" i="6"/>
  <c r="L126" i="6" s="1"/>
  <c r="K81" i="6"/>
  <c r="M68" i="6"/>
  <c r="L72" i="6"/>
  <c r="L76" i="6" s="1"/>
  <c r="Q222" i="4" l="1"/>
  <c r="P221" i="4"/>
  <c r="M112" i="6"/>
  <c r="M126" i="6" s="1"/>
  <c r="L81" i="6"/>
  <c r="M72" i="6"/>
  <c r="M76" i="6" s="1"/>
  <c r="N68" i="6"/>
  <c r="Q223" i="4" l="1"/>
  <c r="P223" i="4" s="1"/>
  <c r="P222" i="4"/>
  <c r="N112" i="6"/>
  <c r="N126" i="6" s="1"/>
  <c r="M81" i="6"/>
  <c r="N72" i="6"/>
  <c r="N76" i="6" s="1"/>
  <c r="O68" i="6"/>
  <c r="O72" i="6" s="1"/>
  <c r="O76" i="6" s="1"/>
  <c r="O112" i="6" l="1"/>
  <c r="O126" i="6" s="1"/>
  <c r="N81" i="6"/>
  <c r="O81" i="6"/>
  <c r="P112" i="6" l="1"/>
  <c r="P126" i="6" s="1"/>
  <c r="Q112" i="6" l="1"/>
  <c r="Q126" i="6" s="1"/>
  <c r="G138" i="4"/>
  <c r="H138" i="4" s="1"/>
  <c r="I138" i="4" s="1"/>
  <c r="J138" i="4" s="1"/>
  <c r="W96" i="4"/>
  <c r="W95" i="4"/>
  <c r="E92" i="4"/>
  <c r="E91" i="4"/>
  <c r="E90" i="4"/>
  <c r="E89" i="4"/>
  <c r="E88" i="4"/>
  <c r="E87" i="4"/>
  <c r="E86" i="4"/>
  <c r="E85" i="4"/>
  <c r="E84" i="4"/>
  <c r="E83" i="4"/>
  <c r="E82" i="4"/>
  <c r="E81" i="4"/>
  <c r="E80" i="4"/>
  <c r="E79" i="4"/>
  <c r="E78" i="4"/>
  <c r="E74" i="4"/>
  <c r="G13" i="3"/>
  <c r="G14" i="3"/>
  <c r="G15" i="3"/>
  <c r="G16" i="3"/>
  <c r="G17" i="3"/>
  <c r="G18" i="3"/>
  <c r="G19" i="3"/>
  <c r="G20" i="3"/>
  <c r="G21" i="3"/>
  <c r="G22" i="3"/>
  <c r="G23" i="3"/>
  <c r="G24" i="3"/>
  <c r="G25" i="3"/>
  <c r="G26" i="3"/>
  <c r="G27" i="3"/>
  <c r="G28" i="3"/>
  <c r="G29" i="3"/>
  <c r="G30" i="3"/>
  <c r="G31" i="3"/>
  <c r="G32" i="3"/>
  <c r="G33" i="3"/>
  <c r="G34" i="3"/>
  <c r="G35" i="3"/>
  <c r="G36" i="3"/>
  <c r="G37" i="3"/>
  <c r="G38" i="3"/>
  <c r="G39" i="3"/>
  <c r="D235" i="2"/>
  <c r="C235" i="2"/>
  <c r="D234" i="2"/>
  <c r="C234" i="2"/>
  <c r="D233" i="2"/>
  <c r="C233" i="2"/>
  <c r="D238" i="2"/>
  <c r="C238" i="2"/>
  <c r="D237" i="2"/>
  <c r="C237" i="2"/>
  <c r="D232" i="2"/>
  <c r="D236" i="2"/>
  <c r="C236" i="2"/>
  <c r="C232" i="2"/>
  <c r="E187" i="2"/>
  <c r="C130" i="2"/>
  <c r="H221" i="2"/>
  <c r="E198" i="2"/>
  <c r="E199" i="2"/>
  <c r="E200" i="2"/>
  <c r="E201" i="2"/>
  <c r="E202" i="2"/>
  <c r="E203" i="2"/>
  <c r="E204" i="2"/>
  <c r="E205" i="2"/>
  <c r="E206" i="2"/>
  <c r="E207" i="2"/>
  <c r="E208" i="2"/>
  <c r="E209" i="2"/>
  <c r="E210" i="2"/>
  <c r="E211" i="2"/>
  <c r="E197" i="2"/>
  <c r="T195" i="2" a="1"/>
  <c r="T195" i="2" s="1"/>
  <c r="R112" i="6" l="1"/>
  <c r="R126" i="6" s="1"/>
  <c r="R130" i="6" s="1"/>
  <c r="Q77" i="4"/>
  <c r="D145" i="4"/>
  <c r="J17" i="6"/>
  <c r="G137" i="4"/>
  <c r="H137" i="4" s="1"/>
  <c r="Q78" i="4"/>
  <c r="C194" i="2"/>
  <c r="E212" i="2" s="1"/>
  <c r="B218" i="2" s="1"/>
  <c r="B221" i="2" s="1"/>
  <c r="R114" i="6" l="1"/>
  <c r="R116" i="6" s="1"/>
  <c r="R120" i="6" s="1"/>
  <c r="E57" i="4"/>
  <c r="F57" i="4" s="1"/>
  <c r="J21" i="6"/>
  <c r="J25" i="6" s="1"/>
  <c r="K17" i="6"/>
  <c r="K31" i="6" s="1"/>
  <c r="K35" i="6" s="1"/>
  <c r="J31" i="6"/>
  <c r="J35" i="6" s="1"/>
  <c r="K19" i="6"/>
  <c r="I137" i="4"/>
  <c r="L19" i="6"/>
  <c r="C222" i="2"/>
  <c r="D222" i="2" s="1"/>
  <c r="E222" i="2" s="1"/>
  <c r="F222" i="2" s="1"/>
  <c r="G222" i="2" s="1"/>
  <c r="G57" i="4" l="1"/>
  <c r="K21" i="6"/>
  <c r="K25" i="6" s="1"/>
  <c r="J137" i="4"/>
  <c r="N19" i="6" s="1"/>
  <c r="M19" i="6"/>
  <c r="L17" i="6"/>
  <c r="C221" i="2"/>
  <c r="D221" i="2" s="1"/>
  <c r="E221" i="2" s="1"/>
  <c r="F221" i="2" s="1"/>
  <c r="G221" i="2" s="1"/>
  <c r="H57" i="4" l="1"/>
  <c r="I57" i="4" s="1"/>
  <c r="M17" i="6"/>
  <c r="J114" i="6"/>
  <c r="J116" i="6" s="1"/>
  <c r="L21" i="6"/>
  <c r="L25" i="6" s="1"/>
  <c r="L31" i="6"/>
  <c r="L35" i="6" s="1"/>
  <c r="D174" i="2"/>
  <c r="C174" i="2"/>
  <c r="C175" i="2" s="1"/>
  <c r="D172" i="2"/>
  <c r="D173" i="2"/>
  <c r="F159" i="2"/>
  <c r="J164" i="2" s="1"/>
  <c r="B159" i="2"/>
  <c r="D164" i="2" s="1"/>
  <c r="G154" i="2"/>
  <c r="J120" i="6" l="1"/>
  <c r="K114" i="6"/>
  <c r="K116" i="6" s="1"/>
  <c r="K120" i="6" s="1"/>
  <c r="N17" i="6"/>
  <c r="O17" i="6" s="1"/>
  <c r="M31" i="6"/>
  <c r="M21" i="6"/>
  <c r="M25" i="6" s="1"/>
  <c r="H182" i="2"/>
  <c r="E165" i="2"/>
  <c r="F165" i="2" s="1"/>
  <c r="G165" i="2" s="1"/>
  <c r="H165" i="2" s="1"/>
  <c r="I165" i="2" s="1"/>
  <c r="E119" i="2"/>
  <c r="E117" i="2"/>
  <c r="D117" i="2"/>
  <c r="H104" i="2"/>
  <c r="H105" i="2"/>
  <c r="H103" i="2"/>
  <c r="D106" i="2"/>
  <c r="F58" i="2"/>
  <c r="F52" i="2"/>
  <c r="F51" i="2"/>
  <c r="F50" i="2"/>
  <c r="F49" i="2"/>
  <c r="F33" i="2"/>
  <c r="F32" i="2"/>
  <c r="F31" i="2"/>
  <c r="F30" i="2"/>
  <c r="T29" i="3"/>
  <c r="T28" i="3"/>
  <c r="C45" i="3"/>
  <c r="C44" i="3"/>
  <c r="J45" i="3"/>
  <c r="J44" i="3"/>
  <c r="M35" i="6" l="1"/>
  <c r="P17" i="6"/>
  <c r="O31" i="6"/>
  <c r="O21" i="6"/>
  <c r="O25" i="6" s="1"/>
  <c r="L114" i="6"/>
  <c r="L116" i="6" s="1"/>
  <c r="L120" i="6" s="1"/>
  <c r="N31" i="6"/>
  <c r="N21" i="6"/>
  <c r="N25" i="6" s="1"/>
  <c r="H183" i="2"/>
  <c r="I182" i="2"/>
  <c r="E164" i="2"/>
  <c r="L58" i="2"/>
  <c r="H106" i="2"/>
  <c r="B110" i="2" s="1"/>
  <c r="D119" i="2" s="1"/>
  <c r="F62" i="2"/>
  <c r="F34" i="2"/>
  <c r="J49" i="2"/>
  <c r="L49" i="2" s="1"/>
  <c r="F53" i="2"/>
  <c r="H50" i="2"/>
  <c r="H59" i="2"/>
  <c r="F11" i="2"/>
  <c r="B11" i="2"/>
  <c r="O35" i="6" l="1"/>
  <c r="N35" i="6"/>
  <c r="Q17" i="6"/>
  <c r="P21" i="6"/>
  <c r="P25" i="6" s="1"/>
  <c r="P31" i="6"/>
  <c r="M114" i="6"/>
  <c r="M116" i="6" s="1"/>
  <c r="M120" i="6" s="1"/>
  <c r="C182" i="2"/>
  <c r="C183" i="2" s="1"/>
  <c r="F164" i="2"/>
  <c r="J182" i="2"/>
  <c r="I183" i="2"/>
  <c r="H51" i="2"/>
  <c r="J50" i="2"/>
  <c r="L50" i="2" s="1"/>
  <c r="J59" i="2"/>
  <c r="L59" i="2" s="1"/>
  <c r="H60" i="2"/>
  <c r="C13" i="3"/>
  <c r="C14" i="3"/>
  <c r="C15" i="3"/>
  <c r="C16" i="3"/>
  <c r="C17" i="3"/>
  <c r="C18" i="3"/>
  <c r="C19" i="3"/>
  <c r="C20" i="3"/>
  <c r="C21" i="3"/>
  <c r="C22" i="3"/>
  <c r="C23" i="3"/>
  <c r="C24" i="3"/>
  <c r="C25" i="3"/>
  <c r="C26" i="3"/>
  <c r="C27" i="3"/>
  <c r="C28" i="3"/>
  <c r="C29" i="3"/>
  <c r="C30" i="3"/>
  <c r="C31" i="3"/>
  <c r="C32" i="3"/>
  <c r="C33" i="3"/>
  <c r="C34" i="3"/>
  <c r="C35" i="3"/>
  <c r="C36" i="3"/>
  <c r="C37" i="3"/>
  <c r="C38" i="3"/>
  <c r="C12"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Z9" i="3"/>
  <c r="AA9" i="3"/>
  <c r="AB9" i="3"/>
  <c r="F9" i="3"/>
  <c r="G9" i="3"/>
  <c r="H9" i="3"/>
  <c r="I9" i="3"/>
  <c r="J9" i="3"/>
  <c r="K9" i="3"/>
  <c r="L9" i="3"/>
  <c r="M9" i="3"/>
  <c r="N9" i="3"/>
  <c r="O9" i="3"/>
  <c r="P9" i="3"/>
  <c r="Q9" i="3"/>
  <c r="R9" i="3"/>
  <c r="S9" i="3"/>
  <c r="T9" i="3"/>
  <c r="U9" i="3"/>
  <c r="V9" i="3"/>
  <c r="W9" i="3"/>
  <c r="X9" i="3"/>
  <c r="Y9" i="3"/>
  <c r="E9" i="3"/>
  <c r="C9" i="3"/>
  <c r="D9" i="3"/>
  <c r="B9" i="3"/>
  <c r="P35" i="6" l="1"/>
  <c r="Q21" i="6"/>
  <c r="Q25" i="6" s="1"/>
  <c r="R17" i="6"/>
  <c r="Q31" i="6"/>
  <c r="N114" i="6"/>
  <c r="N116" i="6" s="1"/>
  <c r="N120" i="6" s="1"/>
  <c r="K182" i="2"/>
  <c r="J183" i="2"/>
  <c r="G164" i="2"/>
  <c r="D182" i="2"/>
  <c r="D183" i="2" s="1"/>
  <c r="H52" i="2"/>
  <c r="J51" i="2"/>
  <c r="L51" i="2" s="1"/>
  <c r="H61" i="2"/>
  <c r="J60" i="2"/>
  <c r="L60" i="2" s="1"/>
  <c r="Q35" i="6" l="1"/>
  <c r="R21" i="6"/>
  <c r="R25" i="6" s="1"/>
  <c r="R31" i="6"/>
  <c r="O114" i="6"/>
  <c r="O116" i="6" s="1"/>
  <c r="H164" i="2"/>
  <c r="E182" i="2"/>
  <c r="E183" i="2" s="1"/>
  <c r="L182" i="2"/>
  <c r="L183" i="2" s="1"/>
  <c r="K183" i="2"/>
  <c r="H53" i="2"/>
  <c r="J53" i="2" s="1"/>
  <c r="J52" i="2"/>
  <c r="L52" i="2" s="1"/>
  <c r="L54" i="2" s="1"/>
  <c r="B66" i="2" s="1"/>
  <c r="D118" i="2" s="1"/>
  <c r="D120" i="2" s="1"/>
  <c r="B124" i="2" s="1"/>
  <c r="C231" i="2" s="1"/>
  <c r="C239" i="2" s="1"/>
  <c r="H62" i="2"/>
  <c r="J62" i="2" s="1"/>
  <c r="J61" i="2"/>
  <c r="L61" i="2" s="1"/>
  <c r="L63" i="2" s="1"/>
  <c r="F66" i="2" s="1"/>
  <c r="E118" i="2" s="1"/>
  <c r="E120" i="2" s="1"/>
  <c r="E124" i="2" s="1"/>
  <c r="D231" i="2" s="1"/>
  <c r="D239" i="2" s="1"/>
  <c r="R35" i="6" l="1"/>
  <c r="C246" i="2"/>
  <c r="B242" i="2"/>
  <c r="L246" i="2"/>
  <c r="F242" i="2"/>
  <c r="O120" i="6"/>
  <c r="Q114" i="6"/>
  <c r="Q116" i="6" s="1"/>
  <c r="Q120" i="6" s="1"/>
  <c r="P114" i="6"/>
  <c r="P116" i="6" s="1"/>
  <c r="P120" i="6" s="1"/>
  <c r="I164" i="2"/>
  <c r="G182" i="2" s="1"/>
  <c r="G183" i="2" s="1"/>
  <c r="F182" i="2"/>
  <c r="F183" i="2" s="1"/>
  <c r="D247" i="2" l="1"/>
  <c r="R36" i="6"/>
  <c r="O82" i="6" s="1"/>
  <c r="C185" i="2"/>
  <c r="C187" i="2" s="1"/>
  <c r="O131" i="6" l="1"/>
  <c r="P131" i="6" s="1"/>
  <c r="Q131" i="6" s="1"/>
  <c r="R131" i="6" s="1"/>
  <c r="R132" i="6" s="1"/>
  <c r="N135" i="6" s="1"/>
  <c r="N136" i="6" s="1"/>
  <c r="N137" i="6" s="1"/>
  <c r="O83" i="6"/>
  <c r="N86" i="6" s="1"/>
  <c r="N87" i="6" s="1"/>
  <c r="Q132" i="6"/>
  <c r="O132" i="6"/>
  <c r="D246" i="2"/>
  <c r="E247" i="2"/>
  <c r="F247" i="2" s="1"/>
  <c r="G247" i="2" s="1"/>
  <c r="H247" i="2" s="1"/>
  <c r="I247" i="2" s="1"/>
  <c r="J247" i="2" s="1"/>
  <c r="K247" i="2" s="1"/>
  <c r="L247" i="2" s="1"/>
  <c r="P132" i="6"/>
  <c r="R37" i="6"/>
  <c r="N40" i="6" s="1"/>
  <c r="N41" i="6" s="1"/>
  <c r="J36" i="6" l="1"/>
  <c r="E246" i="2"/>
  <c r="J82" i="6" l="1"/>
  <c r="J37" i="6"/>
  <c r="K36" i="6"/>
  <c r="F246" i="2"/>
  <c r="L36" i="6" l="1"/>
  <c r="G246" i="2"/>
  <c r="K82" i="6"/>
  <c r="K37" i="6"/>
  <c r="J131" i="6"/>
  <c r="J132" i="6" s="1"/>
  <c r="J83" i="6"/>
  <c r="M36" i="6" l="1"/>
  <c r="H246" i="2"/>
  <c r="K131" i="6"/>
  <c r="K132" i="6" s="1"/>
  <c r="K83" i="6"/>
  <c r="L82" i="6"/>
  <c r="L37" i="6"/>
  <c r="N36" i="6" l="1"/>
  <c r="I246" i="2"/>
  <c r="M82" i="6"/>
  <c r="M37" i="6"/>
  <c r="L131" i="6"/>
  <c r="L132" i="6" s="1"/>
  <c r="L83" i="6"/>
  <c r="O36" i="6" l="1"/>
  <c r="O37" i="6" s="1"/>
  <c r="J246" i="2"/>
  <c r="N82" i="6"/>
  <c r="N37" i="6"/>
  <c r="M131" i="6"/>
  <c r="M132" i="6" s="1"/>
  <c r="M83" i="6"/>
  <c r="P36" i="6" l="1"/>
  <c r="P37" i="6" s="1"/>
  <c r="K246" i="2"/>
  <c r="N131" i="6"/>
  <c r="N132" i="6" s="1"/>
  <c r="J133" i="6" s="1"/>
  <c r="N140" i="6" s="1"/>
  <c r="N142" i="6" s="1"/>
  <c r="N144" i="6" s="1"/>
  <c r="N83" i="6"/>
  <c r="J84" i="6" s="1"/>
  <c r="N88" i="6" s="1"/>
  <c r="N91" i="6" s="1"/>
  <c r="N93" i="6" s="1"/>
  <c r="N95" i="6" s="1"/>
  <c r="Q36" i="6" l="1"/>
  <c r="Q37" i="6" s="1"/>
  <c r="J38" i="6" s="1"/>
  <c r="N42" i="6" s="1"/>
  <c r="N45" i="6" s="1"/>
  <c r="N47" i="6" s="1"/>
  <c r="N49" i="6"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<sst xmlns="http://schemas.openxmlformats.org/spreadsheetml/2006/main" count="772" uniqueCount="349">
  <si>
    <t>building products</t>
  </si>
  <si>
    <t>building products for the industries:</t>
  </si>
  <si>
    <t>communications</t>
  </si>
  <si>
    <t>energy</t>
  </si>
  <si>
    <t>renewables</t>
  </si>
  <si>
    <t>special industries:</t>
  </si>
  <si>
    <t>agriculture</t>
  </si>
  <si>
    <t>arborist</t>
  </si>
  <si>
    <t>elevator</t>
  </si>
  <si>
    <t>industrial &amp; construction</t>
  </si>
  <si>
    <t>metal buildings</t>
  </si>
  <si>
    <t>Tower &amp; Antenna</t>
  </si>
  <si>
    <t>urethane</t>
  </si>
  <si>
    <t>IMPORTANT NOTES FROM THE 2023 ANNUAL REPORT</t>
  </si>
  <si>
    <t>year</t>
  </si>
  <si>
    <t>revenue</t>
  </si>
  <si>
    <t>growth%</t>
  </si>
  <si>
    <t>$670</t>
  </si>
  <si>
    <t>$637</t>
  </si>
  <si>
    <t>$517</t>
  </si>
  <si>
    <t>$466</t>
  </si>
  <si>
    <t>$445</t>
  </si>
  <si>
    <t>$421</t>
  </si>
  <si>
    <t>$378</t>
  </si>
  <si>
    <t>$337</t>
  </si>
  <si>
    <t>$355</t>
  </si>
  <si>
    <t>$388</t>
  </si>
  <si>
    <t>$410</t>
  </si>
  <si>
    <t>$439</t>
  </si>
  <si>
    <t>$424</t>
  </si>
  <si>
    <t>$338</t>
  </si>
  <si>
    <t>$257</t>
  </si>
  <si>
    <t>growth %</t>
  </si>
  <si>
    <t>EQUITY</t>
  </si>
  <si>
    <t>risk free rate</t>
  </si>
  <si>
    <t>current us 30y bond:</t>
  </si>
  <si>
    <t>average us 30y bond:</t>
  </si>
  <si>
    <t>risk free rate Assumption</t>
  </si>
  <si>
    <t>equity risk premium</t>
  </si>
  <si>
    <t>the firm didn’t specify revenues by country/region</t>
  </si>
  <si>
    <t>but from reading the annual report, she mainly of not souly operate and sell in the us.</t>
  </si>
  <si>
    <t>current equity risk premium:</t>
  </si>
  <si>
    <t>historical average equity risk premium:</t>
  </si>
  <si>
    <t>average</t>
  </si>
  <si>
    <t>median</t>
  </si>
  <si>
    <t>relative risk measure - beta</t>
  </si>
  <si>
    <t>energy, communication, evs, farming, inspection</t>
  </si>
  <si>
    <t>PLP-USA - us</t>
  </si>
  <si>
    <t>The Americas - north&amp;south america</t>
  </si>
  <si>
    <t>EMEA - europe, middle east &amp; africa</t>
  </si>
  <si>
    <t>us</t>
  </si>
  <si>
    <t>america</t>
  </si>
  <si>
    <t>europe, middle east &amp; africa</t>
  </si>
  <si>
    <t>asia</t>
  </si>
  <si>
    <t>net sales</t>
  </si>
  <si>
    <t>total sales</t>
  </si>
  <si>
    <t>% from total sales</t>
  </si>
  <si>
    <t>currernt</t>
  </si>
  <si>
    <t>us erp</t>
  </si>
  <si>
    <t>default risk</t>
  </si>
  <si>
    <t>terminal</t>
  </si>
  <si>
    <t>weighted avg</t>
  </si>
  <si>
    <t>total</t>
  </si>
  <si>
    <t>total:</t>
  </si>
  <si>
    <t>uk has a 0.65% default risk, and its generally known that its less risky the europe, a 1% default risk for europe will be fine.</t>
  </si>
  <si>
    <t>america exluding usa has from one side countries like canada, but on the other hand has mexico and brazil, a 2% will be right.</t>
  </si>
  <si>
    <t>PLPC industry by yahoo finance - Electrical Equipment &amp; Parts</t>
  </si>
  <si>
    <t>Energy</t>
  </si>
  <si>
    <t>special industries</t>
  </si>
  <si>
    <t>% from revenue</t>
  </si>
  <si>
    <t>unlevered beta</t>
  </si>
  <si>
    <t>beta Assumption</t>
  </si>
  <si>
    <t>equity risk premium Assumption</t>
  </si>
  <si>
    <t>cost of equity</t>
  </si>
  <si>
    <t>current</t>
  </si>
  <si>
    <t>beta</t>
  </si>
  <si>
    <t>cost of equity Assumption</t>
  </si>
  <si>
    <t>DEBT</t>
  </si>
  <si>
    <t>cost of debt</t>
  </si>
  <si>
    <t>the cost of borrowing is equal to the risk free rate plus the company default risk</t>
  </si>
  <si>
    <t>cost of debt = rf + x*country default risk + company default risk</t>
  </si>
  <si>
    <r>
      <rPr>
        <b/>
        <sz val="11"/>
        <color rgb="FF000000"/>
        <rFont val="Times New Roman"/>
        <family val="1"/>
      </rPr>
      <t xml:space="preserve">x = 0; </t>
    </r>
    <r>
      <rPr>
        <sz val="11"/>
        <color rgb="FF000000"/>
        <rFont val="Times New Roman"/>
        <family val="1"/>
      </rPr>
      <t xml:space="preserve"> the usa has a default risk of 0%</t>
    </r>
  </si>
  <si>
    <t xml:space="preserve">cost of debt = rf+company default risk </t>
  </si>
  <si>
    <t>interest coverage ratio = operating income/interest expenses =11559/708 =</t>
  </si>
  <si>
    <t>cost of debt Assumption</t>
  </si>
  <si>
    <t>market value of debt</t>
  </si>
  <si>
    <t>to calculate the market value of debt we would treat the debt as a bond</t>
  </si>
  <si>
    <t>due</t>
  </si>
  <si>
    <t>year until due</t>
  </si>
  <si>
    <t>total debt</t>
  </si>
  <si>
    <t>year until all debt is be due - 10</t>
  </si>
  <si>
    <t>interest exp</t>
  </si>
  <si>
    <t>present value</t>
  </si>
  <si>
    <t>in thousands</t>
  </si>
  <si>
    <t>total debt:</t>
  </si>
  <si>
    <t>market value of debt:</t>
  </si>
  <si>
    <t>tax rate</t>
  </si>
  <si>
    <t>current effective tax rate:</t>
  </si>
  <si>
    <t>income before taxes</t>
  </si>
  <si>
    <t>income tax expense</t>
  </si>
  <si>
    <t>$19</t>
  </si>
  <si>
    <t>$13</t>
  </si>
  <si>
    <t>$11</t>
  </si>
  <si>
    <t>$8</t>
  </si>
  <si>
    <t>$6</t>
  </si>
  <si>
    <t>$5</t>
  </si>
  <si>
    <t>$9</t>
  </si>
  <si>
    <t>$16</t>
  </si>
  <si>
    <t>$15</t>
  </si>
  <si>
    <t>$7</t>
  </si>
  <si>
    <t>tax rate Assumption</t>
  </si>
  <si>
    <t>effective tax rate</t>
  </si>
  <si>
    <t>corporate marginal tax rate of 21%</t>
  </si>
  <si>
    <t>period</t>
  </si>
  <si>
    <t>market value of equity</t>
  </si>
  <si>
    <t>after tax cost of debt</t>
  </si>
  <si>
    <t>debt porion of capital</t>
  </si>
  <si>
    <t>equity portion of capital</t>
  </si>
  <si>
    <t>cost of capital (WACC)</t>
  </si>
  <si>
    <t>WACC</t>
  </si>
  <si>
    <t>stock price:</t>
  </si>
  <si>
    <t>shares outstanding:</t>
  </si>
  <si>
    <t>mill</t>
  </si>
  <si>
    <t>mv of equity:</t>
  </si>
  <si>
    <t>thousands</t>
  </si>
  <si>
    <t>Weight Average Cost of Capital Assumption</t>
  </si>
  <si>
    <t>operating income</t>
  </si>
  <si>
    <t>4q 2023</t>
  </si>
  <si>
    <t>q3 2024</t>
  </si>
  <si>
    <t>story</t>
  </si>
  <si>
    <t>inflation cools down, intrest rates get lower, demand strengthen, positive growth, "buisness as usual".</t>
  </si>
  <si>
    <t>growth rates</t>
  </si>
  <si>
    <t>excluding negative growth</t>
  </si>
  <si>
    <t>average industry growth:</t>
  </si>
  <si>
    <t>the management expect a weaker start half of the year 2024</t>
  </si>
  <si>
    <t>growth rate</t>
  </si>
  <si>
    <t>operating margins</t>
  </si>
  <si>
    <t>current operating margins:</t>
  </si>
  <si>
    <t>operating margin</t>
  </si>
  <si>
    <t>average:</t>
  </si>
  <si>
    <t>median:</t>
  </si>
  <si>
    <t>electrical equipment industry avg operating margins: 11%</t>
  </si>
  <si>
    <t>building products retail avg operating margins: 13.2%</t>
  </si>
  <si>
    <t>average operating margins excluding negative growth years:</t>
  </si>
  <si>
    <t>median operating margins excluding negative growth years:</t>
  </si>
  <si>
    <t>operating margins Assumption</t>
  </si>
  <si>
    <t>reinvestment</t>
  </si>
  <si>
    <t>capital ex</t>
  </si>
  <si>
    <t>chg in non cash wc</t>
  </si>
  <si>
    <t>reinvestment rate</t>
  </si>
  <si>
    <t>% gain (loss)</t>
  </si>
  <si>
    <t>current price</t>
  </si>
  <si>
    <t>Fair Share Price</t>
  </si>
  <si>
    <t>x</t>
  </si>
  <si>
    <t>Shares</t>
  </si>
  <si>
    <t>Equity Value</t>
  </si>
  <si>
    <t>- Debt</t>
  </si>
  <si>
    <t>+ Cash</t>
  </si>
  <si>
    <t>Enterprise Value</t>
  </si>
  <si>
    <t>Present Value of Terminal Value</t>
  </si>
  <si>
    <t>Terminal Value</t>
  </si>
  <si>
    <t>stable growth rate =</t>
  </si>
  <si>
    <t>TOTAL =</t>
  </si>
  <si>
    <t>Present Value of FCFF</t>
  </si>
  <si>
    <t>Unlevered FCFF</t>
  </si>
  <si>
    <t>FCFF</t>
  </si>
  <si>
    <t>EBIT after tax</t>
  </si>
  <si>
    <t>Tax rate</t>
  </si>
  <si>
    <t>EBIT</t>
  </si>
  <si>
    <t>Operating margins</t>
  </si>
  <si>
    <t>Revenues</t>
  </si>
  <si>
    <t>Growth rate</t>
  </si>
  <si>
    <t>fiscal 2024</t>
  </si>
  <si>
    <t>DCF</t>
  </si>
  <si>
    <t>account rec</t>
  </si>
  <si>
    <t>inventories</t>
  </si>
  <si>
    <t>prepaid ex</t>
  </si>
  <si>
    <t xml:space="preserve">trade acc payable </t>
  </si>
  <si>
    <t>income taxes</t>
  </si>
  <si>
    <t>pension</t>
  </si>
  <si>
    <t>other</t>
  </si>
  <si>
    <t>chg wc % rev</t>
  </si>
  <si>
    <t>depr&amp;amort</t>
  </si>
  <si>
    <t>net cap ex</t>
  </si>
  <si>
    <t>index</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</si>
  <si>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</si>
  <si>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</si>
  <si>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</si>
  <si>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</si>
  <si>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</si>
  <si>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</si>
  <si>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</si>
  <si>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</si>
  <si>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</si>
  <si>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</si>
  <si>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</si>
  <si>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</si>
  <si>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</si>
  <si>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</si>
  <si>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</si>
  <si>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</si>
  <si>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</si>
  <si>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</si>
  <si>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</si>
  <si>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</si>
  <si>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</si>
  <si>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</si>
  <si>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</si>
  <si>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</si>
  <si>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chg in non cash wc as % of revenue Assumption</t>
  </si>
  <si>
    <t>chg in non cash wc as % of revenue</t>
  </si>
  <si>
    <t>net cap ex Assumption</t>
  </si>
  <si>
    <t>operating inc</t>
  </si>
  <si>
    <t>re rate</t>
  </si>
  <si>
    <t>my story</t>
  </si>
  <si>
    <t>worst case scenerio</t>
  </si>
  <si>
    <t>net income</t>
  </si>
  <si>
    <t>current cash</t>
  </si>
  <si>
    <t>shares outstanding</t>
  </si>
  <si>
    <t>cash per share</t>
  </si>
  <si>
    <t>book value of shareholders equity</t>
  </si>
  <si>
    <t>per share</t>
  </si>
  <si>
    <t>BALANCE SHEET</t>
  </si>
  <si>
    <t>latest balance sheet - 2024 q1</t>
  </si>
  <si>
    <t>cash/current liab:</t>
  </si>
  <si>
    <t>current assets/current liab:</t>
  </si>
  <si>
    <t>total lianilities:</t>
  </si>
  <si>
    <t>cash/total liab:</t>
  </si>
  <si>
    <t>current assets/total liabilities:</t>
  </si>
  <si>
    <t>long term debt portion from total liab:</t>
  </si>
  <si>
    <t>shares outstanding (millions)</t>
  </si>
  <si>
    <t>2024 Q1</t>
  </si>
  <si>
    <t>2023 Q4</t>
  </si>
  <si>
    <t>2023 Q3</t>
  </si>
  <si>
    <t>2023 Q2</t>
  </si>
  <si>
    <t>2023 Q1</t>
  </si>
  <si>
    <t>2022 Q2</t>
  </si>
  <si>
    <t>2022 Q3</t>
  </si>
  <si>
    <t>2022 Q4</t>
  </si>
  <si>
    <t>QUARTER</t>
  </si>
  <si>
    <t>2019 Q3</t>
  </si>
  <si>
    <t>2019 Q4</t>
  </si>
  <si>
    <t>2020 Q1</t>
  </si>
  <si>
    <t>2020 Q2</t>
  </si>
  <si>
    <t>2020 Q3</t>
  </si>
  <si>
    <t>2020 Q4</t>
  </si>
  <si>
    <t>2021 Q1</t>
  </si>
  <si>
    <t>2021 Q2</t>
  </si>
  <si>
    <t>2021 Q3</t>
  </si>
  <si>
    <t>2021 Q4</t>
  </si>
  <si>
    <t>2022 Q1</t>
  </si>
  <si>
    <t>ttm</t>
  </si>
  <si>
    <t>2024 Q2</t>
  </si>
  <si>
    <t>2024 Q3</t>
  </si>
  <si>
    <t>2024 Q4</t>
  </si>
  <si>
    <t>2025 Q1</t>
  </si>
  <si>
    <t>2025 Q2</t>
  </si>
  <si>
    <t>2025 Q3</t>
  </si>
  <si>
    <t>2025 Q4</t>
  </si>
  <si>
    <t>total assets/total liabilities:</t>
  </si>
  <si>
    <t>% growth</t>
  </si>
  <si>
    <t>period of stable growth</t>
  </si>
  <si>
    <t>בהינתן ביצוע נורמלי וממוצע של החברה, ובהינתן השערת הנהלה כי כוח הקונים לסקטור ה - communication, האם צפוי צמיחה ברווח הנקי</t>
  </si>
  <si>
    <t>total 2025:</t>
  </si>
  <si>
    <t>total 2024:</t>
  </si>
  <si>
    <t>עשרים עשרים וארבע צפויה להיות שנה יותר חלשה בהיבט של הרווח הנקי של החברה, כתוצאה מכך לא צפוי לדעתי עליות מסיביות במחיר המניה, אך בטווח הארוך, המאזן שלה מאוד חזק, החברה עצמה איכותית, ומחיר המניה ההוגן הוא הרבה מעל מקומה הנוכחי</t>
  </si>
  <si>
    <t>second scenerio</t>
  </si>
  <si>
    <t>3 years negative growth</t>
  </si>
  <si>
    <t>average of average and median:</t>
  </si>
  <si>
    <t>scenerio 2</t>
  </si>
  <si>
    <t>fiscal 2023</t>
  </si>
  <si>
    <t>median op margins of 7.82%</t>
  </si>
  <si>
    <t>Consumer Cyclical</t>
  </si>
  <si>
    <t>Furnishings, Fixtures &amp; Appliances</t>
  </si>
  <si>
    <t>buy</t>
  </si>
  <si>
    <t>FGI</t>
  </si>
  <si>
    <t>Technology</t>
  </si>
  <si>
    <t>Electronic Components</t>
  </si>
  <si>
    <t>LYTS</t>
  </si>
  <si>
    <t>Industrials</t>
  </si>
  <si>
    <t>Electrical Equipment &amp; Parts</t>
  </si>
  <si>
    <t>none</t>
  </si>
  <si>
    <t>PLPC</t>
  </si>
  <si>
    <t>Building Products &amp; Equipment</t>
  </si>
  <si>
    <t>strong_buy</t>
  </si>
  <si>
    <t>TILE</t>
  </si>
  <si>
    <t>NX</t>
  </si>
  <si>
    <t>hold</t>
  </si>
  <si>
    <t>APOG</t>
  </si>
  <si>
    <t>AMWD</t>
  </si>
  <si>
    <t>JBI</t>
  </si>
  <si>
    <t>Basic Materials</t>
  </si>
  <si>
    <t>Building Materials</t>
  </si>
  <si>
    <t>TGLS</t>
  </si>
  <si>
    <t>Conglomerates</t>
  </si>
  <si>
    <t>GFF</t>
  </si>
  <si>
    <t>AZEK</t>
  </si>
  <si>
    <t>SPXC</t>
  </si>
  <si>
    <t>Lumber &amp; Wood Production</t>
  </si>
  <si>
    <t>SSD</t>
  </si>
  <si>
    <t>FBIN</t>
  </si>
  <si>
    <t>Security &amp; Protection Services</t>
  </si>
  <si>
    <t>ALLE</t>
  </si>
  <si>
    <t>Specialty Industrial Machinery</t>
  </si>
  <si>
    <t>AOS</t>
  </si>
  <si>
    <t>Industrial Distribution</t>
  </si>
  <si>
    <t>WSO</t>
  </si>
  <si>
    <t>CSL</t>
  </si>
  <si>
    <t>sector</t>
  </si>
  <si>
    <t>industry</t>
  </si>
  <si>
    <t>avg ev to ebitda</t>
  </si>
  <si>
    <t>ev to ebitda</t>
  </si>
  <si>
    <t>ROE</t>
  </si>
  <si>
    <t>pb ratio</t>
  </si>
  <si>
    <t>price</t>
  </si>
  <si>
    <t>analysts recommendation</t>
  </si>
  <si>
    <t>payout ratio</t>
  </si>
  <si>
    <t>avg 3y growth</t>
  </si>
  <si>
    <t>year growth</t>
  </si>
  <si>
    <t>pe ratio</t>
  </si>
  <si>
    <t>ticker</t>
  </si>
  <si>
    <t>Column1</t>
  </si>
  <si>
    <t>highest:</t>
  </si>
  <si>
    <t>lowest:</t>
  </si>
  <si>
    <t>average 3y growth:</t>
  </si>
  <si>
    <t>median 3y growth:</t>
  </si>
  <si>
    <t>Predicted pb ratio</t>
  </si>
  <si>
    <t>average pb ratio:</t>
  </si>
  <si>
    <t>median pb ratio:</t>
  </si>
  <si>
    <t>average ROE:</t>
  </si>
  <si>
    <t>median ROE:</t>
  </si>
  <si>
    <t>ALPHA</t>
  </si>
  <si>
    <t>revenues</t>
  </si>
  <si>
    <t>net margins</t>
  </si>
  <si>
    <t>מה אני רוצה לראות בדוח רבעון הבא:</t>
  </si>
  <si>
    <t>הnet income עלה, צמחיה גבוהה מהממוצע צמיחה הרבעוני, כלומר צמיחה גבוהה מ-14%, וצמיחה גבוהה או בסביבות הרבעון האחרון - 49%</t>
  </si>
  <si>
    <t>צמיחה ב-net income של YOY באיזור ה50% או יותר</t>
  </si>
  <si>
    <t>ה -net margin התייעל או נשאר באותה רמה</t>
  </si>
  <si>
    <t>ה - operating margin התייעל או השאר באותה רמה</t>
  </si>
  <si>
    <t>rev % growth</t>
  </si>
  <si>
    <t>צמיחה חיובית ב - revenues</t>
  </si>
  <si>
    <t>ה - balance sheet נשאר חזק</t>
  </si>
  <si>
    <t>toatl 2024 revenue:</t>
  </si>
  <si>
    <t>toatl 2025 revenue:</t>
  </si>
  <si>
    <t>PLP has no bonds outstanding</t>
  </si>
  <si>
    <t xml:space="preserve"> </t>
  </si>
  <si>
    <t>oi after tax</t>
  </si>
  <si>
    <t>chg in non cash wc (use of cash)</t>
  </si>
  <si>
    <t>chg NWC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</si>
</sst>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 &quot;₪&quot;\ * #,##0.00_ ;_ &quot;₪&quot;\ * \-#,##0.00_ ;_ &quot;₪&quot;\ * &quot;-&quot;??_ ;_ @_ "/>
    <numFmt numFmtId="164" formatCode="_-[$$-409]* #,##0.00_ ;_-[$$-409]* \-#,##0.00\ ;_-[$$-409]* &quot;-&quot;??_ ;_-@_ "/>
    <numFmt numFmtId="165" formatCode="0.0%"/>
    <numFmt numFmtId="166" formatCode="0.000%"/>
    <numFmt numFmtId="167" formatCode="_-[$$-409]* #,##0.0000_ ;_-[$$-409]* \-#,##0.0000\ ;_-[$$-409]* &quot;-&quot;??_ ;_-@_ "/>
    <numFmt numFmtId="168" formatCode="_-[$$-409]* #,##0.000_ ;_-[$$-409]* \-#,##0.000\ ;_-[$$-409]* &quot;-&quot;??_ ;_-@_ "/>
    <numFmt numFmtId="169" formatCode="_([$$-409]* #,##0.00_);_([$$-409]* \(#,##0.00\);_([$$-409]* &quot;-&quot;??_);_(@_)"/>
    <numFmt numFmtId="170" formatCode="&quot;$&quot;#,##0"/>
    <numFmt numFmtId="171" formatCode="_-[$$-409]* #,##0.0_ ;_-[$$-409]* \-#,##0.0\ ;_-[$$-409]* &quot;-&quot;??_ ;_-@_ "/>
    <numFmt numFmtId="172" formatCode="_-[$$-409]* #,##0_ ;_-[$$-409]* \-#,##0\ ;_-[$$-409]* &quot;-&quot;??_ ;_-@_ "/>
    <numFmt numFmtId="173" formatCode="0.00000%"/>
    <numFmt numFmtId="174" formatCode="&quot;$&quot;#,##0_);[Red]\(&quot;$&quot;#,##0\)"/>
    <numFmt numFmtId="175" formatCode="&quot;$&quot;#,##0.00"/>
    <numFmt numFmtId="176" formatCode="0.00000"/>
    <numFmt numFmtId="177" formatCode="0.000"/>
  </numFmts>
  <fonts count="44" x14ac:knownFonts="1">
    <font>
      <sz val="11"/>
      <color theme="1"/>
      <name val="Calibri"/>
      <family val="2"/>
      <scheme val="minor"/>
    </font>
    <font>
      <sz val="16"/>
      <color theme="1"/>
      <name val="Times New Roman"/>
      <family val="1"/>
    </font>
    <font>
      <sz val="20"/>
      <color theme="1"/>
      <name val="Times New Roman"/>
      <family val="1"/>
    </font>
    <font>
      <b/>
      <sz val="20"/>
      <color theme="1"/>
      <name val="Times New Roman"/>
      <family val="1"/>
    </font>
    <font>
      <sz val="16"/>
      <color theme="5"/>
      <name val="Times New Roman"/>
      <family val="1"/>
    </font>
    <font>
      <sz val="14"/>
      <color theme="5"/>
      <name val="Times New Roman"/>
      <family val="1"/>
    </font>
    <font>
      <sz val="11"/>
      <color theme="1"/>
      <name val="Calibri"/>
      <family val="2"/>
      <scheme val="minor"/>
    </font>
    <font>
      <b/>
      <u/>
      <sz val="20"/>
      <color theme="1"/>
      <name val="Times New Roman"/>
      <family val="1"/>
    </font>
    <font>
      <sz val="11"/>
      <color theme="1"/>
      <name val="Times New Roman"/>
      <family val="1"/>
    </font>
    <font>
      <sz val="11"/>
      <color rgb="FF444444"/>
      <name val="Roboto"/>
    </font>
    <font>
      <sz val="11"/>
      <color rgb="FF000000"/>
      <name val="Times New Roman"/>
      <family val="1"/>
    </font>
    <font>
      <b/>
      <u/>
      <sz val="11"/>
      <color theme="1"/>
      <name val="Times New Roman"/>
      <family val="1"/>
    </font>
    <font>
      <u/>
      <sz val="11"/>
      <color theme="1"/>
      <name val="Times New Roman"/>
      <family val="1"/>
    </font>
    <font>
      <b/>
      <sz val="11"/>
      <color theme="1"/>
      <name val="Times New Roman"/>
      <family val="1"/>
    </font>
    <font>
      <b/>
      <sz val="11"/>
      <color rgb="FF000000"/>
      <name val="Times New Roman"/>
      <family val="1"/>
    </font>
    <font>
      <sz val="11"/>
      <color theme="0"/>
      <name val="Times New Roman"/>
      <family val="1"/>
    </font>
    <font>
      <sz val="11"/>
      <name val="Times New Roman"/>
      <family val="1"/>
    </font>
    <font>
      <sz val="11"/>
      <color theme="1"/>
      <name val="Calibri Light"/>
      <family val="1"/>
      <scheme val="major"/>
    </font>
    <font>
      <b/>
      <sz val="11"/>
      <color rgb="FF00B050"/>
      <name val="Calibri Light"/>
      <family val="1"/>
      <scheme val="major"/>
    </font>
    <font>
      <b/>
      <sz val="11"/>
      <color theme="1"/>
      <name val="Calibri Light"/>
      <family val="1"/>
      <scheme val="major"/>
    </font>
    <font>
      <sz val="11"/>
      <color theme="0"/>
      <name val="Calibri"/>
      <family val="2"/>
      <scheme val="minor"/>
    </font>
    <font>
      <b/>
      <sz val="11"/>
      <color theme="0"/>
      <name val="Times New Roman"/>
      <family val="1"/>
    </font>
    <font>
      <sz val="11"/>
      <color rgb="FF00B050"/>
      <name val="Calibri Light"/>
      <family val="1"/>
      <scheme val="major"/>
    </font>
    <font>
      <sz val="11"/>
      <color theme="0"/>
      <name val="Calibri Light"/>
      <family val="1"/>
      <scheme val="major"/>
    </font>
    <font>
      <b/>
      <sz val="11"/>
      <color theme="0"/>
      <name val="Calibri Light"/>
      <family val="1"/>
      <scheme val="major"/>
    </font>
    <font>
      <sz val="11"/>
      <name val="Calibri Light"/>
      <family val="1"/>
      <scheme val="major"/>
    </font>
    <font>
      <sz val="11"/>
      <color rgb="FFFF0000"/>
      <name val="Calibri Light"/>
      <family val="1"/>
      <scheme val="major"/>
    </font>
    <font>
      <b/>
      <sz val="11"/>
      <color rgb="FF00B050"/>
      <name val="Times New Roman"/>
      <family val="1"/>
    </font>
    <font>
      <b/>
      <sz val="11"/>
      <name val="Times New Roman"/>
      <family val="1"/>
    </font>
    <font>
      <sz val="11"/>
      <color rgb="FF00B050"/>
      <name val="Times New Roman"/>
      <family val="1"/>
    </font>
    <font>
      <sz val="11"/>
      <color rgb="FF7030A0"/>
      <name val="Times New Roman"/>
      <family val="1"/>
    </font>
    <font>
      <sz val="11"/>
      <color rgb="FFFF0000"/>
      <name val="Times New Roman"/>
      <family val="1"/>
    </font>
    <font>
      <sz val="11"/>
      <name val="Calibri"/>
      <family val="2"/>
      <scheme val="minor"/>
    </font>
    <font>
      <i/>
      <sz val="11"/>
      <color rgb="FF00B050"/>
      <name val="Times New Roman"/>
      <family val="1"/>
    </font>
    <font>
      <i/>
      <sz val="11"/>
      <color theme="1"/>
      <name val="Times New Roman"/>
      <family val="1"/>
    </font>
    <font>
      <b/>
      <sz val="14"/>
      <color rgb="FF00B050"/>
      <name val="Times New Roman"/>
      <family val="1"/>
    </font>
    <font>
      <b/>
      <sz val="16"/>
      <color theme="1"/>
      <name val="Times New Roman"/>
      <family val="1"/>
    </font>
    <font>
      <i/>
      <sz val="11"/>
      <color theme="1"/>
      <name val="Calibri"/>
      <family val="2"/>
      <scheme val="minor"/>
    </font>
    <font>
      <b/>
      <sz val="11"/>
      <color theme="1"/>
      <name val="Calibri"/>
      <family val="2"/>
      <scheme val="minor"/>
    </font>
    <font>
      <b/>
      <i/>
      <sz val="11"/>
      <color rgb="FF00B050"/>
      <name val="Times New Roman"/>
      <family val="1"/>
    </font>
    <font>
      <b/>
      <sz val="11"/>
      <color rgb="FFFF0000"/>
      <name val="Times New Roman"/>
      <family val="1"/>
    </font>
    <font>
      <b/>
      <sz val="11"/>
      <color rgb="FFFF6161"/>
      <name val="Times New Roman"/>
      <family val="1"/>
    </font>
    <font>
      <sz val="11"/>
      <color rgb="FF444444"/>
      <name val="Times New Roman"/>
      <family val="1"/>
    </font>
    <font>
      <sz val="8"/>
      <name val="Calibri"/>
      <family val="2"/>
      <scheme val="minor"/>
    </font>
  </fonts>
  <fills count="1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theme="3"/>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00B050"/>
        <bgColor indexed="64"/>
      </patternFill>
    </fill>
    <fill>
      <patternFill patternType="solid">
        <fgColor theme="1"/>
        <bgColor theme="1"/>
      </patternFill>
    </fill>
  </fills>
  <borders count="27">
    <border>
      <left/>
      <right/>
      <top/>
      <bottom/>
      <diagonal/>
    </border>
    <border>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medium">
        <color theme="1"/>
      </bottom>
      <diagonal/>
    </border>
    <border>
      <left style="thin">
        <color indexed="64"/>
      </left>
      <right style="thin">
        <color indexed="64"/>
      </right>
      <top style="thin">
        <color theme="1"/>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theme="1"/>
      </top>
      <bottom style="thin">
        <color theme="1"/>
      </bottom>
      <diagonal/>
    </border>
  </borders>
  <cellStyleXfs count="3">
    <xf numFmtId="0" fontId="0" fillId="0" borderId="0"/>
    <xf numFmtId="9" fontId="6" fillId="0" borderId="0" applyFont="0" applyFill="0" applyBorder="0" applyAlignment="0" applyProtection="0"/>
    <xf numFmtId="44" fontId="6" fillId="0" borderId="0" applyFont="0" applyFill="0" applyBorder="0" applyAlignment="0" applyProtection="0"/>
  </cellStyleXfs>
  <cellXfs count="28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xf numFmtId="10" fontId="8" fillId="0" borderId="0" xfId="1" applyNumberFormat="1" applyFont="1"/>
    <xf numFmtId="0" fontId="9"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164" fontId="8" fillId="0" borderId="0" xfId="0" applyNumberFormat="1" applyFont="1"/>
    <xf numFmtId="9" fontId="8" fillId="0" borderId="0" xfId="1" applyFont="1"/>
    <xf numFmtId="165" fontId="8" fillId="0" borderId="0" xfId="1" applyNumberFormat="1" applyFont="1"/>
    <xf numFmtId="0" fontId="10" fillId="0" borderId="0" xfId="0" applyFont="1"/>
    <xf numFmtId="0" fontId="11" fillId="0" borderId="0" xfId="0" applyFont="1"/>
    <xf numFmtId="0" fontId="12" fillId="0" borderId="0" xfId="0" applyFont="1"/>
    <xf numFmtId="10" fontId="8" fillId="0" borderId="0" xfId="0" applyNumberFormat="1" applyFont="1"/>
    <xf numFmtId="9" fontId="8" fillId="0" borderId="0" xfId="0" applyNumberFormat="1" applyFont="1"/>
    <xf numFmtId="165" fontId="8" fillId="0" borderId="0" xfId="0" applyNumberFormat="1" applyFont="1"/>
    <xf numFmtId="1" fontId="8" fillId="0" borderId="0" xfId="0" applyNumberFormat="1" applyFont="1"/>
    <xf numFmtId="0" fontId="13" fillId="0" borderId="0" xfId="0" applyFont="1"/>
    <xf numFmtId="0" fontId="8" fillId="0" borderId="2" xfId="0" applyFont="1" applyBorder="1"/>
    <xf numFmtId="9" fontId="8" fillId="0" borderId="2" xfId="1" applyFont="1" applyBorder="1"/>
    <xf numFmtId="10" fontId="8" fillId="0" borderId="2" xfId="0" applyNumberFormat="1" applyFont="1" applyBorder="1"/>
    <xf numFmtId="1" fontId="8" fillId="0" borderId="2" xfId="0" applyNumberFormat="1" applyFont="1" applyBorder="1"/>
    <xf numFmtId="9" fontId="8" fillId="4" borderId="2" xfId="1" applyFont="1" applyFill="1" applyBorder="1"/>
    <xf numFmtId="0" fontId="8" fillId="4" borderId="0" xfId="0" applyFont="1" applyFill="1"/>
    <xf numFmtId="10" fontId="8" fillId="4" borderId="0" xfId="0" applyNumberFormat="1" applyFont="1" applyFill="1"/>
    <xf numFmtId="9" fontId="8" fillId="3" borderId="2" xfId="1" applyFont="1" applyFill="1" applyBorder="1"/>
    <xf numFmtId="10" fontId="8" fillId="5" borderId="2" xfId="0" applyNumberFormat="1" applyFont="1" applyFill="1" applyBorder="1"/>
    <xf numFmtId="0" fontId="8" fillId="5" borderId="0" xfId="0" applyFont="1" applyFill="1"/>
    <xf numFmtId="10" fontId="8" fillId="5" borderId="0" xfId="0" applyNumberFormat="1" applyFont="1" applyFill="1"/>
    <xf numFmtId="9" fontId="8" fillId="5" borderId="0" xfId="1" applyFont="1" applyFill="1" applyBorder="1"/>
    <xf numFmtId="9" fontId="8" fillId="0" borderId="0" xfId="1" applyFont="1" applyBorder="1"/>
    <xf numFmtId="0" fontId="8" fillId="0" borderId="0" xfId="0" applyFont="1" applyAlignment="1">
      <alignment horizontal="center" vertical="center"/>
    </xf>
    <xf numFmtId="9" fontId="8" fillId="0" borderId="2" xfId="0" applyNumberFormat="1" applyFont="1" applyBorder="1"/>
    <xf numFmtId="0" fontId="8" fillId="0" borderId="5" xfId="0" applyFont="1" applyBorder="1"/>
    <xf numFmtId="0" fontId="8" fillId="0" borderId="12" xfId="0" applyFont="1" applyBorder="1"/>
    <xf numFmtId="0" fontId="14" fillId="0" borderId="0" xfId="0" applyFont="1"/>
    <xf numFmtId="0" fontId="15" fillId="0" borderId="0" xfId="0" applyFont="1"/>
    <xf numFmtId="0" fontId="8" fillId="6" borderId="0" xfId="0" applyFont="1" applyFill="1"/>
    <xf numFmtId="164" fontId="8" fillId="6" borderId="0" xfId="0" applyNumberFormat="1" applyFont="1" applyFill="1"/>
    <xf numFmtId="165" fontId="8" fillId="6" borderId="0" xfId="1" applyNumberFormat="1" applyFont="1" applyFill="1"/>
    <xf numFmtId="164" fontId="8" fillId="0" borderId="2" xfId="0" applyNumberFormat="1" applyFont="1" applyBorder="1"/>
    <xf numFmtId="164" fontId="8" fillId="5" borderId="2" xfId="0" applyNumberFormat="1" applyFont="1" applyFill="1" applyBorder="1"/>
    <xf numFmtId="9" fontId="16" fillId="0" borderId="2" xfId="1" applyFont="1" applyBorder="1"/>
    <xf numFmtId="166" fontId="8" fillId="5" borderId="2" xfId="1" applyNumberFormat="1" applyFont="1" applyFill="1" applyBorder="1"/>
    <xf numFmtId="167" fontId="8" fillId="5" borderId="2" xfId="0" applyNumberFormat="1" applyFont="1" applyFill="1" applyBorder="1"/>
    <xf numFmtId="0" fontId="8" fillId="3" borderId="13" xfId="0" applyFont="1" applyFill="1" applyBorder="1"/>
    <xf numFmtId="10" fontId="8" fillId="4" borderId="7" xfId="0" applyNumberFormat="1" applyFont="1" applyFill="1" applyBorder="1"/>
    <xf numFmtId="9" fontId="16" fillId="0" borderId="0" xfId="1" applyFont="1" applyBorder="1"/>
    <xf numFmtId="166" fontId="8" fillId="0" borderId="0" xfId="1" applyNumberFormat="1" applyFont="1" applyBorder="1"/>
    <xf numFmtId="167" fontId="8" fillId="0" borderId="0" xfId="0" applyNumberFormat="1" applyFont="1"/>
    <xf numFmtId="10" fontId="8" fillId="0" borderId="0" xfId="1" applyNumberFormat="1" applyFont="1" applyBorder="1"/>
    <xf numFmtId="10" fontId="8" fillId="5" borderId="0" xfId="1" applyNumberFormat="1" applyFont="1" applyFill="1" applyBorder="1"/>
    <xf numFmtId="165" fontId="8" fillId="5" borderId="2" xfId="1" applyNumberFormat="1" applyFont="1" applyFill="1" applyBorder="1"/>
    <xf numFmtId="0" fontId="16" fillId="0" borderId="0" xfId="0" applyFont="1"/>
    <xf numFmtId="10" fontId="8" fillId="6" borderId="0" xfId="1" applyNumberFormat="1" applyFont="1" applyFill="1"/>
    <xf numFmtId="168" fontId="8" fillId="0" borderId="2" xfId="0" applyNumberFormat="1" applyFont="1" applyBorder="1"/>
    <xf numFmtId="0" fontId="8" fillId="5" borderId="0" xfId="0" applyFont="1" applyFill="1" applyAlignment="1">
      <alignment horizontal="center"/>
    </xf>
    <xf numFmtId="0" fontId="0" fillId="5" borderId="0" xfId="0" applyFill="1"/>
    <xf numFmtId="0" fontId="17" fillId="5" borderId="0" xfId="0" applyFont="1" applyFill="1"/>
    <xf numFmtId="0" fontId="17" fillId="0" borderId="0" xfId="0" applyFont="1"/>
    <xf numFmtId="10" fontId="18" fillId="5" borderId="0" xfId="1" applyNumberFormat="1" applyFont="1" applyFill="1" applyBorder="1"/>
    <xf numFmtId="0" fontId="19" fillId="5" borderId="0" xfId="0" applyFont="1" applyFill="1"/>
    <xf numFmtId="0" fontId="20" fillId="5" borderId="0" xfId="0" applyFont="1" applyFill="1"/>
    <xf numFmtId="0" fontId="15" fillId="5" borderId="0" xfId="0" applyFont="1" applyFill="1"/>
    <xf numFmtId="169" fontId="21" fillId="5" borderId="0" xfId="0" applyNumberFormat="1" applyFont="1" applyFill="1"/>
    <xf numFmtId="0" fontId="21" fillId="5" borderId="0" xfId="0" applyFont="1" applyFill="1"/>
    <xf numFmtId="3" fontId="15" fillId="5" borderId="0" xfId="0" applyNumberFormat="1" applyFont="1" applyFill="1" applyAlignment="1">
      <alignment horizontal="right"/>
    </xf>
    <xf numFmtId="37" fontId="21" fillId="5" borderId="0" xfId="0" applyNumberFormat="1" applyFont="1" applyFill="1"/>
    <xf numFmtId="170" fontId="15" fillId="5" borderId="0" xfId="0" applyNumberFormat="1" applyFont="1" applyFill="1" applyAlignment="1">
      <alignment horizontal="right"/>
    </xf>
    <xf numFmtId="0" fontId="15" fillId="5" borderId="0" xfId="0" quotePrefix="1" applyFont="1" applyFill="1"/>
    <xf numFmtId="164" fontId="21" fillId="5" borderId="0" xfId="0" applyNumberFormat="1" applyFont="1" applyFill="1"/>
    <xf numFmtId="164" fontId="15" fillId="5" borderId="0" xfId="0" applyNumberFormat="1" applyFont="1" applyFill="1"/>
    <xf numFmtId="14" fontId="15" fillId="5" borderId="0" xfId="0" applyNumberFormat="1" applyFont="1" applyFill="1"/>
    <xf numFmtId="10" fontId="21" fillId="5" borderId="0" xfId="0" applyNumberFormat="1" applyFont="1" applyFill="1"/>
    <xf numFmtId="10" fontId="21" fillId="5" borderId="0" xfId="1" applyNumberFormat="1" applyFont="1" applyFill="1" applyBorder="1" applyAlignment="1"/>
    <xf numFmtId="0" fontId="15" fillId="5" borderId="0" xfId="0" applyFont="1" applyFill="1" applyAlignment="1">
      <alignment horizontal="center" vertical="center"/>
    </xf>
    <xf numFmtId="3" fontId="15" fillId="5" borderId="0" xfId="0" applyNumberFormat="1" applyFont="1" applyFill="1"/>
    <xf numFmtId="10" fontId="15" fillId="5" borderId="0" xfId="1" applyNumberFormat="1" applyFont="1" applyFill="1" applyBorder="1"/>
    <xf numFmtId="0" fontId="21" fillId="5" borderId="0" xfId="0" applyFont="1" applyFill="1" applyAlignment="1">
      <alignment horizontal="center" vertical="center"/>
    </xf>
    <xf numFmtId="10" fontId="15" fillId="5" borderId="0" xfId="0" applyNumberFormat="1" applyFont="1" applyFill="1"/>
    <xf numFmtId="164" fontId="22" fillId="0" borderId="0" xfId="0" applyNumberFormat="1" applyFont="1"/>
    <xf numFmtId="164" fontId="23" fillId="5" borderId="0" xfId="0" applyNumberFormat="1" applyFont="1" applyFill="1"/>
    <xf numFmtId="9" fontId="19" fillId="5" borderId="0" xfId="0" applyNumberFormat="1" applyFont="1" applyFill="1" applyAlignment="1">
      <alignment horizontal="center"/>
    </xf>
    <xf numFmtId="9" fontId="24" fillId="5" borderId="0" xfId="0" applyNumberFormat="1" applyFont="1" applyFill="1" applyAlignment="1">
      <alignment horizontal="center"/>
    </xf>
    <xf numFmtId="0" fontId="25" fillId="0" borderId="0" xfId="0" applyFont="1" applyAlignment="1">
      <alignment horizontal="center" vertical="center"/>
    </xf>
    <xf numFmtId="0" fontId="23" fillId="5" borderId="0" xfId="0" applyFont="1" applyFill="1" applyAlignment="1">
      <alignment horizontal="center" vertical="center"/>
    </xf>
    <xf numFmtId="0" fontId="23" fillId="5" borderId="0" xfId="0" applyFont="1" applyFill="1"/>
    <xf numFmtId="164" fontId="26" fillId="0" borderId="0" xfId="0" applyNumberFormat="1" applyFont="1"/>
    <xf numFmtId="10" fontId="17" fillId="5" borderId="0" xfId="0" applyNumberFormat="1" applyFont="1" applyFill="1"/>
    <xf numFmtId="10" fontId="23" fillId="5" borderId="0" xfId="0" applyNumberFormat="1" applyFont="1" applyFill="1"/>
    <xf numFmtId="10" fontId="22" fillId="0" borderId="0" xfId="1" applyNumberFormat="1" applyFont="1" applyBorder="1"/>
    <xf numFmtId="10" fontId="23" fillId="5" borderId="0" xfId="1" applyNumberFormat="1" applyFont="1" applyFill="1" applyBorder="1"/>
    <xf numFmtId="9" fontId="17" fillId="5" borderId="0" xfId="1" applyFont="1" applyFill="1"/>
    <xf numFmtId="9" fontId="23" fillId="5" borderId="0" xfId="1" applyFont="1" applyFill="1"/>
    <xf numFmtId="9" fontId="15" fillId="5" borderId="0" xfId="1" applyFont="1" applyFill="1"/>
    <xf numFmtId="0" fontId="24" fillId="5" borderId="0" xfId="0" applyFont="1" applyFill="1" applyAlignment="1">
      <alignment horizontal="center" vertical="center"/>
    </xf>
    <xf numFmtId="0" fontId="8" fillId="0" borderId="14" xfId="0" applyFont="1" applyBorder="1"/>
    <xf numFmtId="169" fontId="27" fillId="0" borderId="0" xfId="0" applyNumberFormat="1" applyFont="1"/>
    <xf numFmtId="4" fontId="8" fillId="0" borderId="0" xfId="0" applyNumberFormat="1" applyFont="1"/>
    <xf numFmtId="37" fontId="28" fillId="0" borderId="0" xfId="0" applyNumberFormat="1" applyFont="1"/>
    <xf numFmtId="0" fontId="8" fillId="0" borderId="12" xfId="0" quotePrefix="1" applyFont="1" applyBorder="1"/>
    <xf numFmtId="0" fontId="8" fillId="0" borderId="0" xfId="0" quotePrefix="1" applyFont="1"/>
    <xf numFmtId="164" fontId="28" fillId="0" borderId="0" xfId="0" applyNumberFormat="1" applyFont="1"/>
    <xf numFmtId="164" fontId="16" fillId="0" borderId="12" xfId="0" applyNumberFormat="1" applyFont="1" applyBorder="1"/>
    <xf numFmtId="164" fontId="16" fillId="0" borderId="0" xfId="0" applyNumberFormat="1" applyFont="1"/>
    <xf numFmtId="14" fontId="8" fillId="0" borderId="0" xfId="0" applyNumberFormat="1" applyFont="1"/>
    <xf numFmtId="173" fontId="8" fillId="5" borderId="0" xfId="0" applyNumberFormat="1" applyFont="1" applyFill="1"/>
    <xf numFmtId="10" fontId="27" fillId="0" borderId="0" xfId="0" applyNumberFormat="1" applyFont="1"/>
    <xf numFmtId="164" fontId="8" fillId="0" borderId="16" xfId="0" applyNumberFormat="1" applyFont="1" applyBorder="1"/>
    <xf numFmtId="0" fontId="13" fillId="0" borderId="17" xfId="0" applyFont="1" applyBorder="1"/>
    <xf numFmtId="164" fontId="29" fillId="0" borderId="2" xfId="0" applyNumberFormat="1" applyFont="1" applyBorder="1"/>
    <xf numFmtId="0" fontId="13" fillId="0" borderId="2" xfId="0" applyFont="1" applyBorder="1"/>
    <xf numFmtId="166" fontId="13" fillId="5" borderId="2" xfId="1" applyNumberFormat="1" applyFont="1" applyFill="1" applyBorder="1" applyAlignment="1"/>
    <xf numFmtId="165" fontId="0" fillId="0" borderId="0" xfId="0" applyNumberFormat="1"/>
    <xf numFmtId="0" fontId="16" fillId="5" borderId="0" xfId="0" applyFont="1" applyFill="1"/>
    <xf numFmtId="164" fontId="30" fillId="0" borderId="0" xfId="0" applyNumberFormat="1" applyFont="1"/>
    <xf numFmtId="164" fontId="29" fillId="0" borderId="0" xfId="0" applyNumberFormat="1" applyFont="1"/>
    <xf numFmtId="0" fontId="16" fillId="0" borderId="0" xfId="0" applyFont="1" applyAlignment="1">
      <alignment horizontal="center" vertical="center"/>
    </xf>
    <xf numFmtId="164" fontId="30" fillId="0" borderId="18" xfId="0" applyNumberFormat="1" applyFont="1" applyBorder="1"/>
    <xf numFmtId="164" fontId="31" fillId="0" borderId="0" xfId="0" applyNumberFormat="1" applyFont="1"/>
    <xf numFmtId="165" fontId="32" fillId="5" borderId="0" xfId="1" applyNumberFormat="1" applyFont="1" applyFill="1"/>
    <xf numFmtId="164" fontId="29" fillId="0" borderId="18" xfId="0" applyNumberFormat="1" applyFont="1" applyBorder="1"/>
    <xf numFmtId="164" fontId="13" fillId="0" borderId="0" xfId="0" applyNumberFormat="1" applyFont="1"/>
    <xf numFmtId="174" fontId="32" fillId="5" borderId="0" xfId="0" applyNumberFormat="1" applyFont="1" applyFill="1"/>
    <xf numFmtId="0" fontId="8" fillId="0" borderId="18" xfId="0" applyFont="1" applyBorder="1"/>
    <xf numFmtId="0" fontId="32" fillId="5" borderId="0" xfId="0" applyFont="1" applyFill="1"/>
    <xf numFmtId="164" fontId="29" fillId="5" borderId="0" xfId="0" applyNumberFormat="1" applyFont="1" applyFill="1"/>
    <xf numFmtId="164" fontId="33" fillId="0" borderId="0" xfId="1" applyNumberFormat="1" applyFont="1" applyFill="1" applyBorder="1"/>
    <xf numFmtId="164" fontId="33" fillId="0" borderId="18" xfId="1" applyNumberFormat="1" applyFont="1" applyBorder="1"/>
    <xf numFmtId="165" fontId="34" fillId="0" borderId="0" xfId="1" applyNumberFormat="1" applyFont="1"/>
    <xf numFmtId="0" fontId="34" fillId="0" borderId="0" xfId="0" applyFont="1"/>
    <xf numFmtId="3" fontId="32" fillId="5" borderId="0" xfId="0" applyNumberFormat="1" applyFont="1" applyFill="1"/>
    <xf numFmtId="3" fontId="30" fillId="0" borderId="0" xfId="0" applyNumberFormat="1" applyFont="1"/>
    <xf numFmtId="166" fontId="8" fillId="0" borderId="0" xfId="1" applyNumberFormat="1" applyFont="1"/>
    <xf numFmtId="10" fontId="29" fillId="0" borderId="0" xfId="1" applyNumberFormat="1" applyFont="1"/>
    <xf numFmtId="165" fontId="0" fillId="0" borderId="0" xfId="1" applyNumberFormat="1" applyFont="1"/>
    <xf numFmtId="3" fontId="0" fillId="0" borderId="0" xfId="0" applyNumberFormat="1"/>
    <xf numFmtId="1" fontId="0" fillId="0" borderId="0" xfId="0" applyNumberFormat="1"/>
    <xf numFmtId="3" fontId="16" fillId="0" borderId="0" xfId="0" applyNumberFormat="1" applyFont="1"/>
    <xf numFmtId="3" fontId="30" fillId="0" borderId="18" xfId="0" applyNumberFormat="1" applyFont="1" applyBorder="1"/>
    <xf numFmtId="0" fontId="8" fillId="7" borderId="0" xfId="0" applyFont="1" applyFill="1"/>
    <xf numFmtId="0" fontId="21" fillId="8" borderId="0" xfId="0" applyFont="1" applyFill="1" applyAlignment="1">
      <alignment horizontal="center" vertical="center"/>
    </xf>
    <xf numFmtId="0" fontId="21" fillId="8" borderId="0" xfId="0" applyFont="1" applyFill="1"/>
    <xf numFmtId="0" fontId="8" fillId="8" borderId="0" xfId="0" applyFont="1" applyFill="1"/>
    <xf numFmtId="165" fontId="8" fillId="5" borderId="0" xfId="0" applyNumberFormat="1" applyFont="1" applyFill="1" applyAlignment="1">
      <alignment horizontal="center"/>
    </xf>
    <xf numFmtId="0" fontId="35" fillId="0" borderId="0" xfId="0" applyFont="1" applyAlignment="1">
      <alignment vertical="center"/>
    </xf>
    <xf numFmtId="169" fontId="8" fillId="0" borderId="0" xfId="0" applyNumberFormat="1" applyFont="1"/>
    <xf numFmtId="0" fontId="8" fillId="9" borderId="0" xfId="0" applyFont="1" applyFill="1"/>
    <xf numFmtId="0" fontId="13" fillId="9" borderId="0" xfId="0" applyFont="1" applyFill="1"/>
    <xf numFmtId="0" fontId="0" fillId="0" borderId="12" xfId="0" applyBorder="1"/>
    <xf numFmtId="0" fontId="36" fillId="0" borderId="12" xfId="0" applyFont="1" applyBorder="1"/>
    <xf numFmtId="175" fontId="8" fillId="5" borderId="0" xfId="0" applyNumberFormat="1" applyFont="1" applyFill="1" applyAlignment="1">
      <alignment horizontal="center"/>
    </xf>
    <xf numFmtId="14" fontId="8" fillId="5" borderId="0" xfId="0" applyNumberFormat="1" applyFont="1" applyFill="1" applyAlignment="1">
      <alignment horizontal="center"/>
    </xf>
    <xf numFmtId="9" fontId="31" fillId="0" borderId="0" xfId="1" applyFont="1"/>
    <xf numFmtId="168" fontId="8" fillId="0" borderId="0" xfId="0" applyNumberFormat="1" applyFont="1"/>
    <xf numFmtId="0" fontId="8" fillId="0" borderId="0" xfId="0" applyFont="1" applyAlignment="1">
      <alignment horizontal="center"/>
    </xf>
    <xf numFmtId="0" fontId="13" fillId="0" borderId="2" xfId="0" applyFont="1" applyBorder="1" applyAlignment="1">
      <alignment horizontal="center"/>
    </xf>
    <xf numFmtId="0" fontId="13" fillId="0" borderId="5" xfId="0" applyFont="1" applyBorder="1" applyAlignment="1">
      <alignment horizontal="center"/>
    </xf>
    <xf numFmtId="164" fontId="8" fillId="0" borderId="5" xfId="0" applyNumberFormat="1" applyFont="1" applyBorder="1"/>
    <xf numFmtId="168" fontId="8" fillId="0" borderId="5" xfId="0" applyNumberFormat="1" applyFont="1" applyBorder="1"/>
    <xf numFmtId="168" fontId="8" fillId="10" borderId="2" xfId="0" applyNumberFormat="1" applyFont="1" applyFill="1" applyBorder="1"/>
    <xf numFmtId="164" fontId="8" fillId="10" borderId="2" xfId="0" applyNumberFormat="1" applyFont="1" applyFill="1" applyBorder="1"/>
    <xf numFmtId="168" fontId="8" fillId="10" borderId="5" xfId="0" applyNumberFormat="1" applyFont="1" applyFill="1" applyBorder="1"/>
    <xf numFmtId="165" fontId="8" fillId="0" borderId="5" xfId="1" applyNumberFormat="1" applyFont="1" applyBorder="1"/>
    <xf numFmtId="168" fontId="8" fillId="0" borderId="20" xfId="0" applyNumberFormat="1" applyFont="1" applyBorder="1"/>
    <xf numFmtId="0" fontId="13" fillId="0" borderId="21" xfId="0" applyFont="1" applyBorder="1" applyAlignment="1">
      <alignment horizontal="center"/>
    </xf>
    <xf numFmtId="168" fontId="8" fillId="11" borderId="2" xfId="0" applyNumberFormat="1" applyFont="1" applyFill="1" applyBorder="1"/>
    <xf numFmtId="0" fontId="13" fillId="11" borderId="2" xfId="0" applyFont="1" applyFill="1" applyBorder="1" applyAlignment="1">
      <alignment horizontal="center"/>
    </xf>
    <xf numFmtId="0" fontId="13" fillId="5" borderId="21" xfId="0" applyFont="1" applyFill="1" applyBorder="1" applyAlignment="1">
      <alignment horizontal="center"/>
    </xf>
    <xf numFmtId="168" fontId="8" fillId="5" borderId="2" xfId="0" applyNumberFormat="1" applyFont="1" applyFill="1" applyBorder="1"/>
    <xf numFmtId="168" fontId="8" fillId="12" borderId="22" xfId="0" applyNumberFormat="1" applyFont="1" applyFill="1" applyBorder="1"/>
    <xf numFmtId="168" fontId="8" fillId="12" borderId="2" xfId="0" applyNumberFormat="1" applyFont="1" applyFill="1" applyBorder="1"/>
    <xf numFmtId="0" fontId="0" fillId="0" borderId="23" xfId="0" applyBorder="1"/>
    <xf numFmtId="0" fontId="37" fillId="0" borderId="25" xfId="0" applyFont="1" applyBorder="1" applyAlignment="1">
      <alignment horizontal="center"/>
    </xf>
    <xf numFmtId="0" fontId="37" fillId="0" borderId="25" xfId="0" applyFont="1" applyBorder="1" applyAlignment="1">
      <alignment horizontal="centerContinuous"/>
    </xf>
    <xf numFmtId="9" fontId="38" fillId="0" borderId="0" xfId="1" applyFont="1" applyFill="1" applyBorder="1" applyAlignment="1"/>
    <xf numFmtId="0" fontId="16" fillId="4" borderId="0" xfId="0" applyFont="1" applyFill="1"/>
    <xf numFmtId="0" fontId="28" fillId="4" borderId="2" xfId="0" applyFont="1" applyFill="1" applyBorder="1" applyAlignment="1">
      <alignment horizontal="center"/>
    </xf>
    <xf numFmtId="0" fontId="39" fillId="0" borderId="24" xfId="0" applyFont="1" applyBorder="1"/>
    <xf numFmtId="0" fontId="8" fillId="0" borderId="24" xfId="0" applyFont="1" applyBorder="1"/>
    <xf numFmtId="165" fontId="34" fillId="0" borderId="24" xfId="1" applyNumberFormat="1" applyFont="1" applyBorder="1"/>
    <xf numFmtId="10" fontId="34" fillId="0" borderId="8" xfId="1" applyNumberFormat="1" applyFont="1" applyBorder="1"/>
    <xf numFmtId="0" fontId="29" fillId="0" borderId="24" xfId="0" applyFont="1" applyBorder="1"/>
    <xf numFmtId="10" fontId="29" fillId="0" borderId="8" xfId="1" applyNumberFormat="1" applyFont="1" applyBorder="1"/>
    <xf numFmtId="9" fontId="8" fillId="0" borderId="8" xfId="0" applyNumberFormat="1" applyFont="1" applyBorder="1"/>
    <xf numFmtId="164" fontId="8" fillId="0" borderId="24" xfId="0" applyNumberFormat="1" applyFont="1" applyBorder="1"/>
    <xf numFmtId="164" fontId="30" fillId="0" borderId="24" xfId="0" applyNumberFormat="1" applyFont="1" applyBorder="1"/>
    <xf numFmtId="164" fontId="30" fillId="0" borderId="8" xfId="0" applyNumberFormat="1" applyFont="1" applyBorder="1"/>
    <xf numFmtId="10" fontId="39" fillId="0" borderId="2" xfId="1" applyNumberFormat="1" applyFont="1" applyFill="1" applyBorder="1"/>
    <xf numFmtId="164" fontId="8" fillId="0" borderId="18" xfId="0" applyNumberFormat="1" applyFont="1" applyBorder="1"/>
    <xf numFmtId="171" fontId="8" fillId="0" borderId="0" xfId="0" applyNumberFormat="1" applyFont="1"/>
    <xf numFmtId="164" fontId="8" fillId="0" borderId="19" xfId="0" applyNumberFormat="1" applyFont="1" applyBorder="1"/>
    <xf numFmtId="10" fontId="27" fillId="0" borderId="2" xfId="1" applyNumberFormat="1" applyFont="1" applyBorder="1"/>
    <xf numFmtId="10" fontId="40" fillId="0" borderId="2" xfId="0" applyNumberFormat="1" applyFont="1" applyBorder="1"/>
    <xf numFmtId="0" fontId="31" fillId="0" borderId="24" xfId="0" applyFont="1" applyBorder="1"/>
    <xf numFmtId="164" fontId="31" fillId="0" borderId="24" xfId="0" applyNumberFormat="1" applyFont="1" applyBorder="1"/>
    <xf numFmtId="9" fontId="40" fillId="0" borderId="2" xfId="1" applyFont="1" applyBorder="1"/>
    <xf numFmtId="164" fontId="40" fillId="0" borderId="2" xfId="1" applyNumberFormat="1" applyFont="1" applyBorder="1"/>
    <xf numFmtId="0" fontId="15" fillId="5" borderId="14" xfId="0" applyFont="1" applyFill="1" applyBorder="1"/>
    <xf numFmtId="0" fontId="21" fillId="5" borderId="14" xfId="0" applyFont="1" applyFill="1" applyBorder="1"/>
    <xf numFmtId="0" fontId="21" fillId="5" borderId="14" xfId="0" applyFont="1" applyFill="1" applyBorder="1" applyAlignment="1">
      <alignment horizontal="center" vertical="center"/>
    </xf>
    <xf numFmtId="10" fontId="41" fillId="0" borderId="15" xfId="1" applyNumberFormat="1" applyFont="1" applyBorder="1"/>
    <xf numFmtId="10" fontId="28" fillId="13" borderId="15" xfId="1" applyNumberFormat="1" applyFont="1" applyFill="1" applyBorder="1"/>
    <xf numFmtId="0" fontId="42" fillId="2" borderId="0" xfId="0" applyFont="1" applyFill="1" applyAlignment="1">
      <alignment horizontal="center" vertical="center" wrapText="1"/>
    </xf>
    <xf numFmtId="164" fontId="8" fillId="0" borderId="0" xfId="2" applyNumberFormat="1" applyFont="1"/>
    <xf numFmtId="2" fontId="8" fillId="0" borderId="0" xfId="0" applyNumberFormat="1" applyFont="1"/>
    <xf numFmtId="172" fontId="8" fillId="0" borderId="0" xfId="0" applyNumberFormat="1" applyFont="1"/>
    <xf numFmtId="172" fontId="8" fillId="4" borderId="0" xfId="0" applyNumberFormat="1" applyFont="1" applyFill="1"/>
    <xf numFmtId="172" fontId="8" fillId="5" borderId="0" xfId="0" applyNumberFormat="1" applyFont="1" applyFill="1"/>
    <xf numFmtId="0" fontId="37" fillId="5" borderId="0" xfId="0" applyFont="1" applyFill="1" applyAlignment="1">
      <alignment horizontal="center"/>
    </xf>
    <xf numFmtId="0" fontId="37" fillId="5" borderId="0" xfId="0" applyFont="1" applyFill="1" applyAlignment="1">
      <alignment horizontal="centerContinuous"/>
    </xf>
    <xf numFmtId="0" fontId="38" fillId="5" borderId="0" xfId="0" applyFont="1" applyFill="1"/>
    <xf numFmtId="165" fontId="8" fillId="5" borderId="0" xfId="0" applyNumberFormat="1" applyFont="1" applyFill="1"/>
    <xf numFmtId="9" fontId="8" fillId="4" borderId="0" xfId="0" applyNumberFormat="1" applyFont="1" applyFill="1"/>
    <xf numFmtId="172" fontId="0" fillId="0" borderId="0" xfId="0" applyNumberFormat="1"/>
    <xf numFmtId="166" fontId="8" fillId="0" borderId="0" xfId="0" applyNumberFormat="1" applyFont="1"/>
    <xf numFmtId="10" fontId="40" fillId="5" borderId="15" xfId="1" applyNumberFormat="1" applyFont="1" applyFill="1" applyBorder="1"/>
    <xf numFmtId="0" fontId="21" fillId="0" borderId="2" xfId="0" applyFont="1" applyBorder="1" applyAlignment="1">
      <alignment horizontal="center" vertical="top"/>
    </xf>
    <xf numFmtId="0" fontId="28" fillId="0" borderId="2" xfId="0" applyFont="1" applyBorder="1" applyAlignment="1">
      <alignment horizontal="center" vertical="top"/>
    </xf>
    <xf numFmtId="177" fontId="8" fillId="0" borderId="0" xfId="0" applyNumberFormat="1" applyFont="1"/>
    <xf numFmtId="0" fontId="28" fillId="4" borderId="2" xfId="0" applyFont="1" applyFill="1" applyBorder="1" applyAlignment="1">
      <alignment horizontal="center" vertical="top"/>
    </xf>
    <xf numFmtId="0" fontId="8" fillId="4" borderId="0" xfId="0" applyFont="1" applyFill="1" applyAlignment="1">
      <alignment horizontal="center" vertical="center"/>
    </xf>
    <xf numFmtId="0" fontId="34" fillId="0" borderId="0" xfId="0" applyFont="1" applyAlignment="1">
      <alignment horizontal="centerContinuous"/>
    </xf>
    <xf numFmtId="0" fontId="34" fillId="0" borderId="0" xfId="0" applyFont="1" applyAlignment="1">
      <alignment horizontal="center"/>
    </xf>
    <xf numFmtId="176" fontId="8" fillId="0" borderId="0" xfId="0" applyNumberFormat="1" applyFont="1"/>
    <xf numFmtId="2" fontId="8" fillId="12" borderId="0" xfId="0" applyNumberFormat="1" applyFont="1" applyFill="1"/>
    <xf numFmtId="2" fontId="8" fillId="5" borderId="0" xfId="0" applyNumberFormat="1" applyFont="1" applyFill="1"/>
    <xf numFmtId="0" fontId="21" fillId="14" borderId="2" xfId="0" applyFont="1" applyFill="1" applyBorder="1" applyAlignment="1">
      <alignment horizontal="center" vertical="top"/>
    </xf>
    <xf numFmtId="177" fontId="8" fillId="11" borderId="26" xfId="0" applyNumberFormat="1" applyFont="1" applyFill="1" applyBorder="1"/>
    <xf numFmtId="165" fontId="8" fillId="11" borderId="26" xfId="1" applyNumberFormat="1" applyFont="1" applyFill="1" applyBorder="1"/>
    <xf numFmtId="177" fontId="8" fillId="0" borderId="26" xfId="0" applyNumberFormat="1" applyFont="1" applyBorder="1"/>
    <xf numFmtId="165" fontId="8" fillId="0" borderId="26" xfId="1" applyNumberFormat="1" applyFont="1" applyBorder="1"/>
    <xf numFmtId="177" fontId="8" fillId="4" borderId="26" xfId="0" applyNumberFormat="1" applyFont="1" applyFill="1" applyBorder="1"/>
    <xf numFmtId="165" fontId="8" fillId="4" borderId="26" xfId="1" applyNumberFormat="1" applyFont="1" applyFill="1" applyBorder="1"/>
    <xf numFmtId="9" fontId="8" fillId="12" borderId="0" xfId="1" applyFont="1" applyFill="1" applyBorder="1"/>
    <xf numFmtId="0" fontId="8" fillId="11" borderId="26" xfId="0" applyFont="1" applyFill="1" applyBorder="1"/>
    <xf numFmtId="0" fontId="8" fillId="0" borderId="26" xfId="0" applyFont="1" applyBorder="1"/>
    <xf numFmtId="0" fontId="8" fillId="4" borderId="26" xfId="0" applyFont="1" applyFill="1" applyBorder="1"/>
    <xf numFmtId="2" fontId="8" fillId="0" borderId="0" xfId="0" applyNumberFormat="1" applyFont="1" applyAlignment="1">
      <alignment horizontal="center" vertical="center"/>
    </xf>
    <xf numFmtId="177" fontId="8" fillId="0" borderId="0" xfId="0" applyNumberFormat="1" applyFont="1" applyAlignment="1">
      <alignment horizontal="center" vertical="center"/>
    </xf>
    <xf numFmtId="165" fontId="8" fillId="0" borderId="0" xfId="1" applyNumberFormat="1" applyFont="1" applyAlignment="1">
      <alignment horizontal="center" vertical="center"/>
    </xf>
    <xf numFmtId="2" fontId="8" fillId="4" borderId="0" xfId="0" applyNumberFormat="1" applyFont="1" applyFill="1" applyAlignment="1">
      <alignment horizontal="center" vertical="center"/>
    </xf>
    <xf numFmtId="177" fontId="8" fillId="4" borderId="0" xfId="0" applyNumberFormat="1" applyFont="1" applyFill="1" applyAlignment="1">
      <alignment horizontal="center" vertical="center"/>
    </xf>
    <xf numFmtId="165" fontId="8" fillId="4" borderId="0" xfId="1" applyNumberFormat="1" applyFont="1" applyFill="1" applyAlignment="1">
      <alignment horizontal="center" vertical="center"/>
    </xf>
    <xf numFmtId="0" fontId="8" fillId="3" borderId="0" xfId="0" applyFont="1" applyFill="1"/>
    <xf numFmtId="172" fontId="8" fillId="3" borderId="0" xfId="0" applyNumberFormat="1" applyFont="1" applyFill="1"/>
    <xf numFmtId="165" fontId="8" fillId="3" borderId="0" xfId="1" applyNumberFormat="1" applyFont="1" applyFill="1"/>
    <xf numFmtId="9" fontId="8" fillId="3" borderId="0" xfId="1" applyFont="1" applyFill="1"/>
    <xf numFmtId="164" fontId="8" fillId="4" borderId="0" xfId="0" applyNumberFormat="1" applyFont="1" applyFill="1"/>
    <xf numFmtId="165" fontId="16" fillId="0" borderId="0" xfId="0" applyNumberFormat="1" applyFont="1"/>
    <xf numFmtId="9" fontId="16" fillId="0" borderId="0" xfId="0" applyNumberFormat="1" applyFont="1"/>
    <xf numFmtId="0" fontId="31" fillId="0" borderId="0" xfId="0" applyFont="1"/>
    <xf numFmtId="0" fontId="8" fillId="0" borderId="2" xfId="0" applyFont="1" applyBorder="1" applyAlignment="1">
      <alignment vertical="center"/>
    </xf>
    <xf numFmtId="9" fontId="8" fillId="0" borderId="2" xfId="0" applyNumberFormat="1" applyFont="1" applyBorder="1" applyAlignment="1">
      <alignment vertical="center"/>
    </xf>
    <xf numFmtId="0" fontId="8" fillId="0" borderId="2" xfId="1" applyNumberFormat="1" applyFont="1" applyBorder="1"/>
    <xf numFmtId="0" fontId="8" fillId="4" borderId="2" xfId="0" applyFont="1" applyFill="1" applyBorder="1"/>
    <xf numFmtId="10" fontId="8" fillId="4" borderId="6" xfId="0" applyNumberFormat="1" applyFont="1" applyFill="1" applyBorder="1"/>
    <xf numFmtId="0" fontId="8" fillId="0" borderId="0" xfId="0" applyFont="1" applyAlignment="1">
      <alignment horizontal="center"/>
    </xf>
    <xf numFmtId="0" fontId="8" fillId="0" borderId="2" xfId="0" applyFont="1" applyBorder="1" applyAlignment="1">
      <alignment horizontal="left" vertical="center"/>
    </xf>
    <xf numFmtId="10" fontId="8" fillId="0" borderId="2" xfId="0" applyNumberFormat="1" applyFont="1" applyBorder="1" applyAlignment="1">
      <alignment horizontal="center"/>
    </xf>
    <xf numFmtId="0" fontId="8" fillId="5" borderId="0" xfId="0" applyFont="1" applyFill="1" applyAlignment="1">
      <alignment horizontal="center"/>
    </xf>
    <xf numFmtId="10" fontId="8" fillId="5" borderId="0" xfId="0" applyNumberFormat="1" applyFont="1" applyFill="1" applyAlignment="1">
      <alignment horizontal="center"/>
    </xf>
    <xf numFmtId="0" fontId="8" fillId="0" borderId="0" xfId="0" applyFont="1" applyAlignment="1">
      <alignment horizontal="left" vertical="center"/>
    </xf>
    <xf numFmtId="0" fontId="8" fillId="0" borderId="3"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0" fontId="8" fillId="0" borderId="4" xfId="0" applyFont="1" applyBorder="1" applyAlignment="1">
      <alignment horizontal="center"/>
    </xf>
    <xf numFmtId="0" fontId="8" fillId="0" borderId="11" xfId="0" applyFont="1" applyBorder="1" applyAlignment="1">
      <alignment horizontal="center"/>
    </xf>
    <xf numFmtId="0" fontId="21" fillId="5" borderId="0" xfId="0" applyFont="1" applyFill="1" applyAlignment="1">
      <alignment horizontal="center"/>
    </xf>
    <xf numFmtId="0" fontId="13" fillId="0" borderId="3" xfId="0" applyFont="1" applyBorder="1" applyAlignment="1">
      <alignment horizontal="center"/>
    </xf>
    <xf numFmtId="0" fontId="13" fillId="0" borderId="8" xfId="0" applyFont="1" applyBorder="1" applyAlignment="1">
      <alignment horizontal="center"/>
    </xf>
    <xf numFmtId="164" fontId="8" fillId="11" borderId="2" xfId="0" applyNumberFormat="1" applyFont="1" applyFill="1" applyBorder="1"/>
    <xf numFmtId="168" fontId="8" fillId="11" borderId="22" xfId="0" applyNumberFormat="1" applyFont="1" applyFill="1" applyBorder="1"/>
    <xf numFmtId="0" fontId="8" fillId="5" borderId="0" xfId="0" applyFont="1" applyFill="1" applyBorder="1"/>
    <xf numFmtId="0" fontId="8" fillId="0" borderId="0" xfId="0" applyFont="1" applyBorder="1"/>
    <xf numFmtId="0" fontId="13" fillId="5" borderId="0" xfId="0" applyFont="1" applyFill="1" applyBorder="1" applyAlignment="1">
      <alignment horizontal="center"/>
    </xf>
    <xf numFmtId="168" fontId="8" fillId="12" borderId="0" xfId="0" applyNumberFormat="1" applyFont="1" applyFill="1" applyBorder="1"/>
    <xf numFmtId="165" fontId="8" fillId="12" borderId="0" xfId="1" applyNumberFormat="1" applyFont="1" applyFill="1" applyBorder="1"/>
    <xf numFmtId="168" fontId="8" fillId="5" borderId="0" xfId="0" applyNumberFormat="1" applyFont="1" applyFill="1" applyBorder="1"/>
    <xf numFmtId="165" fontId="8" fillId="5" borderId="0" xfId="1" applyNumberFormat="1" applyFont="1" applyFill="1" applyBorder="1"/>
    <xf numFmtId="164" fontId="16" fillId="5" borderId="0" xfId="0" applyNumberFormat="1" applyFont="1" applyFill="1"/>
    <xf numFmtId="10" fontId="8" fillId="12" borderId="0" xfId="1" applyNumberFormat="1" applyFont="1" applyFill="1" applyBorder="1"/>
    <xf numFmtId="165" fontId="40" fillId="0" borderId="2" xfId="1" applyNumberFormat="1" applyFont="1" applyBorder="1"/>
  </cellXfs>
  <cellStyles count="3">
    <cellStyle name="Currency" xfId="2" builtinId="4"/>
    <cellStyle name="Normal" xfId="0" builtinId="0"/>
    <cellStyle name="Percent" xfId="1" builtinId="5"/>
  </cellStyles>
  <dxfs count="55">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5" formatCode="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fill>
        <patternFill patternType="solid">
          <fgColor indexed="64"/>
          <bgColor theme="0" tint="-0.249977111117893"/>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4" formatCode="_-[$$-409]* #,##0.00_ ;_-[$$-409]* \-#,##0.00\ ;_-[$$-409]* &quot;-&quot;??_ ;_-@_ "/>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0" formatCode="General"/>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5" formatCode="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8" formatCode="_-[$$-409]* #,##0.000_ ;_-[$$-409]* \-#,##0.000\ ;_-[$$-409]* &quot;-&quot;??_ ;_-@_ "/>
      <fill>
        <patternFill patternType="solid">
          <fgColor indexed="64"/>
          <bgColor theme="0" tint="-0.249977111117893"/>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4" formatCode="_-[$$-409]* #,##0.00_ ;_-[$$-409]* \-#,##0.00\ ;_-[$$-409]* &quot;-&quot;??_ ;_-@_ "/>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alignment horizontal="center" vertical="center" textRotation="0" wrapText="0" indent="0" justifyLastLine="0" shrinkToFit="0" readingOrder="0"/>
    </dxf>
    <dxf>
      <font>
        <strike val="0"/>
        <outline val="0"/>
        <shadow val="0"/>
        <u val="none"/>
        <vertAlign val="baseline"/>
        <sz val="11"/>
        <name val="Times New Roman"/>
        <family val="1"/>
        <scheme val="none"/>
      </font>
      <numFmt numFmtId="177" formatCode="0.000"/>
      <alignment horizontal="center" vertical="center" textRotation="0" wrapText="0" indent="0" justifyLastLine="0" shrinkToFit="0" readingOrder="0"/>
    </dxf>
    <dxf>
      <font>
        <strike val="0"/>
        <outline val="0"/>
        <shadow val="0"/>
        <u val="none"/>
        <vertAlign val="baseline"/>
        <sz val="11"/>
        <name val="Times New Roman"/>
        <family val="1"/>
        <scheme val="none"/>
      </font>
      <numFmt numFmtId="165" formatCode="0.0%"/>
      <alignment horizontal="center" vertical="center" textRotation="0" wrapText="0" indent="0" justifyLastLine="0" shrinkToFit="0" readingOrder="0"/>
    </dxf>
    <dxf>
      <font>
        <strike val="0"/>
        <outline val="0"/>
        <shadow val="0"/>
        <u val="none"/>
        <vertAlign val="baseline"/>
        <sz val="11"/>
        <name val="Times New Roman"/>
        <family val="1"/>
        <scheme val="none"/>
      </font>
      <numFmt numFmtId="177" formatCode="0.000"/>
      <alignment horizontal="center" vertical="center" textRotation="0" wrapText="0" indent="0" justifyLastLine="0" shrinkToFit="0" readingOrder="0"/>
    </dxf>
    <dxf>
      <font>
        <strike val="0"/>
        <outline val="0"/>
        <shadow val="0"/>
        <u val="none"/>
        <vertAlign val="baseline"/>
        <sz val="11"/>
        <name val="Times New Roman"/>
        <family val="1"/>
        <scheme val="none"/>
      </font>
      <alignment horizontal="center" vertical="center" textRotation="0" wrapText="0" indent="0" justifyLastLine="0" shrinkToFit="0" readingOrder="0"/>
    </dxf>
    <dxf>
      <font>
        <strike val="0"/>
        <outline val="0"/>
        <shadow val="0"/>
        <u val="none"/>
        <vertAlign val="baseline"/>
        <sz val="11"/>
        <name val="Times New Roman"/>
        <family val="1"/>
        <scheme val="none"/>
      </font>
      <alignment horizontal="center" vertical="center" textRotation="0" wrapText="0" indent="0" justifyLastLine="0" shrinkToFit="0" readingOrder="0"/>
    </dxf>
    <dxf>
      <font>
        <strike val="0"/>
        <outline val="0"/>
        <shadow val="0"/>
        <u val="none"/>
        <vertAlign val="baseline"/>
        <sz val="11"/>
        <name val="Times New Roman"/>
        <family val="1"/>
        <scheme val="none"/>
      </font>
      <alignment horizontal="center" vertical="center" textRotation="0" wrapText="0" indent="0" justifyLastLine="0" shrinkToFit="0" readingOrder="0"/>
    </dxf>
    <dxf>
      <font>
        <strike val="0"/>
        <outline val="0"/>
        <shadow val="0"/>
        <u val="none"/>
        <vertAlign val="baseline"/>
        <sz val="11"/>
        <name val="Times New Roman"/>
        <family val="1"/>
        <scheme val="none"/>
      </font>
      <numFmt numFmtId="2" formatCode="0.00"/>
      <alignment horizontal="center" vertical="center" textRotation="0" wrapText="0" indent="0" justifyLastLine="0" shrinkToFit="0" readingOrder="0"/>
    </dxf>
    <dxf>
      <font>
        <strike val="0"/>
        <outline val="0"/>
        <shadow val="0"/>
        <u val="none"/>
        <vertAlign val="baseline"/>
        <sz val="11"/>
        <name val="Times New Roman"/>
        <family val="1"/>
        <scheme val="none"/>
      </font>
      <numFmt numFmtId="2" formatCode="0.00"/>
      <alignment horizontal="center" vertical="center" textRotation="0" wrapText="0" indent="0" justifyLastLine="0" shrinkToFit="0" readingOrder="0"/>
    </dxf>
    <dxf>
      <font>
        <strike val="0"/>
        <outline val="0"/>
        <shadow val="0"/>
        <u val="none"/>
        <vertAlign val="baseline"/>
        <sz val="11"/>
        <name val="Times New Roman"/>
        <family val="1"/>
        <scheme val="none"/>
      </font>
      <numFmt numFmtId="2" formatCode="0.00"/>
      <alignment horizontal="center" vertical="center" textRotation="0" wrapText="0" indent="0" justifyLastLine="0" shrinkToFit="0" readingOrder="0"/>
    </dxf>
    <dxf>
      <font>
        <strike val="0"/>
        <outline val="0"/>
        <shadow val="0"/>
        <u val="none"/>
        <vertAlign val="baseline"/>
        <sz val="11"/>
        <name val="Times New Roman"/>
        <family val="1"/>
        <scheme val="none"/>
      </font>
      <numFmt numFmtId="2" formatCode="0.00"/>
      <alignment horizontal="center" vertical="center" textRotation="0" wrapText="0" indent="0" justifyLastLine="0" shrinkToFit="0" readingOrder="0"/>
    </dxf>
    <dxf>
      <font>
        <strike val="0"/>
        <outline val="0"/>
        <shadow val="0"/>
        <u val="none"/>
        <vertAlign val="baseline"/>
        <sz val="11"/>
        <name val="Times New Roman"/>
        <family val="1"/>
        <scheme val="none"/>
      </font>
    </dxf>
    <dxf>
      <font>
        <b/>
        <i val="0"/>
        <strike val="0"/>
        <condense val="0"/>
        <extend val="0"/>
        <outline val="0"/>
        <shadow val="0"/>
        <u val="none"/>
        <vertAlign val="baseline"/>
        <sz val="11"/>
        <color auto="1"/>
        <name val="Times New Roman"/>
        <family val="1"/>
        <scheme val="none"/>
      </font>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Times New Roman"/>
        <family val="1"/>
        <scheme val="none"/>
      </font>
    </dxf>
    <dxf>
      <font>
        <b/>
        <i val="0"/>
        <strike val="0"/>
        <condense val="0"/>
        <extend val="0"/>
        <outline val="0"/>
        <shadow val="0"/>
        <u val="none"/>
        <vertAlign val="baseline"/>
        <sz val="11"/>
        <color theme="0"/>
        <name val="Times New Roman"/>
        <family val="1"/>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161"/>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7.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8.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analysis!$C$2</c:f>
              <c:strCache>
                <c:ptCount val="1"/>
                <c:pt idx="0">
                  <c:v>net income</c:v>
                </c:pt>
              </c:strCache>
            </c:strRef>
          </c:tx>
          <c:spPr>
            <a:solidFill>
              <a:srgbClr val="00B050"/>
            </a:solidFill>
            <a:ln>
              <a:noFill/>
            </a:ln>
            <a:effectLst/>
          </c:spPr>
          <c:invertIfNegative val="0"/>
          <c:cat>
            <c:numRef>
              <c:f>analysis!$B$3:$B$15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analysis!$C$3:$C$15</c:f>
              <c:numCache>
                <c:formatCode>_-[$$-409]* #,##0.00_ ;_-[$$-409]* \-#,##0.00\ ;_-[$$-409]* "-"??_ ;_-@_ </c:formatCode>
                <c:ptCount val="13"/>
                <c:pt idx="0">
                  <c:v>31</c:v>
                </c:pt>
                <c:pt idx="1">
                  <c:v>29</c:v>
                </c:pt>
                <c:pt idx="2">
                  <c:v>21</c:v>
                </c:pt>
                <c:pt idx="3">
                  <c:v>13</c:v>
                </c:pt>
                <c:pt idx="4">
                  <c:v>7</c:v>
                </c:pt>
                <c:pt idx="5">
                  <c:v>15</c:v>
                </c:pt>
                <c:pt idx="6">
                  <c:v>13</c:v>
                </c:pt>
                <c:pt idx="7">
                  <c:v>27</c:v>
                </c:pt>
                <c:pt idx="8">
                  <c:v>23</c:v>
                </c:pt>
                <c:pt idx="9">
                  <c:v>30</c:v>
                </c:pt>
                <c:pt idx="10">
                  <c:v>36</c:v>
                </c:pt>
                <c:pt idx="11">
                  <c:v>54</c:v>
                </c:pt>
                <c:pt idx="12">
                  <c:v>63</c:v>
                </c:pt>
              </c:numCache>
            </c:numRef>
          </c:val>
          <c:extLst>
            <c:ext xmlns:c16="http://schemas.microsoft.com/office/drawing/2014/chart" uri="{C3380CC4-5D6E-409C-BE32-E72D297353CC}">
              <c16:uniqueId val="{00000000-9658-4142-BC7E-11ED0DBFDEEB}"/>
            </c:ext>
          </c:extLst>
        </c:ser>
        <c:dLbls>
          <c:showLegendKey val="0"/>
          <c:showVal val="0"/>
          <c:showCatName val="0"/>
          <c:showSerName val="0"/>
          <c:showPercent val="0"/>
          <c:showBubbleSize val="0"/>
        </c:dLbls>
        <c:gapWidth val="121"/>
        <c:overlap val="-27"/>
        <c:axId val="1548380223"/>
        <c:axId val="1548381183"/>
      </c:barChart>
      <c:catAx>
        <c:axId val="154838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81183"/>
        <c:crosses val="autoZero"/>
        <c:auto val="1"/>
        <c:lblAlgn val="ctr"/>
        <c:lblOffset val="100"/>
        <c:noMultiLvlLbl val="0"/>
      </c:catAx>
      <c:valAx>
        <c:axId val="1548381183"/>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80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analysis!$C$168</c:f>
              <c:strCache>
                <c:ptCount val="1"/>
                <c:pt idx="0">
                  <c:v>net income</c:v>
                </c:pt>
              </c:strCache>
            </c:strRef>
          </c:tx>
          <c:spPr>
            <a:solidFill>
              <a:schemeClr val="accent1"/>
            </a:solidFill>
            <a:ln>
              <a:noFill/>
            </a:ln>
            <a:effectLst/>
          </c:spPr>
          <c:invertIfNegative val="0"/>
          <c:dPt>
            <c:idx val="19"/>
            <c:invertIfNegative val="0"/>
            <c:bubble3D val="0"/>
            <c:spPr>
              <a:solidFill>
                <a:srgbClr val="FFC000"/>
              </a:solidFill>
              <a:ln>
                <a:noFill/>
              </a:ln>
              <a:effectLst/>
            </c:spPr>
            <c:extLst>
              <c:ext xmlns:c16="http://schemas.microsoft.com/office/drawing/2014/chart" uri="{C3380CC4-5D6E-409C-BE32-E72D297353CC}">
                <c16:uniqueId val="{00000001-BBD2-46B2-9A79-BDD79AC89FE5}"/>
              </c:ext>
            </c:extLst>
          </c:dPt>
          <c:dPt>
            <c:idx val="20"/>
            <c:invertIfNegative val="0"/>
            <c:bubble3D val="0"/>
            <c:spPr>
              <a:solidFill>
                <a:srgbClr val="FFC000"/>
              </a:solidFill>
              <a:ln>
                <a:noFill/>
              </a:ln>
              <a:effectLst/>
            </c:spPr>
            <c:extLst>
              <c:ext xmlns:c16="http://schemas.microsoft.com/office/drawing/2014/chart" uri="{C3380CC4-5D6E-409C-BE32-E72D297353CC}">
                <c16:uniqueId val="{00000002-BBD2-46B2-9A79-BDD79AC89FE5}"/>
              </c:ext>
            </c:extLst>
          </c:dPt>
          <c:dPt>
            <c:idx val="21"/>
            <c:invertIfNegative val="0"/>
            <c:bubble3D val="0"/>
            <c:spPr>
              <a:solidFill>
                <a:srgbClr val="FFC000"/>
              </a:solidFill>
              <a:ln>
                <a:noFill/>
              </a:ln>
              <a:effectLst/>
            </c:spPr>
            <c:extLst>
              <c:ext xmlns:c16="http://schemas.microsoft.com/office/drawing/2014/chart" uri="{C3380CC4-5D6E-409C-BE32-E72D297353CC}">
                <c16:uniqueId val="{00000003-BBD2-46B2-9A79-BDD79AC89FE5}"/>
              </c:ext>
            </c:extLst>
          </c:dPt>
          <c:dPt>
            <c:idx val="22"/>
            <c:invertIfNegative val="0"/>
            <c:bubble3D val="0"/>
            <c:spPr>
              <a:solidFill>
                <a:srgbClr val="FFC000"/>
              </a:solidFill>
              <a:ln>
                <a:noFill/>
              </a:ln>
              <a:effectLst/>
            </c:spPr>
            <c:extLst>
              <c:ext xmlns:c16="http://schemas.microsoft.com/office/drawing/2014/chart" uri="{C3380CC4-5D6E-409C-BE32-E72D297353CC}">
                <c16:uniqueId val="{00000004-BBD2-46B2-9A79-BDD79AC89FE5}"/>
              </c:ext>
            </c:extLst>
          </c:dPt>
          <c:dPt>
            <c:idx val="23"/>
            <c:invertIfNegative val="0"/>
            <c:bubble3D val="0"/>
            <c:spPr>
              <a:solidFill>
                <a:srgbClr val="FFC000"/>
              </a:solidFill>
              <a:ln>
                <a:noFill/>
              </a:ln>
              <a:effectLst/>
            </c:spPr>
            <c:extLst>
              <c:ext xmlns:c16="http://schemas.microsoft.com/office/drawing/2014/chart" uri="{C3380CC4-5D6E-409C-BE32-E72D297353CC}">
                <c16:uniqueId val="{00000005-BBD2-46B2-9A79-BDD79AC89FE5}"/>
              </c:ext>
            </c:extLst>
          </c:dPt>
          <c:dPt>
            <c:idx val="24"/>
            <c:invertIfNegative val="0"/>
            <c:bubble3D val="0"/>
            <c:spPr>
              <a:solidFill>
                <a:srgbClr val="FFC000"/>
              </a:solidFill>
              <a:ln>
                <a:noFill/>
              </a:ln>
              <a:effectLst/>
            </c:spPr>
            <c:extLst>
              <c:ext xmlns:c16="http://schemas.microsoft.com/office/drawing/2014/chart" uri="{C3380CC4-5D6E-409C-BE32-E72D297353CC}">
                <c16:uniqueId val="{00000006-BBD2-46B2-9A79-BDD79AC89FE5}"/>
              </c:ext>
            </c:extLst>
          </c:dPt>
          <c:dPt>
            <c:idx val="25"/>
            <c:invertIfNegative val="0"/>
            <c:bubble3D val="0"/>
            <c:spPr>
              <a:solidFill>
                <a:srgbClr val="FFC000"/>
              </a:solidFill>
              <a:ln>
                <a:noFill/>
              </a:ln>
              <a:effectLst/>
            </c:spPr>
            <c:extLst>
              <c:ext xmlns:c16="http://schemas.microsoft.com/office/drawing/2014/chart" uri="{C3380CC4-5D6E-409C-BE32-E72D297353CC}">
                <c16:uniqueId val="{00000007-BBD2-46B2-9A79-BDD79AC89FE5}"/>
              </c:ext>
            </c:extLst>
          </c:dPt>
          <c:cat>
            <c:strRef>
              <c:f>analysis!$B$169:$B$194</c:f>
              <c:strCache>
                <c:ptCount val="26"/>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pt idx="19">
                  <c:v>2024 Q2</c:v>
                </c:pt>
                <c:pt idx="20">
                  <c:v>2024 Q3</c:v>
                </c:pt>
                <c:pt idx="21">
                  <c:v>2024 Q4</c:v>
                </c:pt>
                <c:pt idx="22">
                  <c:v>2025 Q1</c:v>
                </c:pt>
                <c:pt idx="23">
                  <c:v>2025 Q2</c:v>
                </c:pt>
                <c:pt idx="24">
                  <c:v>2025 Q3</c:v>
                </c:pt>
                <c:pt idx="25">
                  <c:v>2025 Q4</c:v>
                </c:pt>
              </c:strCache>
            </c:strRef>
          </c:cat>
          <c:val>
            <c:numRef>
              <c:f>analysis!$C$169:$C$194</c:f>
              <c:numCache>
                <c:formatCode>_-[$$-409]* #,##0_ ;_-[$$-409]* \-#,##0\ ;_-[$$-409]* "-"??_ ;_-@_ </c:formatCode>
                <c:ptCount val="26"/>
                <c:pt idx="0">
                  <c:v>8044</c:v>
                </c:pt>
                <c:pt idx="1">
                  <c:v>5602</c:v>
                </c:pt>
                <c:pt idx="2">
                  <c:v>3653</c:v>
                </c:pt>
                <c:pt idx="3">
                  <c:v>10488</c:v>
                </c:pt>
                <c:pt idx="4">
                  <c:v>12962</c:v>
                </c:pt>
                <c:pt idx="5">
                  <c:v>2658</c:v>
                </c:pt>
                <c:pt idx="6">
                  <c:v>7177</c:v>
                </c:pt>
                <c:pt idx="7">
                  <c:v>8891</c:v>
                </c:pt>
                <c:pt idx="8">
                  <c:v>10703</c:v>
                </c:pt>
                <c:pt idx="9">
                  <c:v>8950</c:v>
                </c:pt>
                <c:pt idx="10">
                  <c:v>12301</c:v>
                </c:pt>
                <c:pt idx="11">
                  <c:v>13721</c:v>
                </c:pt>
                <c:pt idx="12">
                  <c:v>11889</c:v>
                </c:pt>
                <c:pt idx="13">
                  <c:v>16488</c:v>
                </c:pt>
                <c:pt idx="14">
                  <c:v>21419</c:v>
                </c:pt>
                <c:pt idx="15">
                  <c:v>20464</c:v>
                </c:pt>
                <c:pt idx="16">
                  <c:v>15145</c:v>
                </c:pt>
                <c:pt idx="17">
                  <c:v>6309</c:v>
                </c:pt>
                <c:pt idx="18">
                  <c:v>9603</c:v>
                </c:pt>
                <c:pt idx="19">
                  <c:v>10947.420000000002</c:v>
                </c:pt>
                <c:pt idx="20">
                  <c:v>12480.058800000004</c:v>
                </c:pt>
                <c:pt idx="21">
                  <c:v>14227.267032000007</c:v>
                </c:pt>
                <c:pt idx="22">
                  <c:v>16219.084416480009</c:v>
                </c:pt>
                <c:pt idx="23">
                  <c:v>18489.756234787212</c:v>
                </c:pt>
                <c:pt idx="24">
                  <c:v>21078.322107657423</c:v>
                </c:pt>
                <c:pt idx="25">
                  <c:v>24029.287202729465</c:v>
                </c:pt>
              </c:numCache>
            </c:numRef>
          </c:val>
          <c:extLst>
            <c:ext xmlns:c16="http://schemas.microsoft.com/office/drawing/2014/chart" uri="{C3380CC4-5D6E-409C-BE32-E72D297353CC}">
              <c16:uniqueId val="{00000000-BBD2-46B2-9A79-BDD79AC89FE5}"/>
            </c:ext>
          </c:extLst>
        </c:ser>
        <c:dLbls>
          <c:showLegendKey val="0"/>
          <c:showVal val="0"/>
          <c:showCatName val="0"/>
          <c:showSerName val="0"/>
          <c:showPercent val="0"/>
          <c:showBubbleSize val="0"/>
        </c:dLbls>
        <c:gapWidth val="219"/>
        <c:overlap val="-27"/>
        <c:axId val="709636160"/>
        <c:axId val="709634240"/>
      </c:barChart>
      <c:catAx>
        <c:axId val="70963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34240"/>
        <c:crosses val="autoZero"/>
        <c:auto val="1"/>
        <c:lblAlgn val="ctr"/>
        <c:lblOffset val="100"/>
        <c:noMultiLvlLbl val="0"/>
      </c:catAx>
      <c:valAx>
        <c:axId val="70963424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36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analysis!$C$198</c:f>
              <c:strCache>
                <c:ptCount val="1"/>
                <c:pt idx="0">
                  <c:v>net income</c:v>
                </c:pt>
              </c:strCache>
            </c:strRef>
          </c:tx>
          <c:spPr>
            <a:solidFill>
              <a:schemeClr val="accent5"/>
            </a:solidFill>
            <a:ln>
              <a:noFill/>
            </a:ln>
            <a:effectLst/>
          </c:spPr>
          <c:invertIfNegative val="0"/>
          <c:dPt>
            <c:idx val="8"/>
            <c:invertIfNegative val="0"/>
            <c:bubble3D val="0"/>
            <c:spPr>
              <a:solidFill>
                <a:srgbClr val="FF6161"/>
              </a:solidFill>
              <a:ln>
                <a:noFill/>
              </a:ln>
              <a:effectLst/>
            </c:spPr>
            <c:extLst>
              <c:ext xmlns:c16="http://schemas.microsoft.com/office/drawing/2014/chart" uri="{C3380CC4-5D6E-409C-BE32-E72D297353CC}">
                <c16:uniqueId val="{00000004-010E-482A-B58F-FD2E48B19FA3}"/>
              </c:ext>
            </c:extLst>
          </c:dPt>
          <c:dPt>
            <c:idx val="13"/>
            <c:invertIfNegative val="0"/>
            <c:bubble3D val="0"/>
            <c:spPr>
              <a:solidFill>
                <a:srgbClr val="FF0000"/>
              </a:solidFill>
              <a:ln>
                <a:noFill/>
              </a:ln>
              <a:effectLst/>
            </c:spPr>
            <c:extLst>
              <c:ext xmlns:c16="http://schemas.microsoft.com/office/drawing/2014/chart" uri="{C3380CC4-5D6E-409C-BE32-E72D297353CC}">
                <c16:uniqueId val="{00000002-010E-482A-B58F-FD2E48B19FA3}"/>
              </c:ext>
            </c:extLst>
          </c:dPt>
          <c:dPt>
            <c:idx val="14"/>
            <c:invertIfNegative val="0"/>
            <c:bubble3D val="0"/>
            <c:spPr>
              <a:solidFill>
                <a:srgbClr val="FFC000"/>
              </a:solidFill>
              <a:ln>
                <a:noFill/>
              </a:ln>
              <a:effectLst/>
            </c:spPr>
            <c:extLst>
              <c:ext xmlns:c16="http://schemas.microsoft.com/office/drawing/2014/chart" uri="{C3380CC4-5D6E-409C-BE32-E72D297353CC}">
                <c16:uniqueId val="{00000003-010E-482A-B58F-FD2E48B19FA3}"/>
              </c:ext>
            </c:extLst>
          </c:dPt>
          <c:cat>
            <c:numRef>
              <c:f>analysis!$B$199:$B$213</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analysis!$C$199:$C$213</c:f>
              <c:numCache>
                <c:formatCode>_-[$$-409]* #,##0.00_ ;_-[$$-409]* \-#,##0.00\ ;_-[$$-409]* "-"??_ ;_-@_ </c:formatCode>
                <c:ptCount val="15"/>
                <c:pt idx="0">
                  <c:v>31</c:v>
                </c:pt>
                <c:pt idx="1">
                  <c:v>29</c:v>
                </c:pt>
                <c:pt idx="2">
                  <c:v>21</c:v>
                </c:pt>
                <c:pt idx="3">
                  <c:v>13</c:v>
                </c:pt>
                <c:pt idx="4">
                  <c:v>7</c:v>
                </c:pt>
                <c:pt idx="5">
                  <c:v>15</c:v>
                </c:pt>
                <c:pt idx="6">
                  <c:v>13</c:v>
                </c:pt>
                <c:pt idx="7">
                  <c:v>27</c:v>
                </c:pt>
                <c:pt idx="8">
                  <c:v>23</c:v>
                </c:pt>
                <c:pt idx="9">
                  <c:v>30</c:v>
                </c:pt>
                <c:pt idx="10">
                  <c:v>36</c:v>
                </c:pt>
                <c:pt idx="11">
                  <c:v>54</c:v>
                </c:pt>
                <c:pt idx="12">
                  <c:v>63</c:v>
                </c:pt>
                <c:pt idx="13" formatCode="_-[$$-409]* #,##0.000_ ;_-[$$-409]* \-#,##0.000\ ;_-[$$-409]* &quot;-&quot;??_ ;_-@_ ">
                  <c:v>47.257745832000012</c:v>
                </c:pt>
                <c:pt idx="14" formatCode="_-[$$-409]* #,##0.000_ ;_-[$$-409]* \-#,##0.000\ ;_-[$$-409]* &quot;-&quot;??_ ;_-@_ ">
                  <c:v>79.816449961654115</c:v>
                </c:pt>
              </c:numCache>
            </c:numRef>
          </c:val>
          <c:extLst>
            <c:ext xmlns:c16="http://schemas.microsoft.com/office/drawing/2014/chart" uri="{C3380CC4-5D6E-409C-BE32-E72D297353CC}">
              <c16:uniqueId val="{00000000-010E-482A-B58F-FD2E48B19FA3}"/>
            </c:ext>
          </c:extLst>
        </c:ser>
        <c:dLbls>
          <c:showLegendKey val="0"/>
          <c:showVal val="0"/>
          <c:showCatName val="0"/>
          <c:showSerName val="0"/>
          <c:showPercent val="0"/>
          <c:showBubbleSize val="0"/>
        </c:dLbls>
        <c:gapWidth val="219"/>
        <c:overlap val="-27"/>
        <c:axId val="1709897103"/>
        <c:axId val="1709905743"/>
      </c:barChart>
      <c:catAx>
        <c:axId val="17098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5743"/>
        <c:crosses val="autoZero"/>
        <c:auto val="1"/>
        <c:lblAlgn val="ctr"/>
        <c:lblOffset val="100"/>
        <c:noMultiLvlLbl val="0"/>
      </c:catAx>
      <c:valAx>
        <c:axId val="170990574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97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analysis!$G$218</c:f>
              <c:strCache>
                <c:ptCount val="1"/>
                <c:pt idx="0">
                  <c:v>net margins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analysis!$B$219:$B$237</c:f>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f>analysis!$G$219:$G$237</c:f>
              <c:numCache>
                <c:formatCode>0%</c:formatCode>
                <c:ptCount val="19"/>
                <c:pt idx="0">
                  <c:v>6.7473598563963191E-2</c:v>
                </c:pt>
                <c:pt idx="1">
                  <c:v>4.9292118716398742E-2</c:v>
                </c:pt>
                <c:pt idx="2">
                  <c:v>3.5517053630459303E-2</c:v>
                </c:pt>
                <c:pt idx="3">
                  <c:v>8.9161686318849936E-2</c:v>
                </c:pt>
                <c:pt idx="4">
                  <c:v>0.10169225579187686</c:v>
                </c:pt>
                <c:pt idx="5">
                  <c:v>2.2429433357242311E-2</c:v>
                </c:pt>
                <c:pt idx="6">
                  <c:v>6.1053312123042373E-2</c:v>
                </c:pt>
                <c:pt idx="7">
                  <c:v>6.6830529623115198E-2</c:v>
                </c:pt>
                <c:pt idx="8">
                  <c:v>7.9058945191313332E-2</c:v>
                </c:pt>
                <c:pt idx="9">
                  <c:v>6.8088796920408381E-2</c:v>
                </c:pt>
                <c:pt idx="10">
                  <c:v>8.8993872220976239E-2</c:v>
                </c:pt>
                <c:pt idx="11">
                  <c:v>8.3796972047318619E-2</c:v>
                </c:pt>
                <c:pt idx="12">
                  <c:v>7.187942104690391E-2</c:v>
                </c:pt>
                <c:pt idx="13">
                  <c:v>9.703104310725319E-2</c:v>
                </c:pt>
                <c:pt idx="14">
                  <c:v>0.11780073037662794</c:v>
                </c:pt>
                <c:pt idx="15">
                  <c:v>0.11255520782342297</c:v>
                </c:pt>
                <c:pt idx="16">
                  <c:v>9.4397835924157625E-2</c:v>
                </c:pt>
                <c:pt idx="17">
                  <c:v>4.3329853575451223E-2</c:v>
                </c:pt>
                <c:pt idx="18">
                  <c:v>6.8152784874808386E-2</c:v>
                </c:pt>
              </c:numCache>
            </c:numRef>
          </c:val>
          <c:smooth val="0"/>
          <c:extLst>
            <c:ext xmlns:c16="http://schemas.microsoft.com/office/drawing/2014/chart" uri="{C3380CC4-5D6E-409C-BE32-E72D297353CC}">
              <c16:uniqueId val="{00000000-DA7A-4E71-B40A-07C0BD22BE92}"/>
            </c:ext>
          </c:extLst>
        </c:ser>
        <c:dLbls>
          <c:showLegendKey val="0"/>
          <c:showVal val="0"/>
          <c:showCatName val="0"/>
          <c:showSerName val="0"/>
          <c:showPercent val="0"/>
          <c:showBubbleSize val="0"/>
        </c:dLbls>
        <c:marker val="1"/>
        <c:smooth val="0"/>
        <c:axId val="1298760352"/>
        <c:axId val="1298748352"/>
      </c:lineChart>
      <c:catAx>
        <c:axId val="129876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48352"/>
        <c:crosses val="autoZero"/>
        <c:auto val="1"/>
        <c:lblAlgn val="ctr"/>
        <c:lblOffset val="100"/>
        <c:noMultiLvlLbl val="0"/>
      </c:catAx>
      <c:valAx>
        <c:axId val="1298748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6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analysis!$D$241</c:f>
              <c:strCache>
                <c:ptCount val="1"/>
                <c:pt idx="0">
                  <c:v>% growth</c:v>
                </c:pt>
              </c:strCache>
            </c:strRef>
          </c:tx>
          <c:spPr>
            <a:solidFill>
              <a:schemeClr val="accent2"/>
            </a:solidFill>
            <a:ln>
              <a:noFill/>
            </a:ln>
            <a:effectLst/>
          </c:spPr>
          <c:invertIfNegative val="0"/>
          <c:cat>
            <c:strRef>
              <c:f>analysis!$B$242:$B$245</c:f>
              <c:strCache>
                <c:ptCount val="4"/>
                <c:pt idx="0">
                  <c:v>2020 Q2</c:v>
                </c:pt>
                <c:pt idx="1">
                  <c:v>2021 Q2</c:v>
                </c:pt>
                <c:pt idx="2">
                  <c:v>2022 Q2</c:v>
                </c:pt>
                <c:pt idx="3">
                  <c:v>2023 Q2</c:v>
                </c:pt>
              </c:strCache>
            </c:strRef>
          </c:cat>
          <c:val>
            <c:numRef>
              <c:f>analysis!$D$242:$D$245</c:f>
              <c:numCache>
                <c:formatCode>0.0%</c:formatCode>
                <c:ptCount val="4"/>
                <c:pt idx="0">
                  <c:v>1.8710648781823158</c:v>
                </c:pt>
                <c:pt idx="1">
                  <c:v>0.23881844781942316</c:v>
                </c:pt>
                <c:pt idx="2">
                  <c:v>0.11543776928704984</c:v>
                </c:pt>
                <c:pt idx="3">
                  <c:v>-4.4586582006629599E-2</c:v>
                </c:pt>
              </c:numCache>
            </c:numRef>
          </c:val>
          <c:extLst>
            <c:ext xmlns:c16="http://schemas.microsoft.com/office/drawing/2014/chart" uri="{C3380CC4-5D6E-409C-BE32-E72D297353CC}">
              <c16:uniqueId val="{00000001-302C-4763-A0E3-72BD94256988}"/>
            </c:ext>
          </c:extLst>
        </c:ser>
        <c:dLbls>
          <c:showLegendKey val="0"/>
          <c:showVal val="0"/>
          <c:showCatName val="0"/>
          <c:showSerName val="0"/>
          <c:showPercent val="0"/>
          <c:showBubbleSize val="0"/>
        </c:dLbls>
        <c:gapWidth val="219"/>
        <c:overlap val="-27"/>
        <c:axId val="1298723392"/>
        <c:axId val="1298718112"/>
        <c:extLst>
          <c:ext xmlns:c15="http://schemas.microsoft.com/office/drawing/2012/chart" uri="{02D57815-91ED-43cb-92C2-25804820EDAC}">
            <c15:filteredBarSeries>
              <c15:ser>
                <c:idx val="0"/>
                <c:order val="0"/>
                <c:tx>
                  <c:strRef>
                    <c:extLst>
                      <c:ext uri="{02D57815-91ED-43cb-92C2-25804820EDAC}">
                        <c15:formulaRef>
                          <c15:sqref>analysis!$C$241</c15:sqref>
                        </c15:formulaRef>
                      </c:ext>
                    </c:extLst>
                    <c:strCache>
                      <c:ptCount val="1"/>
                      <c:pt idx="0">
                        <c:v>net income</c:v>
                      </c:pt>
                    </c:strCache>
                  </c:strRef>
                </c:tx>
                <c:spPr>
                  <a:solidFill>
                    <a:schemeClr val="accent1"/>
                  </a:solidFill>
                  <a:ln>
                    <a:noFill/>
                  </a:ln>
                  <a:effectLst/>
                </c:spPr>
                <c:invertIfNegative val="0"/>
                <c:cat>
                  <c:strRef>
                    <c:extLst>
                      <c:ext uri="{02D57815-91ED-43cb-92C2-25804820EDAC}">
                        <c15:formulaRef>
                          <c15:sqref>analysis!$B$242:$B$245</c15:sqref>
                        </c15:formulaRef>
                      </c:ext>
                    </c:extLst>
                    <c:strCache>
                      <c:ptCount val="4"/>
                      <c:pt idx="0">
                        <c:v>2020 Q2</c:v>
                      </c:pt>
                      <c:pt idx="1">
                        <c:v>2021 Q2</c:v>
                      </c:pt>
                      <c:pt idx="2">
                        <c:v>2022 Q2</c:v>
                      </c:pt>
                      <c:pt idx="3">
                        <c:v>2023 Q2</c:v>
                      </c:pt>
                    </c:strCache>
                  </c:strRef>
                </c:cat>
                <c:val>
                  <c:numRef>
                    <c:extLst>
                      <c:ext uri="{02D57815-91ED-43cb-92C2-25804820EDAC}">
                        <c15:formulaRef>
                          <c15:sqref>analysis!$C$242:$C$245</c15:sqref>
                        </c15:formulaRef>
                      </c:ext>
                    </c:extLst>
                    <c:numCache>
                      <c:formatCode>_-[$$-409]* #,##0_ ;_-[$$-409]* \-#,##0\ ;_-[$$-409]* "-"??_ ;_-@_ </c:formatCode>
                      <c:ptCount val="4"/>
                      <c:pt idx="0">
                        <c:v>10488</c:v>
                      </c:pt>
                      <c:pt idx="1">
                        <c:v>8891</c:v>
                      </c:pt>
                      <c:pt idx="2">
                        <c:v>13721</c:v>
                      </c:pt>
                      <c:pt idx="3">
                        <c:v>20464</c:v>
                      </c:pt>
                    </c:numCache>
                  </c:numRef>
                </c:val>
                <c:extLst>
                  <c:ext xmlns:c16="http://schemas.microsoft.com/office/drawing/2014/chart" uri="{C3380CC4-5D6E-409C-BE32-E72D297353CC}">
                    <c16:uniqueId val="{00000000-302C-4763-A0E3-72BD94256988}"/>
                  </c:ext>
                </c:extLst>
              </c15:ser>
            </c15:filteredBarSeries>
          </c:ext>
        </c:extLst>
      </c:barChart>
      <c:lineChart>
        <c:grouping val="standard"/>
        <c:varyColors val="0"/>
        <c:dLbls>
          <c:showLegendKey val="0"/>
          <c:showVal val="0"/>
          <c:showCatName val="0"/>
          <c:showSerName val="0"/>
          <c:showPercent val="0"/>
          <c:showBubbleSize val="0"/>
        </c:dLbls>
        <c:marker val="1"/>
        <c:smooth val="0"/>
        <c:axId val="1298715712"/>
        <c:axId val="1298719072"/>
        <c:extLst>
          <c:ext xmlns:c15="http://schemas.microsoft.com/office/drawing/2012/chart" uri="{02D57815-91ED-43cb-92C2-25804820EDAC}">
            <c15:filteredLineSeries>
              <c15:ser>
                <c:idx val="2"/>
                <c:order val="2"/>
                <c:tx>
                  <c:strRef>
                    <c:extLst>
                      <c:ext uri="{02D57815-91ED-43cb-92C2-25804820EDAC}">
                        <c15:formulaRef>
                          <c15:sqref>analysis!$E$241</c15:sqref>
                        </c15:formulaRef>
                      </c:ext>
                    </c:extLst>
                    <c:strCache>
                      <c:ptCount val="1"/>
                      <c:pt idx="0">
                        <c:v>year growth</c:v>
                      </c:pt>
                    </c:strCache>
                  </c:strRef>
                </c:tx>
                <c:spPr>
                  <a:ln w="28575" cap="rnd">
                    <a:solidFill>
                      <a:schemeClr val="accent3"/>
                    </a:solidFill>
                    <a:round/>
                  </a:ln>
                  <a:effectLst/>
                </c:spPr>
                <c:marker>
                  <c:symbol val="none"/>
                </c:marker>
                <c:cat>
                  <c:strRef>
                    <c:extLst>
                      <c:ext uri="{02D57815-91ED-43cb-92C2-25804820EDAC}">
                        <c15:formulaRef>
                          <c15:sqref>analysis!$B$242:$B$245</c15:sqref>
                        </c15:formulaRef>
                      </c:ext>
                    </c:extLst>
                    <c:strCache>
                      <c:ptCount val="4"/>
                      <c:pt idx="0">
                        <c:v>2020 Q2</c:v>
                      </c:pt>
                      <c:pt idx="1">
                        <c:v>2021 Q2</c:v>
                      </c:pt>
                      <c:pt idx="2">
                        <c:v>2022 Q2</c:v>
                      </c:pt>
                      <c:pt idx="3">
                        <c:v>2023 Q2</c:v>
                      </c:pt>
                    </c:strCache>
                  </c:strRef>
                </c:cat>
                <c:val>
                  <c:numRef>
                    <c:extLst>
                      <c:ext uri="{02D57815-91ED-43cb-92C2-25804820EDAC}">
                        <c15:formulaRef>
                          <c15:sqref>analysis!$E$242:$E$245</c15:sqref>
                        </c15:formulaRef>
                      </c:ext>
                    </c:extLst>
                    <c:numCache>
                      <c:formatCode>0%</c:formatCode>
                      <c:ptCount val="4"/>
                      <c:pt idx="0">
                        <c:v>0</c:v>
                      </c:pt>
                      <c:pt idx="1">
                        <c:v>-0.15226926010678871</c:v>
                      </c:pt>
                      <c:pt idx="2">
                        <c:v>0.54324597907996852</c:v>
                      </c:pt>
                      <c:pt idx="3">
                        <c:v>0.49143648422126668</c:v>
                      </c:pt>
                    </c:numCache>
                  </c:numRef>
                </c:val>
                <c:smooth val="0"/>
                <c:extLst>
                  <c:ext xmlns:c16="http://schemas.microsoft.com/office/drawing/2014/chart" uri="{C3380CC4-5D6E-409C-BE32-E72D297353CC}">
                    <c16:uniqueId val="{00000002-302C-4763-A0E3-72BD94256988}"/>
                  </c:ext>
                </c:extLst>
              </c15:ser>
            </c15:filteredLineSeries>
          </c:ext>
        </c:extLst>
      </c:lineChart>
      <c:catAx>
        <c:axId val="129872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18112"/>
        <c:crosses val="autoZero"/>
        <c:auto val="1"/>
        <c:lblAlgn val="ctr"/>
        <c:lblOffset val="100"/>
        <c:noMultiLvlLbl val="0"/>
      </c:catAx>
      <c:valAx>
        <c:axId val="12987181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23392"/>
        <c:crosses val="autoZero"/>
        <c:crossBetween val="between"/>
      </c:valAx>
      <c:valAx>
        <c:axId val="129871907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15712"/>
        <c:crosses val="max"/>
        <c:crossBetween val="between"/>
      </c:valAx>
      <c:catAx>
        <c:axId val="1298715712"/>
        <c:scaling>
          <c:orientation val="minMax"/>
        </c:scaling>
        <c:delete val="1"/>
        <c:axPos val="b"/>
        <c:numFmt formatCode="General" sourceLinked="1"/>
        <c:majorTickMark val="none"/>
        <c:minorTickMark val="none"/>
        <c:tickLblPos val="nextTo"/>
        <c:crossAx val="1298719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analysis!$E$241</c:f>
              <c:strCache>
                <c:ptCount val="1"/>
                <c:pt idx="0">
                  <c:v>year growth</c:v>
                </c:pt>
              </c:strCache>
              <c:extLst xmlns:c15="http://schemas.microsoft.com/office/drawing/2012/chart"/>
            </c:strRef>
          </c:tx>
          <c:spPr>
            <a:solidFill>
              <a:schemeClr val="accent3"/>
            </a:solidFill>
            <a:ln>
              <a:noFill/>
            </a:ln>
            <a:effectLst/>
          </c:spPr>
          <c:invertIfNegative val="0"/>
          <c:cat>
            <c:strRef>
              <c:f>analysis!$B$242:$B$245</c:f>
              <c:strCache>
                <c:ptCount val="4"/>
                <c:pt idx="0">
                  <c:v>2020 Q2</c:v>
                </c:pt>
                <c:pt idx="1">
                  <c:v>2021 Q2</c:v>
                </c:pt>
                <c:pt idx="2">
                  <c:v>2022 Q2</c:v>
                </c:pt>
                <c:pt idx="3">
                  <c:v>2023 Q2</c:v>
                </c:pt>
              </c:strCache>
              <c:extLst xmlns:c15="http://schemas.microsoft.com/office/drawing/2012/chart"/>
            </c:strRef>
          </c:cat>
          <c:val>
            <c:numRef>
              <c:f>analysis!$E$242:$E$245</c:f>
              <c:numCache>
                <c:formatCode>0%</c:formatCode>
                <c:ptCount val="4"/>
                <c:pt idx="0">
                  <c:v>0</c:v>
                </c:pt>
                <c:pt idx="1">
                  <c:v>-0.15226926010678871</c:v>
                </c:pt>
                <c:pt idx="2">
                  <c:v>0.54324597907996852</c:v>
                </c:pt>
                <c:pt idx="3">
                  <c:v>0.49143648422126668</c:v>
                </c:pt>
              </c:numCache>
              <c:extLst xmlns:c15="http://schemas.microsoft.com/office/drawing/2012/chart"/>
            </c:numRef>
          </c:val>
          <c:extLst>
            <c:ext xmlns:c16="http://schemas.microsoft.com/office/drawing/2014/chart" uri="{C3380CC4-5D6E-409C-BE32-E72D297353CC}">
              <c16:uniqueId val="{00000002-8A2D-4E37-9DCA-2A9DFF37AC05}"/>
            </c:ext>
          </c:extLst>
        </c:ser>
        <c:dLbls>
          <c:showLegendKey val="0"/>
          <c:showVal val="0"/>
          <c:showCatName val="0"/>
          <c:showSerName val="0"/>
          <c:showPercent val="0"/>
          <c:showBubbleSize val="0"/>
        </c:dLbls>
        <c:gapWidth val="219"/>
        <c:axId val="1298723392"/>
        <c:axId val="1298718112"/>
        <c:extLst>
          <c:ext xmlns:c15="http://schemas.microsoft.com/office/drawing/2012/chart" uri="{02D57815-91ED-43cb-92C2-25804820EDAC}">
            <c15:filteredBarSeries>
              <c15:ser>
                <c:idx val="0"/>
                <c:order val="0"/>
                <c:tx>
                  <c:strRef>
                    <c:extLst>
                      <c:ext uri="{02D57815-91ED-43cb-92C2-25804820EDAC}">
                        <c15:formulaRef>
                          <c15:sqref>analysis!$C$241</c15:sqref>
                        </c15:formulaRef>
                      </c:ext>
                    </c:extLst>
                    <c:strCache>
                      <c:ptCount val="1"/>
                      <c:pt idx="0">
                        <c:v>net income</c:v>
                      </c:pt>
                    </c:strCache>
                  </c:strRef>
                </c:tx>
                <c:spPr>
                  <a:solidFill>
                    <a:schemeClr val="accent1"/>
                  </a:solidFill>
                  <a:ln>
                    <a:noFill/>
                  </a:ln>
                  <a:effectLst/>
                </c:spPr>
                <c:invertIfNegative val="0"/>
                <c:cat>
                  <c:strRef>
                    <c:extLst>
                      <c:ext uri="{02D57815-91ED-43cb-92C2-25804820EDAC}">
                        <c15:formulaRef>
                          <c15:sqref>analysis!$B$242:$B$245</c15:sqref>
                        </c15:formulaRef>
                      </c:ext>
                    </c:extLst>
                    <c:strCache>
                      <c:ptCount val="4"/>
                      <c:pt idx="0">
                        <c:v>2020 Q2</c:v>
                      </c:pt>
                      <c:pt idx="1">
                        <c:v>2021 Q2</c:v>
                      </c:pt>
                      <c:pt idx="2">
                        <c:v>2022 Q2</c:v>
                      </c:pt>
                      <c:pt idx="3">
                        <c:v>2023 Q2</c:v>
                      </c:pt>
                    </c:strCache>
                  </c:strRef>
                </c:cat>
                <c:val>
                  <c:numRef>
                    <c:extLst>
                      <c:ext uri="{02D57815-91ED-43cb-92C2-25804820EDAC}">
                        <c15:formulaRef>
                          <c15:sqref>analysis!$C$242:$C$245</c15:sqref>
                        </c15:formulaRef>
                      </c:ext>
                    </c:extLst>
                    <c:numCache>
                      <c:formatCode>_-[$$-409]* #,##0_ ;_-[$$-409]* \-#,##0\ ;_-[$$-409]* "-"??_ ;_-@_ </c:formatCode>
                      <c:ptCount val="4"/>
                      <c:pt idx="0">
                        <c:v>10488</c:v>
                      </c:pt>
                      <c:pt idx="1">
                        <c:v>8891</c:v>
                      </c:pt>
                      <c:pt idx="2">
                        <c:v>13721</c:v>
                      </c:pt>
                      <c:pt idx="3">
                        <c:v>20464</c:v>
                      </c:pt>
                    </c:numCache>
                  </c:numRef>
                </c:val>
                <c:extLst>
                  <c:ext xmlns:c16="http://schemas.microsoft.com/office/drawing/2014/chart" uri="{C3380CC4-5D6E-409C-BE32-E72D297353CC}">
                    <c16:uniqueId val="{00000001-8A2D-4E37-9DCA-2A9DFF37AC0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analysis!$D$241</c15:sqref>
                        </c15:formulaRef>
                      </c:ext>
                    </c:extLst>
                    <c:strCache>
                      <c:ptCount val="1"/>
                      <c:pt idx="0">
                        <c:v>% growth</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analysis!$B$242:$B$245</c15:sqref>
                        </c15:formulaRef>
                      </c:ext>
                    </c:extLst>
                    <c:strCache>
                      <c:ptCount val="4"/>
                      <c:pt idx="0">
                        <c:v>2020 Q2</c:v>
                      </c:pt>
                      <c:pt idx="1">
                        <c:v>2021 Q2</c:v>
                      </c:pt>
                      <c:pt idx="2">
                        <c:v>2022 Q2</c:v>
                      </c:pt>
                      <c:pt idx="3">
                        <c:v>2023 Q2</c:v>
                      </c:pt>
                    </c:strCache>
                  </c:strRef>
                </c:cat>
                <c:val>
                  <c:numRef>
                    <c:extLst xmlns:c15="http://schemas.microsoft.com/office/drawing/2012/chart">
                      <c:ext xmlns:c15="http://schemas.microsoft.com/office/drawing/2012/chart" uri="{02D57815-91ED-43cb-92C2-25804820EDAC}">
                        <c15:formulaRef>
                          <c15:sqref>analysis!$D$242:$D$245</c15:sqref>
                        </c15:formulaRef>
                      </c:ext>
                    </c:extLst>
                    <c:numCache>
                      <c:formatCode>0.0%</c:formatCode>
                      <c:ptCount val="4"/>
                      <c:pt idx="0">
                        <c:v>1.8710648781823158</c:v>
                      </c:pt>
                      <c:pt idx="1">
                        <c:v>0.23881844781942316</c:v>
                      </c:pt>
                      <c:pt idx="2">
                        <c:v>0.11543776928704984</c:v>
                      </c:pt>
                      <c:pt idx="3">
                        <c:v>-4.4586582006629599E-2</c:v>
                      </c:pt>
                    </c:numCache>
                  </c:numRef>
                </c:val>
                <c:extLst xmlns:c15="http://schemas.microsoft.com/office/drawing/2012/chart">
                  <c:ext xmlns:c16="http://schemas.microsoft.com/office/drawing/2014/chart" uri="{C3380CC4-5D6E-409C-BE32-E72D297353CC}">
                    <c16:uniqueId val="{00000000-8A2D-4E37-9DCA-2A9DFF37AC05}"/>
                  </c:ext>
                </c:extLst>
              </c15:ser>
            </c15:filteredBarSeries>
          </c:ext>
        </c:extLst>
      </c:barChart>
      <c:catAx>
        <c:axId val="129872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18112"/>
        <c:crosses val="autoZero"/>
        <c:auto val="1"/>
        <c:lblAlgn val="ctr"/>
        <c:lblOffset val="100"/>
        <c:noMultiLvlLbl val="0"/>
      </c:catAx>
      <c:valAx>
        <c:axId val="129871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2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analysis!$E$218</c:f>
              <c:strCache>
                <c:ptCount val="1"/>
                <c:pt idx="0">
                  <c:v>revenues</c:v>
                </c:pt>
              </c:strCache>
            </c:strRef>
          </c:tx>
          <c:spPr>
            <a:solidFill>
              <a:schemeClr val="accent3"/>
            </a:solidFill>
            <a:ln>
              <a:noFill/>
            </a:ln>
            <a:effectLst/>
          </c:spPr>
          <c:invertIfNegative val="0"/>
          <c:cat>
            <c:strRef>
              <c:f>analysis!$B$219:$B$237</c:f>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f>analysis!$E$219:$E$237</c:f>
              <c:numCache>
                <c:formatCode>_-[$$-409]* #,##0.00_ ;_-[$$-409]* \-#,##0.00\ ;_-[$$-409]* "-"??_ ;_-@_ </c:formatCode>
                <c:ptCount val="19"/>
                <c:pt idx="0">
                  <c:v>119.217</c:v>
                </c:pt>
                <c:pt idx="1">
                  <c:v>113.649</c:v>
                </c:pt>
                <c:pt idx="2">
                  <c:v>102.852</c:v>
                </c:pt>
                <c:pt idx="3">
                  <c:v>117.629</c:v>
                </c:pt>
                <c:pt idx="4">
                  <c:v>127.46299999999999</c:v>
                </c:pt>
                <c:pt idx="5">
                  <c:v>118.505</c:v>
                </c:pt>
                <c:pt idx="6">
                  <c:v>117.553</c:v>
                </c:pt>
                <c:pt idx="7">
                  <c:v>133.03800000000001</c:v>
                </c:pt>
                <c:pt idx="8">
                  <c:v>135.38</c:v>
                </c:pt>
                <c:pt idx="9">
                  <c:v>131.446</c:v>
                </c:pt>
                <c:pt idx="10">
                  <c:v>138.22300000000001</c:v>
                </c:pt>
                <c:pt idx="11">
                  <c:v>163.74100000000001</c:v>
                </c:pt>
                <c:pt idx="12">
                  <c:v>165.40199999999999</c:v>
                </c:pt>
                <c:pt idx="13">
                  <c:v>169.92500000000001</c:v>
                </c:pt>
                <c:pt idx="14">
                  <c:v>181.82400000000001</c:v>
                </c:pt>
                <c:pt idx="15">
                  <c:v>181.81299999999999</c:v>
                </c:pt>
                <c:pt idx="16">
                  <c:v>160.43799999999999</c:v>
                </c:pt>
                <c:pt idx="17">
                  <c:v>145.60400000000001</c:v>
                </c:pt>
                <c:pt idx="18">
                  <c:v>140.904</c:v>
                </c:pt>
              </c:numCache>
            </c:numRef>
          </c:val>
          <c:extLst>
            <c:ext xmlns:c16="http://schemas.microsoft.com/office/drawing/2014/chart" uri="{C3380CC4-5D6E-409C-BE32-E72D297353CC}">
              <c16:uniqueId val="{00000002-FC17-44B1-A24E-CC4FFC5B9AC5}"/>
            </c:ext>
          </c:extLst>
        </c:ser>
        <c:dLbls>
          <c:showLegendKey val="0"/>
          <c:showVal val="0"/>
          <c:showCatName val="0"/>
          <c:showSerName val="0"/>
          <c:showPercent val="0"/>
          <c:showBubbleSize val="0"/>
        </c:dLbls>
        <c:gapWidth val="219"/>
        <c:overlap val="-27"/>
        <c:axId val="893207360"/>
        <c:axId val="893184320"/>
        <c:extLst>
          <c:ext xmlns:c15="http://schemas.microsoft.com/office/drawing/2012/chart" uri="{02D57815-91ED-43cb-92C2-25804820EDAC}">
            <c15:filteredBarSeries>
              <c15:ser>
                <c:idx val="0"/>
                <c:order val="0"/>
                <c:tx>
                  <c:strRef>
                    <c:extLst>
                      <c:ext uri="{02D57815-91ED-43cb-92C2-25804820EDAC}">
                        <c15:formulaRef>
                          <c15:sqref>analysis!$C$218</c15:sqref>
                        </c15:formulaRef>
                      </c:ext>
                    </c:extLst>
                    <c:strCache>
                      <c:ptCount val="1"/>
                      <c:pt idx="0">
                        <c:v>net income</c:v>
                      </c:pt>
                    </c:strCache>
                  </c:strRef>
                </c:tx>
                <c:spPr>
                  <a:solidFill>
                    <a:schemeClr val="accent1"/>
                  </a:solidFill>
                  <a:ln>
                    <a:noFill/>
                  </a:ln>
                  <a:effectLst/>
                </c:spPr>
                <c:invertIfNegative val="0"/>
                <c:cat>
                  <c:strRef>
                    <c:extLst>
                      <c:ext uri="{02D57815-91ED-43cb-92C2-25804820EDAC}">
                        <c15:formulaRef>
                          <c15:sqref>analysis!$B$219:$B$237</c15:sqref>
                        </c15:formulaRef>
                      </c:ext>
                    </c:extLst>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extLst>
                      <c:ext uri="{02D57815-91ED-43cb-92C2-25804820EDAC}">
                        <c15:formulaRef>
                          <c15:sqref>analysis!$C$219:$C$237</c15:sqref>
                        </c15:formulaRef>
                      </c:ext>
                    </c:extLst>
                    <c:numCache>
                      <c:formatCode>_-[$$-409]* #,##0.00_ ;_-[$$-409]* \-#,##0.00\ ;_-[$$-409]* "-"??_ ;_-@_ </c:formatCode>
                      <c:ptCount val="19"/>
                      <c:pt idx="0">
                        <c:v>8.0440000000000005</c:v>
                      </c:pt>
                      <c:pt idx="1">
                        <c:v>5.6020000000000003</c:v>
                      </c:pt>
                      <c:pt idx="2">
                        <c:v>3.653</c:v>
                      </c:pt>
                      <c:pt idx="3">
                        <c:v>10.488</c:v>
                      </c:pt>
                      <c:pt idx="4">
                        <c:v>12.962</c:v>
                      </c:pt>
                      <c:pt idx="5">
                        <c:v>2.6579999999999999</c:v>
                      </c:pt>
                      <c:pt idx="6">
                        <c:v>7.1769999999999996</c:v>
                      </c:pt>
                      <c:pt idx="7">
                        <c:v>8.891</c:v>
                      </c:pt>
                      <c:pt idx="8">
                        <c:v>10.702999999999999</c:v>
                      </c:pt>
                      <c:pt idx="9">
                        <c:v>8.9499999999999993</c:v>
                      </c:pt>
                      <c:pt idx="10">
                        <c:v>12.301</c:v>
                      </c:pt>
                      <c:pt idx="11">
                        <c:v>13.721</c:v>
                      </c:pt>
                      <c:pt idx="12">
                        <c:v>11.888999999999999</c:v>
                      </c:pt>
                      <c:pt idx="13">
                        <c:v>16.488</c:v>
                      </c:pt>
                      <c:pt idx="14">
                        <c:v>21.419</c:v>
                      </c:pt>
                      <c:pt idx="15">
                        <c:v>20.463999999999999</c:v>
                      </c:pt>
                      <c:pt idx="16">
                        <c:v>15.145</c:v>
                      </c:pt>
                      <c:pt idx="17">
                        <c:v>6.3090000000000002</c:v>
                      </c:pt>
                      <c:pt idx="18">
                        <c:v>9.6029999999999998</c:v>
                      </c:pt>
                    </c:numCache>
                  </c:numRef>
                </c:val>
                <c:extLst>
                  <c:ext xmlns:c16="http://schemas.microsoft.com/office/drawing/2014/chart" uri="{C3380CC4-5D6E-409C-BE32-E72D297353CC}">
                    <c16:uniqueId val="{00000000-FC17-44B1-A24E-CC4FFC5B9AC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analysis!$D$218</c15:sqref>
                        </c15:formulaRef>
                      </c:ext>
                    </c:extLst>
                    <c:strCache>
                      <c:ptCount val="1"/>
                      <c:pt idx="0">
                        <c:v>% growth</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analysis!$B$219:$B$237</c15:sqref>
                        </c15:formulaRef>
                      </c:ext>
                    </c:extLst>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extLst xmlns:c15="http://schemas.microsoft.com/office/drawing/2012/chart">
                      <c:ext xmlns:c15="http://schemas.microsoft.com/office/drawing/2012/chart" uri="{02D57815-91ED-43cb-92C2-25804820EDAC}">
                        <c15:formulaRef>
                          <c15:sqref>analysis!$D$219:$D$237</c15:sqref>
                        </c15:formulaRef>
                      </c:ext>
                    </c:extLst>
                    <c:numCache>
                      <c:formatCode>0.0%</c:formatCode>
                      <c:ptCount val="19"/>
                      <c:pt idx="1">
                        <c:v>-0.3035803083043262</c:v>
                      </c:pt>
                      <c:pt idx="2">
                        <c:v>-0.34791146019278829</c:v>
                      </c:pt>
                      <c:pt idx="3">
                        <c:v>1.8710648781823158</c:v>
                      </c:pt>
                      <c:pt idx="4">
                        <c:v>0.23588863463005338</c:v>
                      </c:pt>
                      <c:pt idx="5">
                        <c:v>-0.79493905261533715</c:v>
                      </c:pt>
                      <c:pt idx="6">
                        <c:v>1.7001504890895409</c:v>
                      </c:pt>
                      <c:pt idx="7">
                        <c:v>0.23881844781942316</c:v>
                      </c:pt>
                      <c:pt idx="8">
                        <c:v>0.20380159712068383</c:v>
                      </c:pt>
                      <c:pt idx="9">
                        <c:v>-0.16378585443333646</c:v>
                      </c:pt>
                      <c:pt idx="10">
                        <c:v>0.37441340782122906</c:v>
                      </c:pt>
                      <c:pt idx="11">
                        <c:v>0.11543776928704984</c:v>
                      </c:pt>
                      <c:pt idx="12">
                        <c:v>-0.133517965162889</c:v>
                      </c:pt>
                      <c:pt idx="13">
                        <c:v>0.38682816048448143</c:v>
                      </c:pt>
                      <c:pt idx="14">
                        <c:v>0.2990659873847647</c:v>
                      </c:pt>
                      <c:pt idx="15">
                        <c:v>-4.4586582006629627E-2</c:v>
                      </c:pt>
                      <c:pt idx="16">
                        <c:v>-0.25991985926505085</c:v>
                      </c:pt>
                      <c:pt idx="17">
                        <c:v>-0.58342687355562894</c:v>
                      </c:pt>
                      <c:pt idx="18">
                        <c:v>0.52211126961483589</c:v>
                      </c:pt>
                    </c:numCache>
                  </c:numRef>
                </c:val>
                <c:extLst xmlns:c15="http://schemas.microsoft.com/office/drawing/2012/chart">
                  <c:ext xmlns:c16="http://schemas.microsoft.com/office/drawing/2014/chart" uri="{C3380CC4-5D6E-409C-BE32-E72D297353CC}">
                    <c16:uniqueId val="{00000001-FC17-44B1-A24E-CC4FFC5B9AC5}"/>
                  </c:ext>
                </c:extLst>
              </c15:ser>
            </c15:filteredBarSeries>
          </c:ext>
        </c:extLst>
      </c:barChart>
      <c:catAx>
        <c:axId val="8932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84320"/>
        <c:crosses val="autoZero"/>
        <c:auto val="1"/>
        <c:lblAlgn val="ctr"/>
        <c:lblOffset val="100"/>
        <c:noMultiLvlLbl val="0"/>
      </c:catAx>
      <c:valAx>
        <c:axId val="8931843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0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analysis!$F$218</c:f>
              <c:strCache>
                <c:ptCount val="1"/>
                <c:pt idx="0">
                  <c:v>rev % growth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analysis!$B$219:$B$237</c:f>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f>analysis!$F$219:$F$237</c:f>
              <c:numCache>
                <c:formatCode>0.0%</c:formatCode>
                <c:ptCount val="19"/>
                <c:pt idx="1">
                  <c:v>-4.6704748483857153E-2</c:v>
                </c:pt>
                <c:pt idx="2">
                  <c:v>-9.5003035662434315E-2</c:v>
                </c:pt>
                <c:pt idx="3">
                  <c:v>0.14367246140084783</c:v>
                </c:pt>
                <c:pt idx="4">
                  <c:v>8.3601832881347191E-2</c:v>
                </c:pt>
                <c:pt idx="5">
                  <c:v>-7.0279218282952693E-2</c:v>
                </c:pt>
                <c:pt idx="6">
                  <c:v>-8.0334163115480216E-3</c:v>
                </c:pt>
                <c:pt idx="7">
                  <c:v>0.13172781638920328</c:v>
                </c:pt>
                <c:pt idx="8">
                  <c:v>1.7603992844149673E-2</c:v>
                </c:pt>
                <c:pt idx="9">
                  <c:v>-2.9058945191313322E-2</c:v>
                </c:pt>
                <c:pt idx="10">
                  <c:v>5.1557293489341745E-2</c:v>
                </c:pt>
                <c:pt idx="11">
                  <c:v>0.18461471679821737</c:v>
                </c:pt>
                <c:pt idx="12">
                  <c:v>1.0144068986997592E-2</c:v>
                </c:pt>
                <c:pt idx="13">
                  <c:v>2.7345497636062591E-2</c:v>
                </c:pt>
                <c:pt idx="14">
                  <c:v>7.0025011034279827E-2</c:v>
                </c:pt>
                <c:pt idx="15">
                  <c:v>-6.0498064062082566E-5</c:v>
                </c:pt>
                <c:pt idx="16">
                  <c:v>-0.11756585062674287</c:v>
                </c:pt>
                <c:pt idx="17">
                  <c:v>-9.2459392413268532E-2</c:v>
                </c:pt>
                <c:pt idx="18">
                  <c:v>-3.2279332985357657E-2</c:v>
                </c:pt>
              </c:numCache>
            </c:numRef>
          </c:val>
          <c:extLst>
            <c:ext xmlns:c16="http://schemas.microsoft.com/office/drawing/2014/chart" uri="{C3380CC4-5D6E-409C-BE32-E72D297353CC}">
              <c16:uniqueId val="{00000003-1D0E-4546-9533-1AACD7D4DFD7}"/>
            </c:ext>
          </c:extLst>
        </c:ser>
        <c:dLbls>
          <c:showLegendKey val="0"/>
          <c:showVal val="0"/>
          <c:showCatName val="0"/>
          <c:showSerName val="0"/>
          <c:showPercent val="0"/>
          <c:showBubbleSize val="0"/>
        </c:dLbls>
        <c:gapWidth val="219"/>
        <c:axId val="1012022368"/>
        <c:axId val="1012008448"/>
        <c:extLst>
          <c:ext xmlns:c15="http://schemas.microsoft.com/office/drawing/2012/chart" uri="{02D57815-91ED-43cb-92C2-25804820EDAC}">
            <c15:filteredBarSeries>
              <c15:ser>
                <c:idx val="0"/>
                <c:order val="0"/>
                <c:tx>
                  <c:strRef>
                    <c:extLst>
                      <c:ext uri="{02D57815-91ED-43cb-92C2-25804820EDAC}">
                        <c15:formulaRef>
                          <c15:sqref>analysis!$C$218</c15:sqref>
                        </c15:formulaRef>
                      </c:ext>
                    </c:extLst>
                    <c:strCache>
                      <c:ptCount val="1"/>
                      <c:pt idx="0">
                        <c:v>net income</c:v>
                      </c:pt>
                    </c:strCache>
                  </c:strRef>
                </c:tx>
                <c:spPr>
                  <a:solidFill>
                    <a:schemeClr val="accent1"/>
                  </a:solidFill>
                  <a:ln>
                    <a:noFill/>
                  </a:ln>
                  <a:effectLst/>
                </c:spPr>
                <c:invertIfNegative val="0"/>
                <c:cat>
                  <c:strRef>
                    <c:extLst>
                      <c:ext uri="{02D57815-91ED-43cb-92C2-25804820EDAC}">
                        <c15:formulaRef>
                          <c15:sqref>analysis!$B$219:$B$237</c15:sqref>
                        </c15:formulaRef>
                      </c:ext>
                    </c:extLst>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extLst>
                      <c:ext uri="{02D57815-91ED-43cb-92C2-25804820EDAC}">
                        <c15:formulaRef>
                          <c15:sqref>analysis!$C$219:$C$237</c15:sqref>
                        </c15:formulaRef>
                      </c:ext>
                    </c:extLst>
                    <c:numCache>
                      <c:formatCode>_-[$$-409]* #,##0.00_ ;_-[$$-409]* \-#,##0.00\ ;_-[$$-409]* "-"??_ ;_-@_ </c:formatCode>
                      <c:ptCount val="19"/>
                      <c:pt idx="0">
                        <c:v>8.0440000000000005</c:v>
                      </c:pt>
                      <c:pt idx="1">
                        <c:v>5.6020000000000003</c:v>
                      </c:pt>
                      <c:pt idx="2">
                        <c:v>3.653</c:v>
                      </c:pt>
                      <c:pt idx="3">
                        <c:v>10.488</c:v>
                      </c:pt>
                      <c:pt idx="4">
                        <c:v>12.962</c:v>
                      </c:pt>
                      <c:pt idx="5">
                        <c:v>2.6579999999999999</c:v>
                      </c:pt>
                      <c:pt idx="6">
                        <c:v>7.1769999999999996</c:v>
                      </c:pt>
                      <c:pt idx="7">
                        <c:v>8.891</c:v>
                      </c:pt>
                      <c:pt idx="8">
                        <c:v>10.702999999999999</c:v>
                      </c:pt>
                      <c:pt idx="9">
                        <c:v>8.9499999999999993</c:v>
                      </c:pt>
                      <c:pt idx="10">
                        <c:v>12.301</c:v>
                      </c:pt>
                      <c:pt idx="11">
                        <c:v>13.721</c:v>
                      </c:pt>
                      <c:pt idx="12">
                        <c:v>11.888999999999999</c:v>
                      </c:pt>
                      <c:pt idx="13">
                        <c:v>16.488</c:v>
                      </c:pt>
                      <c:pt idx="14">
                        <c:v>21.419</c:v>
                      </c:pt>
                      <c:pt idx="15">
                        <c:v>20.463999999999999</c:v>
                      </c:pt>
                      <c:pt idx="16">
                        <c:v>15.145</c:v>
                      </c:pt>
                      <c:pt idx="17">
                        <c:v>6.3090000000000002</c:v>
                      </c:pt>
                      <c:pt idx="18">
                        <c:v>9.6029999999999998</c:v>
                      </c:pt>
                    </c:numCache>
                  </c:numRef>
                </c:val>
                <c:extLst>
                  <c:ext xmlns:c16="http://schemas.microsoft.com/office/drawing/2014/chart" uri="{C3380CC4-5D6E-409C-BE32-E72D297353CC}">
                    <c16:uniqueId val="{00000000-1D0E-4546-9533-1AACD7D4DF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analysis!$D$218</c15:sqref>
                        </c15:formulaRef>
                      </c:ext>
                    </c:extLst>
                    <c:strCache>
                      <c:ptCount val="1"/>
                      <c:pt idx="0">
                        <c:v>% growth</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analysis!$B$219:$B$237</c15:sqref>
                        </c15:formulaRef>
                      </c:ext>
                    </c:extLst>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extLst xmlns:c15="http://schemas.microsoft.com/office/drawing/2012/chart">
                      <c:ext xmlns:c15="http://schemas.microsoft.com/office/drawing/2012/chart" uri="{02D57815-91ED-43cb-92C2-25804820EDAC}">
                        <c15:formulaRef>
                          <c15:sqref>analysis!$D$219:$D$237</c15:sqref>
                        </c15:formulaRef>
                      </c:ext>
                    </c:extLst>
                    <c:numCache>
                      <c:formatCode>0.0%</c:formatCode>
                      <c:ptCount val="19"/>
                      <c:pt idx="1">
                        <c:v>-0.3035803083043262</c:v>
                      </c:pt>
                      <c:pt idx="2">
                        <c:v>-0.34791146019278829</c:v>
                      </c:pt>
                      <c:pt idx="3">
                        <c:v>1.8710648781823158</c:v>
                      </c:pt>
                      <c:pt idx="4">
                        <c:v>0.23588863463005338</c:v>
                      </c:pt>
                      <c:pt idx="5">
                        <c:v>-0.79493905261533715</c:v>
                      </c:pt>
                      <c:pt idx="6">
                        <c:v>1.7001504890895409</c:v>
                      </c:pt>
                      <c:pt idx="7">
                        <c:v>0.23881844781942316</c:v>
                      </c:pt>
                      <c:pt idx="8">
                        <c:v>0.20380159712068383</c:v>
                      </c:pt>
                      <c:pt idx="9">
                        <c:v>-0.16378585443333646</c:v>
                      </c:pt>
                      <c:pt idx="10">
                        <c:v>0.37441340782122906</c:v>
                      </c:pt>
                      <c:pt idx="11">
                        <c:v>0.11543776928704984</c:v>
                      </c:pt>
                      <c:pt idx="12">
                        <c:v>-0.133517965162889</c:v>
                      </c:pt>
                      <c:pt idx="13">
                        <c:v>0.38682816048448143</c:v>
                      </c:pt>
                      <c:pt idx="14">
                        <c:v>0.2990659873847647</c:v>
                      </c:pt>
                      <c:pt idx="15">
                        <c:v>-4.4586582006629627E-2</c:v>
                      </c:pt>
                      <c:pt idx="16">
                        <c:v>-0.25991985926505085</c:v>
                      </c:pt>
                      <c:pt idx="17">
                        <c:v>-0.58342687355562894</c:v>
                      </c:pt>
                      <c:pt idx="18">
                        <c:v>0.52211126961483589</c:v>
                      </c:pt>
                    </c:numCache>
                  </c:numRef>
                </c:val>
                <c:extLst xmlns:c15="http://schemas.microsoft.com/office/drawing/2012/chart">
                  <c:ext xmlns:c16="http://schemas.microsoft.com/office/drawing/2014/chart" uri="{C3380CC4-5D6E-409C-BE32-E72D297353CC}">
                    <c16:uniqueId val="{00000001-1D0E-4546-9533-1AACD7D4DFD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analysis!$E$218</c15:sqref>
                        </c15:formulaRef>
                      </c:ext>
                    </c:extLst>
                    <c:strCache>
                      <c:ptCount val="1"/>
                      <c:pt idx="0">
                        <c:v>revenues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analysis!$B$219:$B$237</c15:sqref>
                        </c15:formulaRef>
                      </c:ext>
                    </c:extLst>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extLst xmlns:c15="http://schemas.microsoft.com/office/drawing/2012/chart">
                      <c:ext xmlns:c15="http://schemas.microsoft.com/office/drawing/2012/chart" uri="{02D57815-91ED-43cb-92C2-25804820EDAC}">
                        <c15:formulaRef>
                          <c15:sqref>analysis!$E$219:$E$237</c15:sqref>
                        </c15:formulaRef>
                      </c:ext>
                    </c:extLst>
                    <c:numCache>
                      <c:formatCode>_-[$$-409]* #,##0.00_ ;_-[$$-409]* \-#,##0.00\ ;_-[$$-409]* "-"??_ ;_-@_ </c:formatCode>
                      <c:ptCount val="19"/>
                      <c:pt idx="0">
                        <c:v>119.217</c:v>
                      </c:pt>
                      <c:pt idx="1">
                        <c:v>113.649</c:v>
                      </c:pt>
                      <c:pt idx="2">
                        <c:v>102.852</c:v>
                      </c:pt>
                      <c:pt idx="3">
                        <c:v>117.629</c:v>
                      </c:pt>
                      <c:pt idx="4">
                        <c:v>127.46299999999999</c:v>
                      </c:pt>
                      <c:pt idx="5">
                        <c:v>118.505</c:v>
                      </c:pt>
                      <c:pt idx="6">
                        <c:v>117.553</c:v>
                      </c:pt>
                      <c:pt idx="7">
                        <c:v>133.03800000000001</c:v>
                      </c:pt>
                      <c:pt idx="8">
                        <c:v>135.38</c:v>
                      </c:pt>
                      <c:pt idx="9">
                        <c:v>131.446</c:v>
                      </c:pt>
                      <c:pt idx="10">
                        <c:v>138.22300000000001</c:v>
                      </c:pt>
                      <c:pt idx="11">
                        <c:v>163.74100000000001</c:v>
                      </c:pt>
                      <c:pt idx="12">
                        <c:v>165.40199999999999</c:v>
                      </c:pt>
                      <c:pt idx="13">
                        <c:v>169.92500000000001</c:v>
                      </c:pt>
                      <c:pt idx="14">
                        <c:v>181.82400000000001</c:v>
                      </c:pt>
                      <c:pt idx="15">
                        <c:v>181.81299999999999</c:v>
                      </c:pt>
                      <c:pt idx="16">
                        <c:v>160.43799999999999</c:v>
                      </c:pt>
                      <c:pt idx="17">
                        <c:v>145.60400000000001</c:v>
                      </c:pt>
                      <c:pt idx="18">
                        <c:v>140.904</c:v>
                      </c:pt>
                    </c:numCache>
                  </c:numRef>
                </c:val>
                <c:extLst xmlns:c15="http://schemas.microsoft.com/office/drawing/2012/chart">
                  <c:ext xmlns:c16="http://schemas.microsoft.com/office/drawing/2014/chart" uri="{C3380CC4-5D6E-409C-BE32-E72D297353CC}">
                    <c16:uniqueId val="{00000002-1D0E-4546-9533-1AACD7D4DFD7}"/>
                  </c:ext>
                </c:extLst>
              </c15:ser>
            </c15:filteredBarSeries>
          </c:ext>
        </c:extLst>
      </c:barChart>
      <c:catAx>
        <c:axId val="101202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08448"/>
        <c:crosses val="autoZero"/>
        <c:auto val="1"/>
        <c:lblAlgn val="ctr"/>
        <c:lblOffset val="100"/>
        <c:noMultiLvlLbl val="0"/>
      </c:catAx>
      <c:valAx>
        <c:axId val="101200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22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revenues -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analysis!$M$274</c:f>
              <c:strCache>
                <c:ptCount val="1"/>
                <c:pt idx="0">
                  <c:v>revenue</c:v>
                </c:pt>
              </c:strCache>
            </c:strRef>
          </c:tx>
          <c:spPr>
            <a:solidFill>
              <a:schemeClr val="accent1"/>
            </a:solidFill>
            <a:ln>
              <a:noFill/>
            </a:ln>
            <a:effectLst/>
          </c:spPr>
          <c:invertIfNegative val="0"/>
          <c:dPt>
            <c:idx val="28"/>
            <c:invertIfNegative val="0"/>
            <c:bubble3D val="0"/>
            <c:spPr>
              <a:solidFill>
                <a:srgbClr val="FFC000"/>
              </a:solidFill>
              <a:ln>
                <a:noFill/>
              </a:ln>
              <a:effectLst/>
            </c:spPr>
            <c:extLst>
              <c:ext xmlns:c16="http://schemas.microsoft.com/office/drawing/2014/chart" uri="{C3380CC4-5D6E-409C-BE32-E72D297353CC}">
                <c16:uniqueId val="{00000002-6769-4FD4-9B58-4E61A58D87B1}"/>
              </c:ext>
            </c:extLst>
          </c:dPt>
          <c:dPt>
            <c:idx val="29"/>
            <c:invertIfNegative val="0"/>
            <c:bubble3D val="0"/>
            <c:spPr>
              <a:solidFill>
                <a:srgbClr val="FFC000"/>
              </a:solidFill>
              <a:ln>
                <a:noFill/>
              </a:ln>
              <a:effectLst/>
            </c:spPr>
            <c:extLst>
              <c:ext xmlns:c16="http://schemas.microsoft.com/office/drawing/2014/chart" uri="{C3380CC4-5D6E-409C-BE32-E72D297353CC}">
                <c16:uniqueId val="{00000003-6769-4FD4-9B58-4E61A58D87B1}"/>
              </c:ext>
            </c:extLst>
          </c:dPt>
          <c:cat>
            <c:numRef>
              <c:f>analysis!$L$275:$L$304</c:f>
              <c:numCache>
                <c:formatCode>General</c:formatCode>
                <c:ptCount val="3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pt idx="29">
                  <c:v>2025</c:v>
                </c:pt>
              </c:numCache>
            </c:numRef>
          </c:cat>
          <c:val>
            <c:numRef>
              <c:f>analysis!$M$275:$M$304</c:f>
              <c:numCache>
                <c:formatCode>_-[$$-409]* #,##0.00_ ;_-[$$-409]* \-#,##0.00\ ;_-[$$-409]* "-"??_ ;_-@_ </c:formatCode>
                <c:ptCount val="30"/>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pt idx="28">
                  <c:v>589.48597440000003</c:v>
                </c:pt>
                <c:pt idx="29">
                  <c:v>734.14332581531005</c:v>
                </c:pt>
              </c:numCache>
            </c:numRef>
          </c:val>
          <c:extLst>
            <c:ext xmlns:c16="http://schemas.microsoft.com/office/drawing/2014/chart" uri="{C3380CC4-5D6E-409C-BE32-E72D297353CC}">
              <c16:uniqueId val="{00000000-6769-4FD4-9B58-4E61A58D87B1}"/>
            </c:ext>
          </c:extLst>
        </c:ser>
        <c:dLbls>
          <c:showLegendKey val="0"/>
          <c:showVal val="0"/>
          <c:showCatName val="0"/>
          <c:showSerName val="0"/>
          <c:showPercent val="0"/>
          <c:showBubbleSize val="0"/>
        </c:dLbls>
        <c:gapWidth val="219"/>
        <c:overlap val="-27"/>
        <c:axId val="1525273359"/>
        <c:axId val="1525275759"/>
      </c:barChart>
      <c:catAx>
        <c:axId val="152527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5759"/>
        <c:crosses val="autoZero"/>
        <c:auto val="1"/>
        <c:lblAlgn val="ctr"/>
        <c:lblOffset val="100"/>
        <c:noMultiLvlLbl val="0"/>
      </c:catAx>
      <c:valAx>
        <c:axId val="15252757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analysis!$P$274</c:f>
              <c:strCache>
                <c:ptCount val="1"/>
                <c:pt idx="0">
                  <c:v>revenues</c:v>
                </c:pt>
              </c:strCache>
            </c:strRef>
          </c:tx>
          <c:spPr>
            <a:solidFill>
              <a:schemeClr val="accent1"/>
            </a:solidFill>
            <a:ln>
              <a:noFill/>
            </a:ln>
            <a:effectLst/>
          </c:spPr>
          <c:invertIfNegative val="0"/>
          <c:cat>
            <c:strRef>
              <c:f>analysis!$O$275:$O$300</c:f>
              <c:strCache>
                <c:ptCount val="26"/>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pt idx="19">
                  <c:v>2024 Q2</c:v>
                </c:pt>
                <c:pt idx="20">
                  <c:v>2024 Q3</c:v>
                </c:pt>
                <c:pt idx="21">
                  <c:v>2024 Q4</c:v>
                </c:pt>
                <c:pt idx="22">
                  <c:v>2025 Q1</c:v>
                </c:pt>
                <c:pt idx="23">
                  <c:v>2025 Q2</c:v>
                </c:pt>
                <c:pt idx="24">
                  <c:v>2025 Q3</c:v>
                </c:pt>
                <c:pt idx="25">
                  <c:v>2025 Q4</c:v>
                </c:pt>
              </c:strCache>
            </c:strRef>
          </c:cat>
          <c:val>
            <c:numRef>
              <c:f>analysis!$P$275:$P$300</c:f>
              <c:numCache>
                <c:formatCode>_-[$$-409]* #,##0.00_ ;_-[$$-409]* \-#,##0.00\ ;_-[$$-409]* "-"??_ ;_-@_ </c:formatCode>
                <c:ptCount val="26"/>
                <c:pt idx="0">
                  <c:v>119.217</c:v>
                </c:pt>
                <c:pt idx="1">
                  <c:v>113.649</c:v>
                </c:pt>
                <c:pt idx="2">
                  <c:v>102.852</c:v>
                </c:pt>
                <c:pt idx="3">
                  <c:v>117.629</c:v>
                </c:pt>
                <c:pt idx="4">
                  <c:v>127.46299999999999</c:v>
                </c:pt>
                <c:pt idx="5">
                  <c:v>118.505</c:v>
                </c:pt>
                <c:pt idx="6">
                  <c:v>117.553</c:v>
                </c:pt>
                <c:pt idx="7">
                  <c:v>133.03800000000001</c:v>
                </c:pt>
                <c:pt idx="8">
                  <c:v>135.38</c:v>
                </c:pt>
                <c:pt idx="9">
                  <c:v>131.446</c:v>
                </c:pt>
                <c:pt idx="10">
                  <c:v>138.22300000000001</c:v>
                </c:pt>
                <c:pt idx="11">
                  <c:v>163.74100000000001</c:v>
                </c:pt>
                <c:pt idx="12">
                  <c:v>165.40199999999999</c:v>
                </c:pt>
                <c:pt idx="13">
                  <c:v>169.92500000000001</c:v>
                </c:pt>
                <c:pt idx="14">
                  <c:v>181.82400000000001</c:v>
                </c:pt>
                <c:pt idx="15">
                  <c:v>181.81299999999999</c:v>
                </c:pt>
                <c:pt idx="16">
                  <c:v>160.43799999999999</c:v>
                </c:pt>
                <c:pt idx="17">
                  <c:v>145.60400000000001</c:v>
                </c:pt>
                <c:pt idx="18">
                  <c:v>140.904</c:v>
                </c:pt>
                <c:pt idx="19">
                  <c:v>140.904</c:v>
                </c:pt>
                <c:pt idx="20">
                  <c:v>149.35824</c:v>
                </c:pt>
                <c:pt idx="21">
                  <c:v>158.31973440000002</c:v>
                </c:pt>
                <c:pt idx="22">
                  <c:v>167.81891846400003</c:v>
                </c:pt>
                <c:pt idx="23">
                  <c:v>177.88805357184003</c:v>
                </c:pt>
                <c:pt idx="24">
                  <c:v>188.56133678615043</c:v>
                </c:pt>
                <c:pt idx="25">
                  <c:v>199.87501699331946</c:v>
                </c:pt>
              </c:numCache>
            </c:numRef>
          </c:val>
          <c:extLst>
            <c:ext xmlns:c16="http://schemas.microsoft.com/office/drawing/2014/chart" uri="{C3380CC4-5D6E-409C-BE32-E72D297353CC}">
              <c16:uniqueId val="{00000000-1DD1-4684-9FF3-66D43ACFA146}"/>
            </c:ext>
          </c:extLst>
        </c:ser>
        <c:dLbls>
          <c:showLegendKey val="0"/>
          <c:showVal val="0"/>
          <c:showCatName val="0"/>
          <c:showSerName val="0"/>
          <c:showPercent val="0"/>
          <c:showBubbleSize val="0"/>
        </c:dLbls>
        <c:gapWidth val="219"/>
        <c:overlap val="-27"/>
        <c:axId val="1525252239"/>
        <c:axId val="1525259919"/>
      </c:barChart>
      <c:catAx>
        <c:axId val="152525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59919"/>
        <c:crosses val="autoZero"/>
        <c:auto val="1"/>
        <c:lblAlgn val="ctr"/>
        <c:lblOffset val="100"/>
        <c:noMultiLvlLbl val="0"/>
      </c:catAx>
      <c:valAx>
        <c:axId val="152525991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52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1" u="none" strike="noStrike" baseline="0">
                <a:solidFill>
                  <a:srgbClr val="000000"/>
                </a:solidFill>
                <a:latin typeface="Times"/>
                <a:ea typeface="Times"/>
                <a:cs typeface="Times"/>
              </a:defRPr>
            </a:pPr>
            <a:r>
              <a:rPr lang="en-US"/>
              <a:t>Implied Equity Risk Premium for US Equity Market: 1960-2022</a:t>
            </a:r>
          </a:p>
        </c:rich>
      </c:tx>
      <c:layout>
        <c:manualLayout>
          <c:xMode val="edge"/>
          <c:yMode val="edge"/>
          <c:x val="0.22017021425734248"/>
          <c:y val="4.0488773510298115E-2"/>
        </c:manualLayout>
      </c:layout>
      <c:overlay val="0"/>
      <c:spPr>
        <a:noFill/>
        <a:ln w="25400">
          <a:noFill/>
        </a:ln>
      </c:spPr>
    </c:title>
    <c:autoTitleDeleted val="0"/>
    <c:plotArea>
      <c:layout>
        <c:manualLayout>
          <c:layoutTarget val="inner"/>
          <c:xMode val="edge"/>
          <c:yMode val="edge"/>
          <c:x val="8.0989876265466818E-2"/>
          <c:y val="0.10695555832044698"/>
          <c:w val="0.89333333333333331"/>
          <c:h val="0.77559912854030499"/>
        </c:manualLayout>
      </c:layout>
      <c:lineChart>
        <c:grouping val="standard"/>
        <c:varyColors val="0"/>
        <c:ser>
          <c:idx val="12"/>
          <c:order val="0"/>
          <c:tx>
            <c:strRef>
              <c:f>'[1]Historical Impl Premiums'!$N$7</c:f>
              <c:strCache>
                <c:ptCount val="1"/>
                <c:pt idx="0">
                  <c:v>Implied Premium (DDM)</c:v>
                </c:pt>
              </c:strCache>
            </c:strRef>
          </c:tx>
          <c:spPr>
            <a:ln w="25400">
              <a:solidFill>
                <a:srgbClr val="000000"/>
              </a:solidFill>
              <a:prstDash val="solid"/>
            </a:ln>
          </c:spPr>
          <c:marker>
            <c:symbol val="circle"/>
            <c:size val="6"/>
            <c:spPr>
              <a:solidFill>
                <a:srgbClr val="003300"/>
              </a:solidFill>
              <a:ln>
                <a:solidFill>
                  <a:srgbClr val="000000"/>
                </a:solidFill>
                <a:prstDash val="solid"/>
              </a:ln>
            </c:spPr>
          </c:marker>
          <c:cat>
            <c:numRef>
              <c:f>'[1]Historical Impl Premiums'!$A$8:$A$71</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'[1]Historical Impl Premiums'!$Q$8:$Q$71</c:f>
              <c:numCache>
                <c:formatCode>General</c:formatCode>
                <c:ptCount val="64"/>
                <c:pt idx="1">
                  <c:v>2.92E-2</c:v>
                </c:pt>
                <c:pt idx="2">
                  <c:v>3.56E-2</c:v>
                </c:pt>
                <c:pt idx="3">
                  <c:v>3.3799999999999997E-2</c:v>
                </c:pt>
                <c:pt idx="4">
                  <c:v>3.3099999999999997E-2</c:v>
                </c:pt>
                <c:pt idx="5">
                  <c:v>3.32E-2</c:v>
                </c:pt>
                <c:pt idx="6">
                  <c:v>3.6799999999999999E-2</c:v>
                </c:pt>
                <c:pt idx="7">
                  <c:v>3.2000000000000001E-2</c:v>
                </c:pt>
                <c:pt idx="8">
                  <c:v>0.03</c:v>
                </c:pt>
                <c:pt idx="9">
                  <c:v>3.7400000000000003E-2</c:v>
                </c:pt>
                <c:pt idx="10">
                  <c:v>3.4099999999999998E-2</c:v>
                </c:pt>
                <c:pt idx="11">
                  <c:v>3.09E-2</c:v>
                </c:pt>
                <c:pt idx="12">
                  <c:v>2.7199999999999998E-2</c:v>
                </c:pt>
                <c:pt idx="13">
                  <c:v>4.2999999999999997E-2</c:v>
                </c:pt>
                <c:pt idx="14">
                  <c:v>5.5899999999999998E-2</c:v>
                </c:pt>
                <c:pt idx="15">
                  <c:v>4.1300000000000003E-2</c:v>
                </c:pt>
                <c:pt idx="16">
                  <c:v>4.5499999999999999E-2</c:v>
                </c:pt>
                <c:pt idx="17">
                  <c:v>5.9200000000000003E-2</c:v>
                </c:pt>
                <c:pt idx="18">
                  <c:v>5.7200000000000001E-2</c:v>
                </c:pt>
                <c:pt idx="19">
                  <c:v>6.4500000000000002E-2</c:v>
                </c:pt>
                <c:pt idx="20">
                  <c:v>5.0299999999999997E-2</c:v>
                </c:pt>
                <c:pt idx="21">
                  <c:v>5.7299999999999997E-2</c:v>
                </c:pt>
                <c:pt idx="22">
                  <c:v>4.9000000000000002E-2</c:v>
                </c:pt>
                <c:pt idx="23">
                  <c:v>4.3099999999999999E-2</c:v>
                </c:pt>
                <c:pt idx="24">
                  <c:v>5.11E-2</c:v>
                </c:pt>
                <c:pt idx="25">
                  <c:v>3.8399999999999997E-2</c:v>
                </c:pt>
                <c:pt idx="26">
                  <c:v>3.5799999999999998E-2</c:v>
                </c:pt>
                <c:pt idx="27">
                  <c:v>3.9899999999999998E-2</c:v>
                </c:pt>
                <c:pt idx="28">
                  <c:v>3.7699999999999997E-2</c:v>
                </c:pt>
                <c:pt idx="29">
                  <c:v>3.5099999999999999E-2</c:v>
                </c:pt>
                <c:pt idx="30">
                  <c:v>3.8899999999999997E-2</c:v>
                </c:pt>
                <c:pt idx="31">
                  <c:v>3.4799999999999998E-2</c:v>
                </c:pt>
                <c:pt idx="32">
                  <c:v>3.5499999999999997E-2</c:v>
                </c:pt>
                <c:pt idx="33">
                  <c:v>3.1699999999999999E-2</c:v>
                </c:pt>
                <c:pt idx="34">
                  <c:v>3.5499999999999997E-2</c:v>
                </c:pt>
                <c:pt idx="35">
                  <c:v>3.2899999999999999E-2</c:v>
                </c:pt>
                <c:pt idx="36">
                  <c:v>3.2000000000000001E-2</c:v>
                </c:pt>
                <c:pt idx="37">
                  <c:v>2.7300000000000001E-2</c:v>
                </c:pt>
                <c:pt idx="38">
                  <c:v>2.2599999999999999E-2</c:v>
                </c:pt>
                <c:pt idx="39">
                  <c:v>2.0500000000000001E-2</c:v>
                </c:pt>
                <c:pt idx="40">
                  <c:v>2.87E-2</c:v>
                </c:pt>
                <c:pt idx="41">
                  <c:v>3.6200000000000003E-2</c:v>
                </c:pt>
                <c:pt idx="42">
                  <c:v>4.1000000000000002E-2</c:v>
                </c:pt>
                <c:pt idx="43">
                  <c:v>3.6900000000000002E-2</c:v>
                </c:pt>
                <c:pt idx="44">
                  <c:v>3.6499999999999998E-2</c:v>
                </c:pt>
                <c:pt idx="45">
                  <c:v>4.0800000000000003E-2</c:v>
                </c:pt>
                <c:pt idx="46">
                  <c:v>4.1599999999999998E-2</c:v>
                </c:pt>
                <c:pt idx="47">
                  <c:v>4.3700000000000003E-2</c:v>
                </c:pt>
                <c:pt idx="48">
                  <c:v>6.4299999999999996E-2</c:v>
                </c:pt>
                <c:pt idx="49">
                  <c:v>4.36E-2</c:v>
                </c:pt>
                <c:pt idx="50">
                  <c:v>5.1999999999999998E-2</c:v>
                </c:pt>
                <c:pt idx="51">
                  <c:v>6.0100000000000001E-2</c:v>
                </c:pt>
                <c:pt idx="52">
                  <c:v>5.7799999999999997E-2</c:v>
                </c:pt>
                <c:pt idx="53">
                  <c:v>4.9599999999999998E-2</c:v>
                </c:pt>
                <c:pt idx="54">
                  <c:v>5.7799999999999997E-2</c:v>
                </c:pt>
                <c:pt idx="55">
                  <c:v>6.1199999999999997E-2</c:v>
                </c:pt>
                <c:pt idx="56">
                  <c:v>5.6899999999999999E-2</c:v>
                </c:pt>
                <c:pt idx="57">
                  <c:v>5.0799999999999998E-2</c:v>
                </c:pt>
                <c:pt idx="58">
                  <c:v>5.96E-2</c:v>
                </c:pt>
                <c:pt idx="59">
                  <c:v>5.1999999999999998E-2</c:v>
                </c:pt>
                <c:pt idx="60">
                  <c:v>4.7199999999999999E-2</c:v>
                </c:pt>
                <c:pt idx="61">
                  <c:v>4.24E-2</c:v>
                </c:pt>
                <c:pt idx="62">
                  <c:v>5.9400000000000001E-2</c:v>
                </c:pt>
                <c:pt idx="63">
                  <c:v>4.5999999999999999E-2</c:v>
                </c:pt>
              </c:numCache>
            </c:numRef>
          </c:val>
          <c:smooth val="0"/>
          <c:extLst>
            <c:ext xmlns:c16="http://schemas.microsoft.com/office/drawing/2014/chart" uri="{C3380CC4-5D6E-409C-BE32-E72D297353CC}">
              <c16:uniqueId val="{00000000-334B-4730-B878-5FA9A5AE27DB}"/>
            </c:ext>
          </c:extLst>
        </c:ser>
        <c:dLbls>
          <c:showLegendKey val="0"/>
          <c:showVal val="0"/>
          <c:showCatName val="0"/>
          <c:showSerName val="0"/>
          <c:showPercent val="0"/>
          <c:showBubbleSize val="0"/>
        </c:dLbls>
        <c:marker val="1"/>
        <c:smooth val="0"/>
        <c:axId val="1138378911"/>
        <c:axId val="1"/>
      </c:lineChart>
      <c:catAx>
        <c:axId val="1138378911"/>
        <c:scaling>
          <c:orientation val="minMax"/>
        </c:scaling>
        <c:delete val="0"/>
        <c:axPos val="b"/>
        <c:majorGridlines>
          <c:spPr>
            <a:ln w="3175">
              <a:solidFill>
                <a:srgbClr val="808080"/>
              </a:solidFill>
              <a:prstDash val="solid"/>
            </a:ln>
          </c:spPr>
        </c:majorGridlines>
        <c:title>
          <c:tx>
            <c:rich>
              <a:bodyPr/>
              <a:lstStyle/>
              <a:p>
                <a:pPr>
                  <a:defRPr sz="1000" b="0" i="0" u="none" strike="noStrike" baseline="0">
                    <a:solidFill>
                      <a:srgbClr val="000000"/>
                    </a:solidFill>
                    <a:latin typeface="Times"/>
                    <a:ea typeface="Times"/>
                    <a:cs typeface="Times"/>
                  </a:defRPr>
                </a:pPr>
                <a:r>
                  <a:rPr lang="en-US"/>
                  <a:t>Year</a:t>
                </a:r>
              </a:p>
            </c:rich>
          </c:tx>
          <c:layout>
            <c:manualLayout>
              <c:xMode val="edge"/>
              <c:yMode val="edge"/>
              <c:x val="0.5229630365195449"/>
              <c:y val="0.94771240931128153"/>
            </c:manualLayout>
          </c:layout>
          <c:overlay val="0"/>
          <c:spPr>
            <a:noFill/>
            <a:ln w="25400">
              <a:noFill/>
            </a:ln>
          </c:spPr>
        </c:title>
        <c:numFmt formatCode="General" sourceLinked="1"/>
        <c:majorTickMark val="out"/>
        <c:minorTickMark val="in"/>
        <c:tickLblPos val="nextTo"/>
        <c:spPr>
          <a:ln w="3175">
            <a:solidFill>
              <a:srgbClr val="000000"/>
            </a:solidFill>
            <a:prstDash val="solid"/>
          </a:ln>
        </c:spPr>
        <c:txPr>
          <a:bodyPr rot="5400000" vert="horz"/>
          <a:lstStyle/>
          <a:p>
            <a:pPr rtl="0">
              <a:defRPr sz="1000" b="0" i="0" u="none" strike="noStrike" baseline="0">
                <a:solidFill>
                  <a:srgbClr val="000000"/>
                </a:solidFill>
                <a:latin typeface="Times"/>
                <a:ea typeface="Times"/>
                <a:cs typeface="Times"/>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Times"/>
                    <a:ea typeface="Times"/>
                    <a:cs typeface="Times"/>
                  </a:defRPr>
                </a:pPr>
                <a:r>
                  <a:rPr lang="en-US"/>
                  <a:t>Implied Premium</a:t>
                </a:r>
              </a:p>
            </c:rich>
          </c:tx>
          <c:layout>
            <c:manualLayout>
              <c:xMode val="edge"/>
              <c:yMode val="edge"/>
              <c:x val="1.0370452580667773E-2"/>
              <c:y val="0.427015438572361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rtl="0">
              <a:defRPr sz="1000" b="0" i="0" u="none" strike="noStrike" baseline="0">
                <a:solidFill>
                  <a:srgbClr val="000000"/>
                </a:solidFill>
                <a:latin typeface="Times"/>
                <a:ea typeface="Times"/>
                <a:cs typeface="Times"/>
              </a:defRPr>
            </a:pPr>
            <a:endParaRPr lang="en-US"/>
          </a:p>
        </c:txPr>
        <c:crossAx val="1138378911"/>
        <c:crosses val="autoZero"/>
        <c:crossBetween val="between"/>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Times"/>
          <a:ea typeface="Times"/>
          <a:cs typeface="Times"/>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analysis!$C$79</c:f>
              <c:strCache>
                <c:ptCount val="1"/>
                <c:pt idx="0">
                  <c:v>shares outstanding (millions)</c:v>
                </c:pt>
              </c:strCache>
            </c:strRef>
          </c:tx>
          <c:spPr>
            <a:solidFill>
              <a:schemeClr val="accent1"/>
            </a:solidFill>
            <a:ln>
              <a:noFill/>
            </a:ln>
            <a:effectLst/>
          </c:spPr>
          <c:invertIfNegative val="0"/>
          <c:cat>
            <c:numRef>
              <c:f>analysis!$B$80:$B$94</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analysis!$C$80:$C$94</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extLst>
            <c:ext xmlns:c16="http://schemas.microsoft.com/office/drawing/2014/chart" uri="{C3380CC4-5D6E-409C-BE32-E72D297353CC}">
              <c16:uniqueId val="{00000000-4B9D-4B27-8429-8ED0A66B4D18}"/>
            </c:ext>
          </c:extLst>
        </c:ser>
        <c:dLbls>
          <c:showLegendKey val="0"/>
          <c:showVal val="0"/>
          <c:showCatName val="0"/>
          <c:showSerName val="0"/>
          <c:showPercent val="0"/>
          <c:showBubbleSize val="0"/>
        </c:dLbls>
        <c:gapWidth val="95"/>
        <c:overlap val="-27"/>
        <c:axId val="1712300575"/>
        <c:axId val="1712302495"/>
        <c:extLst>
          <c:ext xmlns:c15="http://schemas.microsoft.com/office/drawing/2012/chart" uri="{02D57815-91ED-43cb-92C2-25804820EDAC}">
            <c15:filteredBarSeries>
              <c15:ser>
                <c:idx val="1"/>
                <c:order val="1"/>
                <c:tx>
                  <c:strRef>
                    <c:extLst>
                      <c:ext uri="{02D57815-91ED-43cb-92C2-25804820EDAC}">
                        <c15:formulaRef>
                          <c15:sqref>analysis!$D$79</c15:sqref>
                        </c15:formulaRef>
                      </c:ext>
                    </c:extLst>
                    <c:strCache>
                      <c:ptCount val="1"/>
                    </c:strCache>
                  </c:strRef>
                </c:tx>
                <c:spPr>
                  <a:solidFill>
                    <a:schemeClr val="accent2"/>
                  </a:solidFill>
                  <a:ln>
                    <a:noFill/>
                  </a:ln>
                  <a:effectLst/>
                </c:spPr>
                <c:invertIfNegative val="0"/>
                <c:cat>
                  <c:numRef>
                    <c:extLst>
                      <c:ext uri="{02D57815-91ED-43cb-92C2-25804820EDAC}">
                        <c15:formulaRef>
                          <c15:sqref>analysis!$B$80:$B$94</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analysis!$D$80:$D$94</c15:sqref>
                        </c15:formulaRef>
                      </c:ext>
                    </c:extLst>
                    <c:numCache>
                      <c:formatCode>General</c:formatCode>
                      <c:ptCount val="15"/>
                    </c:numCache>
                  </c:numRef>
                </c:val>
                <c:extLst>
                  <c:ext xmlns:c16="http://schemas.microsoft.com/office/drawing/2014/chart" uri="{C3380CC4-5D6E-409C-BE32-E72D297353CC}">
                    <c16:uniqueId val="{00000001-4B9D-4B27-8429-8ED0A66B4D1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analysis!$E$79</c15:sqref>
                        </c15:formulaRef>
                      </c:ext>
                    </c:extLst>
                    <c:strCache>
                      <c:ptCount val="1"/>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analysis!$B$80:$B$94</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analysis!$E$80:$E$94</c15:sqref>
                        </c15:formulaRef>
                      </c:ext>
                    </c:extLst>
                    <c:numCache>
                      <c:formatCode>General</c:formatCode>
                      <c:ptCount val="15"/>
                    </c:numCache>
                  </c:numRef>
                </c:val>
                <c:extLst xmlns:c15="http://schemas.microsoft.com/office/drawing/2012/chart">
                  <c:ext xmlns:c16="http://schemas.microsoft.com/office/drawing/2014/chart" uri="{C3380CC4-5D6E-409C-BE32-E72D297353CC}">
                    <c16:uniqueId val="{00000002-4B9D-4B27-8429-8ED0A66B4D18}"/>
                  </c:ext>
                </c:extLst>
              </c15:ser>
            </c15:filteredBarSeries>
          </c:ext>
        </c:extLst>
      </c:barChart>
      <c:catAx>
        <c:axId val="17123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02495"/>
        <c:crosses val="autoZero"/>
        <c:auto val="1"/>
        <c:lblAlgn val="ctr"/>
        <c:lblOffset val="100"/>
        <c:noMultiLvlLbl val="0"/>
      </c:catAx>
      <c:valAx>
        <c:axId val="17123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00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WACC!$E$196</c:f>
              <c:strCache>
                <c:ptCount val="1"/>
                <c:pt idx="0">
                  <c:v>tax rate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WACC!$B$197:$B$212</c:f>
              <c:numCache>
                <c:formatCode>General</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cat>
          <c:val>
            <c:numRef>
              <c:f>WACC!$E$197:$E$212</c:f>
              <c:numCache>
                <c:formatCode>0.0%</c:formatCode>
                <c:ptCount val="16"/>
                <c:pt idx="0">
                  <c:v>0.23333333333333334</c:v>
                </c:pt>
                <c:pt idx="1">
                  <c:v>0.23333333333333334</c:v>
                </c:pt>
                <c:pt idx="2">
                  <c:v>0.32608695652173914</c:v>
                </c:pt>
                <c:pt idx="3">
                  <c:v>0.35555555555555557</c:v>
                </c:pt>
                <c:pt idx="4">
                  <c:v>0.34375</c:v>
                </c:pt>
                <c:pt idx="5">
                  <c:v>0.42857142857142855</c:v>
                </c:pt>
                <c:pt idx="6">
                  <c:v>0.41666666666666669</c:v>
                </c:pt>
                <c:pt idx="7">
                  <c:v>0.2857142857142857</c:v>
                </c:pt>
                <c:pt idx="8">
                  <c:v>0.5</c:v>
                </c:pt>
                <c:pt idx="9">
                  <c:v>0.18181818181818182</c:v>
                </c:pt>
                <c:pt idx="10">
                  <c:v>0.25806451612903225</c:v>
                </c:pt>
                <c:pt idx="11">
                  <c:v>0.26829268292682928</c:v>
                </c:pt>
                <c:pt idx="12">
                  <c:v>0.26530612244897961</c:v>
                </c:pt>
                <c:pt idx="13">
                  <c:v>0.25675675675675674</c:v>
                </c:pt>
                <c:pt idx="14">
                  <c:v>0.23170731707317074</c:v>
                </c:pt>
                <c:pt idx="15" formatCode="0.00%">
                  <c:v>0.19016697588126161</c:v>
                </c:pt>
              </c:numCache>
            </c:numRef>
          </c:val>
          <c:extLst>
            <c:ext xmlns:c16="http://schemas.microsoft.com/office/drawing/2014/chart" uri="{C3380CC4-5D6E-409C-BE32-E72D297353CC}">
              <c16:uniqueId val="{00000002-59D4-48A5-A12F-CFBF1E62D62E}"/>
            </c:ext>
          </c:extLst>
        </c:ser>
        <c:dLbls>
          <c:showLegendKey val="0"/>
          <c:showVal val="0"/>
          <c:showCatName val="0"/>
          <c:showSerName val="0"/>
          <c:showPercent val="0"/>
          <c:showBubbleSize val="0"/>
        </c:dLbls>
        <c:gapWidth val="157"/>
        <c:axId val="464228464"/>
        <c:axId val="464235664"/>
        <c:extLst>
          <c:ext xmlns:c15="http://schemas.microsoft.com/office/drawing/2012/chart" uri="{02D57815-91ED-43cb-92C2-25804820EDAC}">
            <c15:filteredBarSeries>
              <c15:ser>
                <c:idx val="0"/>
                <c:order val="0"/>
                <c:tx>
                  <c:strRef>
                    <c:extLst>
                      <c:ext uri="{02D57815-91ED-43cb-92C2-25804820EDAC}">
                        <c15:formulaRef>
                          <c15:sqref>WACC!$C$196</c15:sqref>
                        </c15:formulaRef>
                      </c:ext>
                    </c:extLst>
                    <c:strCache>
                      <c:ptCount val="1"/>
                      <c:pt idx="0">
                        <c:v>income before taxes</c:v>
                      </c:pt>
                    </c:strCache>
                  </c:strRef>
                </c:tx>
                <c:spPr>
                  <a:solidFill>
                    <a:schemeClr val="accent1"/>
                  </a:solidFill>
                  <a:ln>
                    <a:noFill/>
                  </a:ln>
                  <a:effectLst/>
                </c:spPr>
                <c:invertIfNegative val="0"/>
                <c:cat>
                  <c:numRef>
                    <c:extLst>
                      <c:ext uri="{02D57815-91ED-43cb-92C2-25804820EDAC}">
                        <c15:formulaRef>
                          <c15:sqref>WACC!$B$197:$B$212</c15:sqref>
                        </c15:formulaRef>
                      </c:ext>
                    </c:extLst>
                    <c:numCache>
                      <c:formatCode>General</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cat>
                <c:val>
                  <c:numRef>
                    <c:extLst>
                      <c:ext uri="{02D57815-91ED-43cb-92C2-25804820EDAC}">
                        <c15:formulaRef>
                          <c15:sqref>WACC!$C$197:$C$212</c15:sqref>
                        </c15:formulaRef>
                      </c:ext>
                    </c:extLst>
                    <c:numCache>
                      <c:formatCode>_-[$$-409]* #,##0.00_ ;_-[$$-409]* \-#,##0.00\ ;_-[$$-409]* "-"??_ ;_-@_ </c:formatCode>
                      <c:ptCount val="16"/>
                      <c:pt idx="0">
                        <c:v>30</c:v>
                      </c:pt>
                      <c:pt idx="1">
                        <c:v>30</c:v>
                      </c:pt>
                      <c:pt idx="2">
                        <c:v>46</c:v>
                      </c:pt>
                      <c:pt idx="3">
                        <c:v>45</c:v>
                      </c:pt>
                      <c:pt idx="4">
                        <c:v>32</c:v>
                      </c:pt>
                      <c:pt idx="5">
                        <c:v>21</c:v>
                      </c:pt>
                      <c:pt idx="6">
                        <c:v>12</c:v>
                      </c:pt>
                      <c:pt idx="7">
                        <c:v>21</c:v>
                      </c:pt>
                      <c:pt idx="8">
                        <c:v>26</c:v>
                      </c:pt>
                      <c:pt idx="9">
                        <c:v>33</c:v>
                      </c:pt>
                      <c:pt idx="10">
                        <c:v>31</c:v>
                      </c:pt>
                      <c:pt idx="11">
                        <c:v>41</c:v>
                      </c:pt>
                      <c:pt idx="12">
                        <c:v>49</c:v>
                      </c:pt>
                      <c:pt idx="13">
                        <c:v>74</c:v>
                      </c:pt>
                      <c:pt idx="14">
                        <c:v>82</c:v>
                      </c:pt>
                    </c:numCache>
                  </c:numRef>
                </c:val>
                <c:extLst>
                  <c:ext xmlns:c16="http://schemas.microsoft.com/office/drawing/2014/chart" uri="{C3380CC4-5D6E-409C-BE32-E72D297353CC}">
                    <c16:uniqueId val="{00000000-59D4-48A5-A12F-CFBF1E62D62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WACC!$D$196</c15:sqref>
                        </c15:formulaRef>
                      </c:ext>
                    </c:extLst>
                    <c:strCache>
                      <c:ptCount val="1"/>
                      <c:pt idx="0">
                        <c:v>income tax expense</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WACC!$B$197:$B$212</c15:sqref>
                        </c15:formulaRef>
                      </c:ext>
                    </c:extLst>
                    <c:numCache>
                      <c:formatCode>General</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cat>
                <c:val>
                  <c:numRef>
                    <c:extLst xmlns:c15="http://schemas.microsoft.com/office/drawing/2012/chart">
                      <c:ext xmlns:c15="http://schemas.microsoft.com/office/drawing/2012/chart" uri="{02D57815-91ED-43cb-92C2-25804820EDAC}">
                        <c15:formulaRef>
                          <c15:sqref>WACC!$D$197:$D$212</c15:sqref>
                        </c15:formulaRef>
                      </c:ext>
                    </c:extLst>
                    <c:numCache>
                      <c:formatCode>_-[$$-409]* #,##0.00_ ;_-[$$-409]* \-#,##0.00\ ;_-[$$-409]* "-"??_ ;_-@_ </c:formatCode>
                      <c:ptCount val="16"/>
                      <c:pt idx="0">
                        <c:v>7</c:v>
                      </c:pt>
                      <c:pt idx="1">
                        <c:v>7</c:v>
                      </c:pt>
                      <c:pt idx="2">
                        <c:v>15</c:v>
                      </c:pt>
                      <c:pt idx="3">
                        <c:v>16</c:v>
                      </c:pt>
                      <c:pt idx="4">
                        <c:v>11</c:v>
                      </c:pt>
                      <c:pt idx="5">
                        <c:v>9</c:v>
                      </c:pt>
                      <c:pt idx="6">
                        <c:v>5</c:v>
                      </c:pt>
                      <c:pt idx="7">
                        <c:v>6</c:v>
                      </c:pt>
                      <c:pt idx="8">
                        <c:v>13</c:v>
                      </c:pt>
                      <c:pt idx="9">
                        <c:v>6</c:v>
                      </c:pt>
                      <c:pt idx="10">
                        <c:v>8</c:v>
                      </c:pt>
                      <c:pt idx="11">
                        <c:v>11</c:v>
                      </c:pt>
                      <c:pt idx="12">
                        <c:v>13</c:v>
                      </c:pt>
                      <c:pt idx="13">
                        <c:v>19</c:v>
                      </c:pt>
                      <c:pt idx="14">
                        <c:v>19</c:v>
                      </c:pt>
                    </c:numCache>
                  </c:numRef>
                </c:val>
                <c:extLst xmlns:c15="http://schemas.microsoft.com/office/drawing/2012/chart">
                  <c:ext xmlns:c16="http://schemas.microsoft.com/office/drawing/2014/chart" uri="{C3380CC4-5D6E-409C-BE32-E72D297353CC}">
                    <c16:uniqueId val="{00000001-59D4-48A5-A12F-CFBF1E62D62E}"/>
                  </c:ext>
                </c:extLst>
              </c15:ser>
            </c15:filteredBarSeries>
          </c:ext>
        </c:extLst>
      </c:barChart>
      <c:catAx>
        <c:axId val="4642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35664"/>
        <c:crosses val="autoZero"/>
        <c:auto val="1"/>
        <c:lblAlgn val="ctr"/>
        <c:lblOffset val="100"/>
        <c:noMultiLvlLbl val="0"/>
      </c:catAx>
      <c:valAx>
        <c:axId val="464235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2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data!$G$11</c:f>
              <c:strCache>
                <c:ptCount val="1"/>
                <c:pt idx="0">
                  <c:v>growth %</c:v>
                </c:pt>
              </c:strCache>
            </c:strRef>
          </c:tx>
          <c:spPr>
            <a:solidFill>
              <a:srgbClr val="00B050"/>
            </a:solidFill>
            <a:ln>
              <a:noFill/>
            </a:ln>
            <a:effectLst/>
          </c:spPr>
          <c:invertIfNegative val="0"/>
          <c:dPt>
            <c:idx val="3"/>
            <c:invertIfNegative val="0"/>
            <c:bubble3D val="0"/>
            <c:spPr>
              <a:solidFill>
                <a:srgbClr val="FF0000"/>
              </a:solidFill>
              <a:ln>
                <a:noFill/>
              </a:ln>
              <a:effectLst/>
            </c:spPr>
            <c:extLst>
              <c:ext xmlns:c16="http://schemas.microsoft.com/office/drawing/2014/chart" uri="{C3380CC4-5D6E-409C-BE32-E72D297353CC}">
                <c16:uniqueId val="{00000008-CB34-4F32-A49F-1B34FCFDB8BB}"/>
              </c:ext>
            </c:extLst>
          </c:dPt>
          <c:dPt>
            <c:idx val="5"/>
            <c:invertIfNegative val="0"/>
            <c:bubble3D val="0"/>
            <c:spPr>
              <a:solidFill>
                <a:srgbClr val="FF0000"/>
              </a:solidFill>
              <a:ln>
                <a:noFill/>
              </a:ln>
              <a:effectLst/>
            </c:spPr>
            <c:extLst>
              <c:ext xmlns:c16="http://schemas.microsoft.com/office/drawing/2014/chart" uri="{C3380CC4-5D6E-409C-BE32-E72D297353CC}">
                <c16:uniqueId val="{00000007-CB34-4F32-A49F-1B34FCFDB8BB}"/>
              </c:ext>
            </c:extLst>
          </c:dPt>
          <c:dPt>
            <c:idx val="6"/>
            <c:invertIfNegative val="0"/>
            <c:bubble3D val="0"/>
            <c:spPr>
              <a:solidFill>
                <a:srgbClr val="FF0000"/>
              </a:solidFill>
              <a:ln>
                <a:noFill/>
              </a:ln>
              <a:effectLst/>
            </c:spPr>
            <c:extLst>
              <c:ext xmlns:c16="http://schemas.microsoft.com/office/drawing/2014/chart" uri="{C3380CC4-5D6E-409C-BE32-E72D297353CC}">
                <c16:uniqueId val="{00000006-CB34-4F32-A49F-1B34FCFDB8BB}"/>
              </c:ext>
            </c:extLst>
          </c:dPt>
          <c:dPt>
            <c:idx val="7"/>
            <c:invertIfNegative val="0"/>
            <c:bubble3D val="0"/>
            <c:spPr>
              <a:solidFill>
                <a:srgbClr val="FF0000"/>
              </a:solidFill>
              <a:ln>
                <a:noFill/>
              </a:ln>
              <a:effectLst/>
            </c:spPr>
            <c:extLst>
              <c:ext xmlns:c16="http://schemas.microsoft.com/office/drawing/2014/chart" uri="{C3380CC4-5D6E-409C-BE32-E72D297353CC}">
                <c16:uniqueId val="{00000005-CB34-4F32-A49F-1B34FCFDB8BB}"/>
              </c:ext>
            </c:extLst>
          </c:dPt>
          <c:dPt>
            <c:idx val="13"/>
            <c:invertIfNegative val="0"/>
            <c:bubble3D val="0"/>
            <c:spPr>
              <a:solidFill>
                <a:srgbClr val="FF0000"/>
              </a:solidFill>
              <a:ln>
                <a:noFill/>
              </a:ln>
              <a:effectLst/>
            </c:spPr>
            <c:extLst>
              <c:ext xmlns:c16="http://schemas.microsoft.com/office/drawing/2014/chart" uri="{C3380CC4-5D6E-409C-BE32-E72D297353CC}">
                <c16:uniqueId val="{00000004-CB34-4F32-A49F-1B34FCFDB8BB}"/>
              </c:ext>
            </c:extLst>
          </c:dPt>
          <c:dPt>
            <c:idx val="17"/>
            <c:invertIfNegative val="0"/>
            <c:bubble3D val="0"/>
            <c:spPr>
              <a:solidFill>
                <a:srgbClr val="FF0000"/>
              </a:solidFill>
              <a:ln>
                <a:noFill/>
              </a:ln>
              <a:effectLst/>
            </c:spPr>
            <c:extLst>
              <c:ext xmlns:c16="http://schemas.microsoft.com/office/drawing/2014/chart" uri="{C3380CC4-5D6E-409C-BE32-E72D297353CC}">
                <c16:uniqueId val="{00000003-CB34-4F32-A49F-1B34FCFDB8BB}"/>
              </c:ext>
            </c:extLst>
          </c:dPt>
          <c:dPt>
            <c:idx val="18"/>
            <c:invertIfNegative val="0"/>
            <c:bubble3D val="0"/>
            <c:spPr>
              <a:solidFill>
                <a:srgbClr val="FF0000"/>
              </a:solidFill>
              <a:ln>
                <a:noFill/>
              </a:ln>
              <a:effectLst/>
            </c:spPr>
            <c:extLst>
              <c:ext xmlns:c16="http://schemas.microsoft.com/office/drawing/2014/chart" uri="{C3380CC4-5D6E-409C-BE32-E72D297353CC}">
                <c16:uniqueId val="{00000002-CB34-4F32-A49F-1B34FCFDB8BB}"/>
              </c:ext>
            </c:extLst>
          </c:dPt>
          <c:dPt>
            <c:idx val="19"/>
            <c:invertIfNegative val="0"/>
            <c:bubble3D val="0"/>
            <c:spPr>
              <a:solidFill>
                <a:srgbClr val="FF0000"/>
              </a:solidFill>
              <a:ln>
                <a:noFill/>
              </a:ln>
              <a:effectLst/>
            </c:spPr>
            <c:extLst>
              <c:ext xmlns:c16="http://schemas.microsoft.com/office/drawing/2014/chart" uri="{C3380CC4-5D6E-409C-BE32-E72D297353CC}">
                <c16:uniqueId val="{00000001-CB34-4F32-A49F-1B34FCFDB8BB}"/>
              </c:ext>
            </c:extLst>
          </c:dPt>
          <c:dPt>
            <c:idx val="20"/>
            <c:invertIfNegative val="0"/>
            <c:bubble3D val="0"/>
            <c:spPr>
              <a:solidFill>
                <a:srgbClr val="FF0000"/>
              </a:solidFill>
              <a:ln>
                <a:noFill/>
              </a:ln>
              <a:effectLst/>
            </c:spPr>
            <c:extLst>
              <c:ext xmlns:c16="http://schemas.microsoft.com/office/drawing/2014/chart" uri="{C3380CC4-5D6E-409C-BE32-E72D297353CC}">
                <c16:uniqueId val="{00000000-CB34-4F32-A49F-1B34FCFDB8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data!$E$12:$E$39</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data!$G$12:$G$39</c:f>
              <c:numCache>
                <c:formatCode>0.0%</c:formatCode>
                <c:ptCount val="28"/>
                <c:pt idx="1">
                  <c:v>0.10751279914275517</c:v>
                </c:pt>
                <c:pt idx="2">
                  <c:v>5.6683802114892171E-2</c:v>
                </c:pt>
                <c:pt idx="3">
                  <c:v>-9.710789663528234E-2</c:v>
                </c:pt>
                <c:pt idx="4">
                  <c:v>6.1906835002176697E-2</c:v>
                </c:pt>
                <c:pt idx="5">
                  <c:v>-5.2895838558447247E-2</c:v>
                </c:pt>
                <c:pt idx="6">
                  <c:v>-0.13506989534794894</c:v>
                </c:pt>
                <c:pt idx="7">
                  <c:v>-9.7202105486275558E-2</c:v>
                </c:pt>
                <c:pt idx="8">
                  <c:v>0.19421129176367771</c:v>
                </c:pt>
                <c:pt idx="9">
                  <c:v>0.12392415570798204</c:v>
                </c:pt>
                <c:pt idx="10">
                  <c:v>5.4095158500320741E-2</c:v>
                </c:pt>
                <c:pt idx="11">
                  <c:v>7.5376722274208524E-2</c:v>
                </c:pt>
                <c:pt idx="12">
                  <c:v>0.15625683165515747</c:v>
                </c:pt>
                <c:pt idx="13">
                  <c:v>-4.7237730868756135E-2</c:v>
                </c:pt>
                <c:pt idx="14">
                  <c:v>0.31517509727626458</c:v>
                </c:pt>
                <c:pt idx="15">
                  <c:v>0.25443786982248523</c:v>
                </c:pt>
                <c:pt idx="16">
                  <c:v>3.5377358490566037E-2</c:v>
                </c:pt>
                <c:pt idx="17">
                  <c:v>-6.6059225512528477E-2</c:v>
                </c:pt>
                <c:pt idx="18">
                  <c:v>-5.3658536585365853E-2</c:v>
                </c:pt>
                <c:pt idx="19">
                  <c:v>-8.505154639175258E-2</c:v>
                </c:pt>
                <c:pt idx="20">
                  <c:v>-5.0704225352112678E-2</c:v>
                </c:pt>
                <c:pt idx="21">
                  <c:v>0.12166172106824925</c:v>
                </c:pt>
                <c:pt idx="22">
                  <c:v>0.11375661375661375</c:v>
                </c:pt>
                <c:pt idx="23">
                  <c:v>5.6769596199524888E-2</c:v>
                </c:pt>
                <c:pt idx="24">
                  <c:v>4.8325466396943136E-2</c:v>
                </c:pt>
                <c:pt idx="25">
                  <c:v>0.10934819897084049</c:v>
                </c:pt>
                <c:pt idx="26">
                  <c:v>0.23115577889447242</c:v>
                </c:pt>
                <c:pt idx="27">
                  <c:v>5.1334379905808546E-2</c:v>
                </c:pt>
              </c:numCache>
            </c:numRef>
          </c:val>
          <c:extLst>
            <c:ext xmlns:c16="http://schemas.microsoft.com/office/drawing/2014/chart" uri="{C3380CC4-5D6E-409C-BE32-E72D297353CC}">
              <c16:uniqueId val="{00000000-D28F-4B7F-8544-CE1383EAE4DF}"/>
            </c:ext>
          </c:extLst>
        </c:ser>
        <c:dLbls>
          <c:dLblPos val="outEnd"/>
          <c:showLegendKey val="0"/>
          <c:showVal val="1"/>
          <c:showCatName val="0"/>
          <c:showSerName val="0"/>
          <c:showPercent val="0"/>
          <c:showBubbleSize val="0"/>
        </c:dLbls>
        <c:gapWidth val="84"/>
        <c:axId val="374432960"/>
        <c:axId val="374438240"/>
        <c:extLst>
          <c:ext xmlns:c15="http://schemas.microsoft.com/office/drawing/2012/chart" uri="{02D57815-91ED-43cb-92C2-25804820EDAC}">
            <c15:filteredBarSeries>
              <c15:ser>
                <c:idx val="0"/>
                <c:order val="0"/>
                <c:tx>
                  <c:strRef>
                    <c:extLst>
                      <c:ext uri="{02D57815-91ED-43cb-92C2-25804820EDAC}">
                        <c15:formulaRef>
                          <c15:sqref>data!$F$11</c15:sqref>
                        </c15:formulaRef>
                      </c:ext>
                    </c:extLst>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data!$E$12:$E$39</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data!$F$12:$F$39</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1-D28F-4B7F-8544-CE1383EAE4DF}"/>
                  </c:ext>
                </c:extLst>
              </c15:ser>
            </c15:filteredBarSeries>
          </c:ext>
        </c:extLst>
      </c:barChart>
      <c:catAx>
        <c:axId val="3744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8240"/>
        <c:crosses val="autoZero"/>
        <c:auto val="1"/>
        <c:lblAlgn val="ctr"/>
        <c:lblOffset val="100"/>
        <c:noMultiLvlLbl val="0"/>
      </c:catAx>
      <c:valAx>
        <c:axId val="374438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data!$A$44:$A$59</c:f>
              <c:numCache>
                <c:formatCode>0.0%</c:formatCode>
                <c:ptCount val="16"/>
                <c:pt idx="0">
                  <c:v>0.10751279914275517</c:v>
                </c:pt>
                <c:pt idx="1">
                  <c:v>5.6683802114892171E-2</c:v>
                </c:pt>
                <c:pt idx="2">
                  <c:v>6.1906835002176697E-2</c:v>
                </c:pt>
                <c:pt idx="3">
                  <c:v>0.19421129176367771</c:v>
                </c:pt>
                <c:pt idx="4">
                  <c:v>0.12392415570798204</c:v>
                </c:pt>
                <c:pt idx="5">
                  <c:v>5.4095158500320741E-2</c:v>
                </c:pt>
                <c:pt idx="6">
                  <c:v>7.5376722274208524E-2</c:v>
                </c:pt>
                <c:pt idx="7">
                  <c:v>0.15625683165515747</c:v>
                </c:pt>
                <c:pt idx="8">
                  <c:v>3.5377358490566037E-2</c:v>
                </c:pt>
                <c:pt idx="9">
                  <c:v>0.12166172106824925</c:v>
                </c:pt>
                <c:pt idx="10">
                  <c:v>0.11375661375661375</c:v>
                </c:pt>
                <c:pt idx="11">
                  <c:v>5.6769596199524888E-2</c:v>
                </c:pt>
                <c:pt idx="12">
                  <c:v>4.8325466396943136E-2</c:v>
                </c:pt>
                <c:pt idx="13">
                  <c:v>0.10934819897084049</c:v>
                </c:pt>
                <c:pt idx="14">
                  <c:v>0.23115577889447242</c:v>
                </c:pt>
                <c:pt idx="15">
                  <c:v>5.1334379905808546E-2</c:v>
                </c:pt>
              </c:numCache>
            </c:numRef>
          </c:val>
          <c:extLst>
            <c:ext xmlns:c16="http://schemas.microsoft.com/office/drawing/2014/chart" uri="{C3380CC4-5D6E-409C-BE32-E72D297353CC}">
              <c16:uniqueId val="{00000000-0CFD-4A0B-AD82-B59765F6EF5F}"/>
            </c:ext>
          </c:extLst>
        </c:ser>
        <c:dLbls>
          <c:showLegendKey val="0"/>
          <c:showVal val="0"/>
          <c:showCatName val="0"/>
          <c:showSerName val="0"/>
          <c:showPercent val="0"/>
          <c:showBubbleSize val="0"/>
        </c:dLbls>
        <c:gapWidth val="219"/>
        <c:overlap val="-27"/>
        <c:axId val="1434734224"/>
        <c:axId val="1434729904"/>
      </c:barChart>
      <c:catAx>
        <c:axId val="14347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29904"/>
        <c:crosses val="autoZero"/>
        <c:auto val="1"/>
        <c:lblAlgn val="ctr"/>
        <c:lblOffset val="100"/>
        <c:noMultiLvlLbl val="0"/>
      </c:catAx>
      <c:valAx>
        <c:axId val="1434729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3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'Story&amp;Estimates'!$E$77</c:f>
              <c:strCache>
                <c:ptCount val="1"/>
                <c:pt idx="0">
                  <c:v>operating margin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'Story&amp;Estimates'!$B$78:$B$92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'Story&amp;Estimates'!$E$78:$E$92</c:f>
              <c:numCache>
                <c:formatCode>0.00%</c:formatCode>
                <c:ptCount val="15"/>
                <c:pt idx="0">
                  <c:v>7.5719844357976657E-2</c:v>
                </c:pt>
                <c:pt idx="1">
                  <c:v>8.4260355029585801E-2</c:v>
                </c:pt>
                <c:pt idx="2">
                  <c:v>0.10696698113207546</c:v>
                </c:pt>
                <c:pt idx="3">
                  <c:v>0.10050569476082004</c:v>
                </c:pt>
                <c:pt idx="4">
                  <c:v>7.5970731707317066E-2</c:v>
                </c:pt>
                <c:pt idx="5">
                  <c:v>5.4737113402061853E-2</c:v>
                </c:pt>
                <c:pt idx="6">
                  <c:v>3.4785915492957745E-2</c:v>
                </c:pt>
                <c:pt idx="7">
                  <c:v>6.3735905044510377E-2</c:v>
                </c:pt>
                <c:pt idx="8">
                  <c:v>6.9068783068783071E-2</c:v>
                </c:pt>
                <c:pt idx="9">
                  <c:v>7.8228028503562946E-2</c:v>
                </c:pt>
                <c:pt idx="10">
                  <c:v>7.3335581029444832E-2</c:v>
                </c:pt>
                <c:pt idx="11">
                  <c:v>8.6207118353344769E-2</c:v>
                </c:pt>
                <c:pt idx="12">
                  <c:v>9.1899884035562429E-2</c:v>
                </c:pt>
                <c:pt idx="13">
                  <c:v>0.10888697017268446</c:v>
                </c:pt>
                <c:pt idx="14">
                  <c:v>0.12565925041063161</c:v>
                </c:pt>
              </c:numCache>
            </c:numRef>
          </c:val>
          <c:extLst>
            <c:ext xmlns:c16="http://schemas.microsoft.com/office/drawing/2014/chart" uri="{C3380CC4-5D6E-409C-BE32-E72D297353CC}">
              <c16:uniqueId val="{00000002-4970-4335-801D-6B6EF360C8A6}"/>
            </c:ext>
          </c:extLst>
        </c:ser>
        <c:dLbls>
          <c:showLegendKey val="0"/>
          <c:showVal val="0"/>
          <c:showCatName val="0"/>
          <c:showSerName val="0"/>
          <c:showPercent val="0"/>
          <c:showBubbleSize val="0"/>
        </c:dLbls>
        <c:gapWidth val="104"/>
        <c:axId val="1792807648"/>
        <c:axId val="1792795168"/>
        <c:extLst>
          <c:ext xmlns:c15="http://schemas.microsoft.com/office/drawing/2012/chart" uri="{02D57815-91ED-43cb-92C2-25804820EDAC}">
            <c15:filteredBarSeries>
              <c15:ser>
                <c:idx val="0"/>
                <c:order val="0"/>
                <c:tx>
                  <c:strRef>
                    <c:extLst>
                      <c:ext uri="{02D57815-91ED-43cb-92C2-25804820EDAC}">
                        <c15:formulaRef>
                          <c15:sqref>'Story&amp;Estimates'!$C$77</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'Story&amp;Estimates'!$B$78:$B$92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'Story&amp;Estimates'!$C$78:$C$92</c15:sqref>
                        </c15:formulaRef>
                      </c:ext>
                    </c:extLst>
                    <c:numCache>
                      <c:formatCode>_-[$$-409]* #,##0.00_ ;_-[$$-409]* \-#,##0.00\ ;_-[$$-409]* "-"??_ ;_-@_ </c:formatCode>
                      <c:ptCount val="15"/>
                      <c:pt idx="0">
                        <c:v>257</c:v>
                      </c:pt>
                      <c:pt idx="1">
                        <c:v>338</c:v>
                      </c:pt>
                      <c:pt idx="2">
                        <c:v>424</c:v>
                      </c:pt>
                      <c:pt idx="3">
                        <c:v>439</c:v>
                      </c:pt>
                      <c:pt idx="4">
                        <c:v>410</c:v>
                      </c:pt>
                      <c:pt idx="5">
                        <c:v>388</c:v>
                      </c:pt>
                      <c:pt idx="6">
                        <c:v>355</c:v>
                      </c:pt>
                      <c:pt idx="7">
                        <c:v>337</c:v>
                      </c:pt>
                      <c:pt idx="8">
                        <c:v>378</c:v>
                      </c:pt>
                      <c:pt idx="9">
                        <c:v>421</c:v>
                      </c:pt>
                      <c:pt idx="10">
                        <c:v>444.9</c:v>
                      </c:pt>
                      <c:pt idx="11">
                        <c:v>466.4</c:v>
                      </c:pt>
                      <c:pt idx="12">
                        <c:v>517.4</c:v>
                      </c:pt>
                      <c:pt idx="13">
                        <c:v>637</c:v>
                      </c:pt>
                      <c:pt idx="14">
                        <c:v>669.7</c:v>
                      </c:pt>
                    </c:numCache>
                  </c:numRef>
                </c:val>
                <c:extLst>
                  <c:ext xmlns:c16="http://schemas.microsoft.com/office/drawing/2014/chart" uri="{C3380CC4-5D6E-409C-BE32-E72D297353CC}">
                    <c16:uniqueId val="{00000000-4970-4335-801D-6B6EF360C8A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'Story&amp;Estimates'!$D$77</c15:sqref>
                        </c15:formulaRef>
                      </c:ext>
                    </c:extLst>
                    <c:strCache>
                      <c:ptCount val="1"/>
                      <c:pt idx="0">
                        <c:v>operating income</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'Story&amp;Estimates'!$B$78:$B$92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'Story&amp;Estimates'!$D$78:$D$92</c15:sqref>
                        </c15:formulaRef>
                      </c:ext>
                    </c:extLst>
                    <c:numCache>
                      <c:formatCode>_-[$$-409]* #,##0.00_ ;_-[$$-409]* \-#,##0.00\ ;_-[$$-409]* "-"??_ ;_-@_ </c:formatCode>
                      <c:ptCount val="15"/>
                      <c:pt idx="0">
                        <c:v>19.46</c:v>
                      </c:pt>
                      <c:pt idx="1">
                        <c:v>28.48</c:v>
                      </c:pt>
                      <c:pt idx="2">
                        <c:v>45.353999999999999</c:v>
                      </c:pt>
                      <c:pt idx="3">
                        <c:v>44.122</c:v>
                      </c:pt>
                      <c:pt idx="4">
                        <c:v>31.148</c:v>
                      </c:pt>
                      <c:pt idx="5">
                        <c:v>21.238</c:v>
                      </c:pt>
                      <c:pt idx="6">
                        <c:v>12.349</c:v>
                      </c:pt>
                      <c:pt idx="7">
                        <c:v>21.478999999999999</c:v>
                      </c:pt>
                      <c:pt idx="8">
                        <c:v>26.108000000000001</c:v>
                      </c:pt>
                      <c:pt idx="9">
                        <c:v>32.933999999999997</c:v>
                      </c:pt>
                      <c:pt idx="10">
                        <c:v>32.627000000000002</c:v>
                      </c:pt>
                      <c:pt idx="11">
                        <c:v>40.207000000000001</c:v>
                      </c:pt>
                      <c:pt idx="12">
                        <c:v>47.548999999999999</c:v>
                      </c:pt>
                      <c:pt idx="13">
                        <c:v>69.361000000000004</c:v>
                      </c:pt>
                      <c:pt idx="14">
                        <c:v>84.153999999999996</c:v>
                      </c:pt>
                    </c:numCache>
                  </c:numRef>
                </c:val>
                <c:extLst xmlns:c15="http://schemas.microsoft.com/office/drawing/2012/chart">
                  <c:ext xmlns:c16="http://schemas.microsoft.com/office/drawing/2014/chart" uri="{C3380CC4-5D6E-409C-BE32-E72D297353CC}">
                    <c16:uniqueId val="{00000001-4970-4335-801D-6B6EF360C8A6}"/>
                  </c:ext>
                </c:extLst>
              </c15:ser>
            </c15:filteredBarSeries>
          </c:ext>
        </c:extLst>
      </c:barChart>
      <c:catAx>
        <c:axId val="179280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95168"/>
        <c:crosses val="autoZero"/>
        <c:auto val="1"/>
        <c:lblAlgn val="ctr"/>
        <c:lblOffset val="100"/>
        <c:noMultiLvlLbl val="0"/>
      </c:catAx>
      <c:valAx>
        <c:axId val="17927951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80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data!$G$11</c:f>
              <c:strCache>
                <c:ptCount val="1"/>
                <c:pt idx="0">
                  <c:v>growth %</c:v>
                </c:pt>
              </c:strCache>
            </c:strRef>
          </c:tx>
          <c:spPr>
            <a:solidFill>
              <a:srgbClr val="00B050"/>
            </a:solidFill>
            <a:ln>
              <a:noFill/>
            </a:ln>
            <a:effectLst/>
          </c:spPr>
          <c:invertIfNegative val="0"/>
          <c:cat>
            <c:numRef>
              <c:f>data!$E$12:$E$39</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data!$G$12:$G$39</c:f>
              <c:numCache>
                <c:formatCode>0.0%</c:formatCode>
                <c:ptCount val="28"/>
                <c:pt idx="1">
                  <c:v>0.10751279914275517</c:v>
                </c:pt>
                <c:pt idx="2">
                  <c:v>5.6683802114892171E-2</c:v>
                </c:pt>
                <c:pt idx="3">
                  <c:v>-9.710789663528234E-2</c:v>
                </c:pt>
                <c:pt idx="4">
                  <c:v>6.1906835002176697E-2</c:v>
                </c:pt>
                <c:pt idx="5">
                  <c:v>-5.2895838558447247E-2</c:v>
                </c:pt>
                <c:pt idx="6">
                  <c:v>-0.13506989534794894</c:v>
                </c:pt>
                <c:pt idx="7">
                  <c:v>-9.7202105486275558E-2</c:v>
                </c:pt>
                <c:pt idx="8">
                  <c:v>0.19421129176367771</c:v>
                </c:pt>
                <c:pt idx="9">
                  <c:v>0.12392415570798204</c:v>
                </c:pt>
                <c:pt idx="10">
                  <c:v>5.4095158500320741E-2</c:v>
                </c:pt>
                <c:pt idx="11">
                  <c:v>7.5376722274208524E-2</c:v>
                </c:pt>
                <c:pt idx="12">
                  <c:v>0.15625683165515747</c:v>
                </c:pt>
                <c:pt idx="13">
                  <c:v>-4.7237730868756135E-2</c:v>
                </c:pt>
                <c:pt idx="14">
                  <c:v>0.31517509727626458</c:v>
                </c:pt>
                <c:pt idx="15">
                  <c:v>0.25443786982248523</c:v>
                </c:pt>
                <c:pt idx="16">
                  <c:v>3.5377358490566037E-2</c:v>
                </c:pt>
                <c:pt idx="17">
                  <c:v>-6.6059225512528477E-2</c:v>
                </c:pt>
                <c:pt idx="18">
                  <c:v>-5.3658536585365853E-2</c:v>
                </c:pt>
                <c:pt idx="19">
                  <c:v>-8.505154639175258E-2</c:v>
                </c:pt>
                <c:pt idx="20">
                  <c:v>-5.0704225352112678E-2</c:v>
                </c:pt>
                <c:pt idx="21">
                  <c:v>0.12166172106824925</c:v>
                </c:pt>
                <c:pt idx="22">
                  <c:v>0.11375661375661375</c:v>
                </c:pt>
                <c:pt idx="23">
                  <c:v>5.6769596199524888E-2</c:v>
                </c:pt>
                <c:pt idx="24">
                  <c:v>4.8325466396943136E-2</c:v>
                </c:pt>
                <c:pt idx="25">
                  <c:v>0.10934819897084049</c:v>
                </c:pt>
                <c:pt idx="26">
                  <c:v>0.23115577889447242</c:v>
                </c:pt>
                <c:pt idx="27">
                  <c:v>5.1334379905808546E-2</c:v>
                </c:pt>
              </c:numCache>
            </c:numRef>
          </c:val>
          <c:extLst>
            <c:ext xmlns:c16="http://schemas.microsoft.com/office/drawing/2014/chart" uri="{C3380CC4-5D6E-409C-BE32-E72D297353CC}">
              <c16:uniqueId val="{00000000-624C-407F-A04D-79A34C6637C4}"/>
            </c:ext>
          </c:extLst>
        </c:ser>
        <c:dLbls>
          <c:showLegendKey val="0"/>
          <c:showVal val="0"/>
          <c:showCatName val="0"/>
          <c:showSerName val="0"/>
          <c:showPercent val="0"/>
          <c:showBubbleSize val="0"/>
        </c:dLbls>
        <c:gapWidth val="219"/>
        <c:axId val="374432960"/>
        <c:axId val="374438240"/>
        <c:extLst>
          <c:ext xmlns:c15="http://schemas.microsoft.com/office/drawing/2012/chart" uri="{02D57815-91ED-43cb-92C2-25804820EDAC}">
            <c15:filteredBarSeries>
              <c15:ser>
                <c:idx val="0"/>
                <c:order val="0"/>
                <c:tx>
                  <c:strRef>
                    <c:extLst>
                      <c:ext uri="{02D57815-91ED-43cb-92C2-25804820EDAC}">
                        <c15:formulaRef>
                          <c15:sqref>data!$F$11</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data!$E$12:$E$39</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data!$F$12:$F$39</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1-624C-407F-A04D-79A34C6637C4}"/>
                  </c:ext>
                </c:extLst>
              </c15:ser>
            </c15:filteredBarSeries>
          </c:ext>
        </c:extLst>
      </c:barChart>
      <c:catAx>
        <c:axId val="3744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8240"/>
        <c:crosses val="autoZero"/>
        <c:auto val="1"/>
        <c:lblAlgn val="ctr"/>
        <c:lblOffset val="100"/>
        <c:noMultiLvlLbl val="0"/>
      </c:catAx>
      <c:valAx>
        <c:axId val="3744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'Story&amp;Estimates'!$F$155</c:f>
              <c:strCache>
                <c:ptCount val="1"/>
                <c:pt idx="0">
                  <c:v>net cap ex</c:v>
                </c:pt>
              </c:strCache>
            </c:strRef>
          </c:tx>
          <c:spPr>
            <a:solidFill>
              <a:schemeClr val="accent4"/>
            </a:solidFill>
            <a:ln>
              <a:noFill/>
            </a:ln>
            <a:effectLst/>
          </c:spPr>
          <c:invertIfNegative val="0"/>
          <c:cat>
            <c:numRef>
              <c:f>'Story&amp;Estimates'!$B$156:$B$183</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'Story&amp;Estimates'!$F$156:$F$183</c:f>
              <c:numCache>
                <c:formatCode>_-[$$-409]* #,##0.000_ ;_-[$$-409]* \-#,##0.000\ ;_-[$$-409]* "-"??_ ;_-@_ </c:formatCode>
                <c:ptCount val="28"/>
                <c:pt idx="0">
                  <c:v>0</c:v>
                </c:pt>
                <c:pt idx="1">
                  <c:v>0</c:v>
                </c:pt>
                <c:pt idx="2">
                  <c:v>6.2260000000000009</c:v>
                </c:pt>
                <c:pt idx="3">
                  <c:v>3.3499999999999996</c:v>
                </c:pt>
                <c:pt idx="4">
                  <c:v>2.9269999999999996</c:v>
                </c:pt>
                <c:pt idx="5">
                  <c:v>-4.1240000000000006</c:v>
                </c:pt>
                <c:pt idx="6">
                  <c:v>-4.3120000000000003</c:v>
                </c:pt>
                <c:pt idx="7">
                  <c:v>-4.3110000000000008</c:v>
                </c:pt>
                <c:pt idx="8">
                  <c:v>-1.1979999999999995</c:v>
                </c:pt>
                <c:pt idx="9">
                  <c:v>0.52299999999999969</c:v>
                </c:pt>
                <c:pt idx="10">
                  <c:v>2.6640000000000006</c:v>
                </c:pt>
                <c:pt idx="11">
                  <c:v>1.5599999999999987</c:v>
                </c:pt>
                <c:pt idx="12">
                  <c:v>1.4619999999999997</c:v>
                </c:pt>
                <c:pt idx="13">
                  <c:v>3.4180000000000001</c:v>
                </c:pt>
                <c:pt idx="14">
                  <c:v>2.879999999999999</c:v>
                </c:pt>
                <c:pt idx="15">
                  <c:v>8.3869999999999987</c:v>
                </c:pt>
                <c:pt idx="16">
                  <c:v>9.4789999999999992</c:v>
                </c:pt>
                <c:pt idx="17">
                  <c:v>8.9459999999999997</c:v>
                </c:pt>
                <c:pt idx="18">
                  <c:v>4.8060000000000009</c:v>
                </c:pt>
                <c:pt idx="19">
                  <c:v>-0.77800000000000047</c:v>
                </c:pt>
                <c:pt idx="20">
                  <c:v>12.729000000000001</c:v>
                </c:pt>
                <c:pt idx="21">
                  <c:v>-1.5569999999999986</c:v>
                </c:pt>
                <c:pt idx="22">
                  <c:v>-2.9160000000000004</c:v>
                </c:pt>
                <c:pt idx="23">
                  <c:v>15.718999999999999</c:v>
                </c:pt>
                <c:pt idx="24">
                  <c:v>10.731</c:v>
                </c:pt>
                <c:pt idx="25">
                  <c:v>2.8200000000000003</c:v>
                </c:pt>
                <c:pt idx="26">
                  <c:v>24.167999999999999</c:v>
                </c:pt>
                <c:pt idx="27">
                  <c:v>16.417999999999999</c:v>
                </c:pt>
              </c:numCache>
            </c:numRef>
          </c:val>
          <c:extLst>
            <c:ext xmlns:c16="http://schemas.microsoft.com/office/drawing/2014/chart" uri="{C3380CC4-5D6E-409C-BE32-E72D297353CC}">
              <c16:uniqueId val="{00000003-77B2-44B7-9630-206B6A259C78}"/>
            </c:ext>
          </c:extLst>
        </c:ser>
        <c:dLbls>
          <c:showLegendKey val="0"/>
          <c:showVal val="0"/>
          <c:showCatName val="0"/>
          <c:showSerName val="0"/>
          <c:showPercent val="0"/>
          <c:showBubbleSize val="0"/>
        </c:dLbls>
        <c:gapWidth val="76"/>
        <c:overlap val="-27"/>
        <c:axId val="1495577983"/>
        <c:axId val="1495577023"/>
        <c:extLst>
          <c:ext xmlns:c15="http://schemas.microsoft.com/office/drawing/2012/chart" uri="{02D57815-91ED-43cb-92C2-25804820EDAC}">
            <c15:filteredBarSeries>
              <c15:ser>
                <c:idx val="0"/>
                <c:order val="0"/>
                <c:tx>
                  <c:strRef>
                    <c:extLst>
                      <c:ext uri="{02D57815-91ED-43cb-92C2-25804820EDAC}">
                        <c15:formulaRef>
                          <c15:sqref>'Story&amp;Estimates'!$C$155</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'Story&amp;Estimates'!$C$156:$C$183</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0-77B2-44B7-9630-206B6A259C7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'Story&amp;Estimates'!$D$155</c15:sqref>
                        </c15:formulaRef>
                      </c:ext>
                    </c:extLst>
                    <c:strCache>
                      <c:ptCount val="1"/>
                      <c:pt idx="0">
                        <c:v>capital ex</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xmlns:c15="http://schemas.microsoft.com/office/drawing/2012/chart">
                      <c:ext xmlns:c15="http://schemas.microsoft.com/office/drawing/2012/chart" uri="{02D57815-91ED-43cb-92C2-25804820EDAC}">
                        <c15:formulaRef>
                          <c15:sqref>'Story&amp;Estimates'!$D$156:$D$183</c15:sqref>
                        </c15:formulaRef>
                      </c:ext>
                    </c:extLst>
                    <c:numCache>
                      <c:formatCode>_-[$$-409]* #,##0.000_ ;_-[$$-409]* \-#,##0.000\ ;_-[$$-409]* "-"??_ ;_-@_ </c:formatCode>
                      <c:ptCount val="28"/>
                      <c:pt idx="2">
                        <c:v>14.98</c:v>
                      </c:pt>
                      <c:pt idx="3">
                        <c:v>13.135999999999999</c:v>
                      </c:pt>
                      <c:pt idx="4">
                        <c:v>14.337999999999999</c:v>
                      </c:pt>
                      <c:pt idx="5">
                        <c:v>6.1959999999999997</c:v>
                      </c:pt>
                      <c:pt idx="6">
                        <c:v>4.7060000000000004</c:v>
                      </c:pt>
                      <c:pt idx="7">
                        <c:v>4.0179999999999998</c:v>
                      </c:pt>
                      <c:pt idx="8">
                        <c:v>6.1870000000000003</c:v>
                      </c:pt>
                      <c:pt idx="9">
                        <c:v>7.7370000000000001</c:v>
                      </c:pt>
                      <c:pt idx="10">
                        <c:v>10.198</c:v>
                      </c:pt>
                      <c:pt idx="11">
                        <c:v>9.6389999999999993</c:v>
                      </c:pt>
                      <c:pt idx="12">
                        <c:v>10.010999999999999</c:v>
                      </c:pt>
                      <c:pt idx="13">
                        <c:v>10.667</c:v>
                      </c:pt>
                      <c:pt idx="14">
                        <c:v>12.273999999999999</c:v>
                      </c:pt>
                      <c:pt idx="15">
                        <c:v>18.911999999999999</c:v>
                      </c:pt>
                      <c:pt idx="16">
                        <c:v>21.042999999999999</c:v>
                      </c:pt>
                      <c:pt idx="17">
                        <c:v>21.033999999999999</c:v>
                      </c:pt>
                      <c:pt idx="18">
                        <c:v>17.663</c:v>
                      </c:pt>
                      <c:pt idx="19" formatCode="_-[$$-409]* #,##0.00_ ;_-[$$-409]* \-#,##0.00\ ;_-[$$-409]* &quot;-&quot;??_ ;_-@_ ">
                        <c:v>10.754</c:v>
                      </c:pt>
                      <c:pt idx="20" formatCode="_-[$$-409]* #,##0.00_ ;_-[$$-409]* \-#,##0.00\ ;_-[$$-409]* &quot;-&quot;??_ ;_-@_ ">
                        <c:v>24.725000000000001</c:v>
                      </c:pt>
                      <c:pt idx="21">
                        <c:v>11.233000000000001</c:v>
                      </c:pt>
                      <c:pt idx="22">
                        <c:v>9.5280000000000005</c:v>
                      </c:pt>
                      <c:pt idx="23">
                        <c:v>29.466999999999999</c:v>
                      </c:pt>
                      <c:pt idx="24">
                        <c:v>24.568999999999999</c:v>
                      </c:pt>
                      <c:pt idx="25">
                        <c:v>18.384</c:v>
                      </c:pt>
                      <c:pt idx="26">
                        <c:v>40.597999999999999</c:v>
                      </c:pt>
                      <c:pt idx="27">
                        <c:v>35.332000000000001</c:v>
                      </c:pt>
                    </c:numCache>
                  </c:numRef>
                </c:val>
                <c:extLst xmlns:c15="http://schemas.microsoft.com/office/drawing/2012/chart">
                  <c:ext xmlns:c16="http://schemas.microsoft.com/office/drawing/2014/chart" uri="{C3380CC4-5D6E-409C-BE32-E72D297353CC}">
                    <c16:uniqueId val="{00000001-77B2-44B7-9630-206B6A259C7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'Story&amp;Estimates'!$E$155</c15:sqref>
                        </c15:formulaRef>
                      </c:ext>
                    </c:extLst>
                    <c:strCache>
                      <c:ptCount val="1"/>
                      <c:pt idx="0">
                        <c:v>depr&amp;amort</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xmlns:c15="http://schemas.microsoft.com/office/drawing/2012/chart">
                      <c:ext xmlns:c15="http://schemas.microsoft.com/office/drawing/2012/chart" uri="{02D57815-91ED-43cb-92C2-25804820EDAC}">
                        <c15:formulaRef>
                          <c15:sqref>'Story&amp;Estimates'!$E$156:$E$183</c15:sqref>
                        </c15:formulaRef>
                      </c:ext>
                    </c:extLst>
                    <c:numCache>
                      <c:formatCode>_-[$$-409]* #,##0.000_ ;_-[$$-409]* \-#,##0.000\ ;_-[$$-409]* "-"??_ ;_-@_ </c:formatCode>
                      <c:ptCount val="28"/>
                      <c:pt idx="2">
                        <c:v>8.7539999999999996</c:v>
                      </c:pt>
                      <c:pt idx="3">
                        <c:v>9.7859999999999996</c:v>
                      </c:pt>
                      <c:pt idx="4">
                        <c:v>11.411</c:v>
                      </c:pt>
                      <c:pt idx="5">
                        <c:v>10.32</c:v>
                      </c:pt>
                      <c:pt idx="6">
                        <c:v>9.0180000000000007</c:v>
                      </c:pt>
                      <c:pt idx="7">
                        <c:v>8.3290000000000006</c:v>
                      </c:pt>
                      <c:pt idx="8">
                        <c:v>7.3849999999999998</c:v>
                      </c:pt>
                      <c:pt idx="9">
                        <c:v>7.2140000000000004</c:v>
                      </c:pt>
                      <c:pt idx="10">
                        <c:v>7.5339999999999998</c:v>
                      </c:pt>
                      <c:pt idx="11">
                        <c:v>8.0790000000000006</c:v>
                      </c:pt>
                      <c:pt idx="12">
                        <c:v>8.5489999999999995</c:v>
                      </c:pt>
                      <c:pt idx="13">
                        <c:v>7.2489999999999997</c:v>
                      </c:pt>
                      <c:pt idx="14">
                        <c:v>9.3940000000000001</c:v>
                      </c:pt>
                      <c:pt idx="15">
                        <c:v>10.525</c:v>
                      </c:pt>
                      <c:pt idx="16">
                        <c:v>11.564</c:v>
                      </c:pt>
                      <c:pt idx="17">
                        <c:v>12.087999999999999</c:v>
                      </c:pt>
                      <c:pt idx="18">
                        <c:v>12.856999999999999</c:v>
                      </c:pt>
                      <c:pt idx="19">
                        <c:v>11.532</c:v>
                      </c:pt>
                      <c:pt idx="20">
                        <c:v>11.996</c:v>
                      </c:pt>
                      <c:pt idx="21">
                        <c:v>12.79</c:v>
                      </c:pt>
                      <c:pt idx="22">
                        <c:v>12.444000000000001</c:v>
                      </c:pt>
                      <c:pt idx="23">
                        <c:v>13.747999999999999</c:v>
                      </c:pt>
                      <c:pt idx="24">
                        <c:v>13.837999999999999</c:v>
                      </c:pt>
                      <c:pt idx="25">
                        <c:v>15.564</c:v>
                      </c:pt>
                      <c:pt idx="26">
                        <c:v>16.43</c:v>
                      </c:pt>
                      <c:pt idx="27">
                        <c:v>18.914000000000001</c:v>
                      </c:pt>
                    </c:numCache>
                  </c:numRef>
                </c:val>
                <c:extLst xmlns:c15="http://schemas.microsoft.com/office/drawing/2012/chart">
                  <c:ext xmlns:c16="http://schemas.microsoft.com/office/drawing/2014/chart" uri="{C3380CC4-5D6E-409C-BE32-E72D297353CC}">
                    <c16:uniqueId val="{00000002-77B2-44B7-9630-206B6A259C78}"/>
                  </c:ext>
                </c:extLst>
              </c15:ser>
            </c15:filteredBarSeries>
          </c:ext>
        </c:extLst>
      </c:barChart>
      <c:catAx>
        <c:axId val="149557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77023"/>
        <c:crosses val="autoZero"/>
        <c:auto val="1"/>
        <c:lblAlgn val="ctr"/>
        <c:lblOffset val="100"/>
        <c:noMultiLvlLbl val="0"/>
      </c:catAx>
      <c:valAx>
        <c:axId val="1495577023"/>
        <c:scaling>
          <c:orientation val="minMax"/>
        </c:scaling>
        <c:delete val="0"/>
        <c:axPos val="l"/>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77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'Story&amp;Estimates'!$B$187:$B$198</c:f>
              <c:numCache>
                <c:formatCode>General</c:formatCode>
                <c:ptCount val="12"/>
                <c:pt idx="0">
                  <c:v>2008</c:v>
                </c:pt>
                <c:pt idx="1">
                  <c:v>2009</c:v>
                </c:pt>
                <c:pt idx="2">
                  <c:v>2010</c:v>
                </c:pt>
                <c:pt idx="3">
                  <c:v>2011</c:v>
                </c:pt>
                <c:pt idx="4">
                  <c:v>2012</c:v>
                </c:pt>
                <c:pt idx="5">
                  <c:v>2013</c:v>
                </c:pt>
                <c:pt idx="6">
                  <c:v>2014</c:v>
                </c:pt>
                <c:pt idx="7">
                  <c:v>2016</c:v>
                </c:pt>
                <c:pt idx="8">
                  <c:v>2019</c:v>
                </c:pt>
                <c:pt idx="9">
                  <c:v>2020</c:v>
                </c:pt>
                <c:pt idx="10">
                  <c:v>2022</c:v>
                </c:pt>
                <c:pt idx="11">
                  <c:v>2023</c:v>
                </c:pt>
              </c:numCache>
            </c:numRef>
          </c:cat>
          <c:val>
            <c:numRef>
              <c:f>'Story&amp;Estimates'!$C$187:$C$198</c:f>
              <c:numCache>
                <c:formatCode>_-[$$-409]* #,##0.000_ ;_-[$$-409]* \-#,##0.000\ ;_-[$$-409]* "-"??_ ;_-@_ </c:formatCode>
                <c:ptCount val="12"/>
                <c:pt idx="0">
                  <c:v>1.4619999999999997</c:v>
                </c:pt>
                <c:pt idx="1">
                  <c:v>3.4180000000000001</c:v>
                </c:pt>
                <c:pt idx="2">
                  <c:v>2.879999999999999</c:v>
                </c:pt>
                <c:pt idx="3">
                  <c:v>8.3869999999999987</c:v>
                </c:pt>
                <c:pt idx="4">
                  <c:v>9.4789999999999992</c:v>
                </c:pt>
                <c:pt idx="5">
                  <c:v>8.9459999999999997</c:v>
                </c:pt>
                <c:pt idx="6">
                  <c:v>4.8060000000000009</c:v>
                </c:pt>
                <c:pt idx="7">
                  <c:v>12.729000000000001</c:v>
                </c:pt>
                <c:pt idx="8">
                  <c:v>15.718999999999999</c:v>
                </c:pt>
                <c:pt idx="9">
                  <c:v>10.731</c:v>
                </c:pt>
                <c:pt idx="10">
                  <c:v>24.167999999999999</c:v>
                </c:pt>
                <c:pt idx="11">
                  <c:v>16.417999999999999</c:v>
                </c:pt>
              </c:numCache>
            </c:numRef>
          </c:val>
          <c:extLst>
            <c:ext xmlns:c16="http://schemas.microsoft.com/office/drawing/2014/chart" uri="{C3380CC4-5D6E-409C-BE32-E72D297353CC}">
              <c16:uniqueId val="{00000000-F562-42EF-99AF-DFD512279CE5}"/>
            </c:ext>
          </c:extLst>
        </c:ser>
        <c:dLbls>
          <c:showLegendKey val="0"/>
          <c:showVal val="0"/>
          <c:showCatName val="0"/>
          <c:showSerName val="0"/>
          <c:showPercent val="0"/>
          <c:showBubbleSize val="0"/>
        </c:dLbls>
        <c:gapWidth val="219"/>
        <c:overlap val="-27"/>
        <c:axId val="1492855567"/>
        <c:axId val="1492857007"/>
      </c:barChart>
      <c:catAx>
        <c:axId val="149285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57007"/>
        <c:crosses val="autoZero"/>
        <c:auto val="1"/>
        <c:lblAlgn val="ctr"/>
        <c:lblOffset val="100"/>
        <c:noMultiLvlLbl val="0"/>
      </c:catAx>
      <c:valAx>
        <c:axId val="1492857007"/>
        <c:scaling>
          <c:orientation val="minMax"/>
        </c:scaling>
        <c:delete val="0"/>
        <c:axPos val="l"/>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55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'Story&amp;Estimates'!$P$202</c:f>
              <c:strCache>
                <c:ptCount val="1"/>
                <c:pt idx="0">
                  <c:v>net cap ex</c:v>
                </c:pt>
              </c:strCache>
            </c:strRef>
          </c:tx>
          <c:spPr>
            <a:solidFill>
              <a:schemeClr val="accent1"/>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2-BF43-4E9C-BA57-4019118CE5F3}"/>
              </c:ext>
            </c:extLst>
          </c:dPt>
          <c:dPt>
            <c:idx val="13"/>
            <c:invertIfNegative val="0"/>
            <c:bubble3D val="0"/>
            <c:spPr>
              <a:solidFill>
                <a:srgbClr val="FFC000"/>
              </a:solidFill>
              <a:ln>
                <a:noFill/>
              </a:ln>
              <a:effectLst/>
            </c:spPr>
            <c:extLst>
              <c:ext xmlns:c16="http://schemas.microsoft.com/office/drawing/2014/chart" uri="{C3380CC4-5D6E-409C-BE32-E72D297353CC}">
                <c16:uniqueId val="{00000003-BF43-4E9C-BA57-4019118CE5F3}"/>
              </c:ext>
            </c:extLst>
          </c:dPt>
          <c:dPt>
            <c:idx val="14"/>
            <c:invertIfNegative val="0"/>
            <c:bubble3D val="0"/>
            <c:spPr>
              <a:solidFill>
                <a:srgbClr val="FFC000"/>
              </a:solidFill>
              <a:ln>
                <a:noFill/>
              </a:ln>
              <a:effectLst/>
            </c:spPr>
            <c:extLst>
              <c:ext xmlns:c16="http://schemas.microsoft.com/office/drawing/2014/chart" uri="{C3380CC4-5D6E-409C-BE32-E72D297353CC}">
                <c16:uniqueId val="{00000004-BF43-4E9C-BA57-4019118CE5F3}"/>
              </c:ext>
            </c:extLst>
          </c:dPt>
          <c:dPt>
            <c:idx val="15"/>
            <c:invertIfNegative val="0"/>
            <c:bubble3D val="0"/>
            <c:spPr>
              <a:solidFill>
                <a:srgbClr val="FFC000"/>
              </a:solidFill>
              <a:ln>
                <a:noFill/>
              </a:ln>
              <a:effectLst/>
            </c:spPr>
            <c:extLst>
              <c:ext xmlns:c16="http://schemas.microsoft.com/office/drawing/2014/chart" uri="{C3380CC4-5D6E-409C-BE32-E72D297353CC}">
                <c16:uniqueId val="{00000005-BF43-4E9C-BA57-4019118CE5F3}"/>
              </c:ext>
            </c:extLst>
          </c:dPt>
          <c:dPt>
            <c:idx val="16"/>
            <c:invertIfNegative val="0"/>
            <c:bubble3D val="0"/>
            <c:spPr>
              <a:solidFill>
                <a:srgbClr val="FFC000"/>
              </a:solidFill>
              <a:ln>
                <a:noFill/>
              </a:ln>
              <a:effectLst/>
            </c:spPr>
            <c:extLst>
              <c:ext xmlns:c16="http://schemas.microsoft.com/office/drawing/2014/chart" uri="{C3380CC4-5D6E-409C-BE32-E72D297353CC}">
                <c16:uniqueId val="{00000006-BF43-4E9C-BA57-4019118CE5F3}"/>
              </c:ext>
            </c:extLst>
          </c:dPt>
          <c:dPt>
            <c:idx val="17"/>
            <c:invertIfNegative val="0"/>
            <c:bubble3D val="0"/>
            <c:spPr>
              <a:solidFill>
                <a:schemeClr val="tx1"/>
              </a:solidFill>
              <a:ln>
                <a:noFill/>
              </a:ln>
              <a:effectLst/>
            </c:spPr>
            <c:extLst>
              <c:ext xmlns:c16="http://schemas.microsoft.com/office/drawing/2014/chart" uri="{C3380CC4-5D6E-409C-BE32-E72D297353CC}">
                <c16:uniqueId val="{00000007-BF43-4E9C-BA57-4019118CE5F3}"/>
              </c:ext>
            </c:extLst>
          </c:dPt>
          <c:cat>
            <c:numRef>
              <c:f>'Story&amp;Estimates'!$O$203:$O$219</c:f>
              <c:numCache>
                <c:formatCode>General</c:formatCode>
                <c:ptCount val="17"/>
                <c:pt idx="0">
                  <c:v>2008</c:v>
                </c:pt>
                <c:pt idx="1">
                  <c:v>2009</c:v>
                </c:pt>
                <c:pt idx="2">
                  <c:v>2010</c:v>
                </c:pt>
                <c:pt idx="3">
                  <c:v>2011</c:v>
                </c:pt>
                <c:pt idx="4">
                  <c:v>2012</c:v>
                </c:pt>
                <c:pt idx="5">
                  <c:v>2013</c:v>
                </c:pt>
                <c:pt idx="6">
                  <c:v>2014</c:v>
                </c:pt>
                <c:pt idx="7">
                  <c:v>2016</c:v>
                </c:pt>
                <c:pt idx="8">
                  <c:v>2019</c:v>
                </c:pt>
                <c:pt idx="9">
                  <c:v>2020</c:v>
                </c:pt>
                <c:pt idx="10">
                  <c:v>2022</c:v>
                </c:pt>
                <c:pt idx="11">
                  <c:v>2023</c:v>
                </c:pt>
                <c:pt idx="12">
                  <c:v>2024</c:v>
                </c:pt>
                <c:pt idx="13">
                  <c:v>2025</c:v>
                </c:pt>
                <c:pt idx="14">
                  <c:v>2026</c:v>
                </c:pt>
                <c:pt idx="15">
                  <c:v>2027</c:v>
                </c:pt>
                <c:pt idx="16">
                  <c:v>2028</c:v>
                </c:pt>
              </c:numCache>
            </c:numRef>
          </c:cat>
          <c:val>
            <c:numRef>
              <c:f>'Story&amp;Estimates'!$P$203:$P$220</c:f>
              <c:numCache>
                <c:formatCode>_-[$$-409]* #,##0.000_ ;_-[$$-409]* \-#,##0.000\ ;_-[$$-409]* "-"??_ ;_-@_ </c:formatCode>
                <c:ptCount val="18"/>
                <c:pt idx="0">
                  <c:v>1.4619999999999997</c:v>
                </c:pt>
                <c:pt idx="1">
                  <c:v>3.4180000000000001</c:v>
                </c:pt>
                <c:pt idx="2">
                  <c:v>2.879999999999999</c:v>
                </c:pt>
                <c:pt idx="3">
                  <c:v>8.3869999999999987</c:v>
                </c:pt>
                <c:pt idx="4">
                  <c:v>9.4789999999999992</c:v>
                </c:pt>
                <c:pt idx="5">
                  <c:v>8.9459999999999997</c:v>
                </c:pt>
                <c:pt idx="6">
                  <c:v>4.8060000000000009</c:v>
                </c:pt>
                <c:pt idx="7">
                  <c:v>12.729000000000001</c:v>
                </c:pt>
                <c:pt idx="8">
                  <c:v>15.718999999999999</c:v>
                </c:pt>
                <c:pt idx="9">
                  <c:v>10.731</c:v>
                </c:pt>
                <c:pt idx="10">
                  <c:v>24.167999999999999</c:v>
                </c:pt>
                <c:pt idx="11">
                  <c:v>16.417999999999999</c:v>
                </c:pt>
                <c:pt idx="12" formatCode="General">
                  <c:v>20.121606060606062</c:v>
                </c:pt>
                <c:pt idx="13" formatCode="General">
                  <c:v>21.689763403263406</c:v>
                </c:pt>
                <c:pt idx="14" formatCode="General">
                  <c:v>23.257920745920742</c:v>
                </c:pt>
                <c:pt idx="15" formatCode="General">
                  <c:v>24.826078088578086</c:v>
                </c:pt>
                <c:pt idx="16" formatCode="General">
                  <c:v>26.39423543123543</c:v>
                </c:pt>
                <c:pt idx="17" formatCode="General">
                  <c:v>27.962392773892773</c:v>
                </c:pt>
              </c:numCache>
            </c:numRef>
          </c:val>
          <c:extLst>
            <c:ext xmlns:c16="http://schemas.microsoft.com/office/drawing/2014/chart" uri="{C3380CC4-5D6E-409C-BE32-E72D297353CC}">
              <c16:uniqueId val="{00000000-BF43-4E9C-BA57-4019118CE5F3}"/>
            </c:ext>
          </c:extLst>
        </c:ser>
        <c:dLbls>
          <c:showLegendKey val="0"/>
          <c:showVal val="0"/>
          <c:showCatName val="0"/>
          <c:showSerName val="0"/>
          <c:showPercent val="0"/>
          <c:showBubbleSize val="0"/>
        </c:dLbls>
        <c:gapWidth val="219"/>
        <c:overlap val="-27"/>
        <c:axId val="1492857967"/>
        <c:axId val="1492867087"/>
      </c:barChart>
      <c:catAx>
        <c:axId val="14928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67087"/>
        <c:crosses val="autoZero"/>
        <c:auto val="1"/>
        <c:lblAlgn val="ctr"/>
        <c:lblOffset val="100"/>
        <c:noMultiLvlLbl val="0"/>
      </c:catAx>
      <c:valAx>
        <c:axId val="1492867087"/>
        <c:scaling>
          <c:orientation val="minMax"/>
        </c:scaling>
        <c:delete val="0"/>
        <c:axPos val="l"/>
        <c:majorGridlines>
          <c:spPr>
            <a:ln w="9525" cap="flat" cmpd="sng" algn="ctr">
              <a:solidFill>
                <a:schemeClr val="tx1">
                  <a:lumMod val="15000"/>
                  <a:lumOff val="85000"/>
                </a:schemeClr>
              </a:solidFill>
              <a:round/>
            </a:ln>
            <a:effectLst/>
          </c:spPr>
        </c:majorGridlines>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57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1"/>
          <c:order val="11"/>
          <c:tx>
            <c:strRef>
              <c:f>'Story&amp;Estimates'!$N$155</c:f>
              <c:strCache>
                <c:ptCount val="1"/>
                <c:pt idx="0">
                  <c:v>chg in non cash wc</c:v>
                </c:pt>
              </c:strCache>
            </c:strRef>
          </c:tx>
          <c:spPr>
            <a:solidFill>
              <a:schemeClr val="accent6">
                <a:lumMod val="60000"/>
              </a:schemeClr>
            </a:solidFill>
            <a:ln>
              <a:noFill/>
            </a:ln>
            <a:effectLst/>
          </c:spPr>
          <c:invertIfNegative val="0"/>
          <c:cat>
            <c:numRef>
              <c:f>'Story&amp;Estimates'!$B$156:$B$183</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'Story&amp;Estimates'!$N$156:$N$183</c:f>
              <c:numCache>
                <c:formatCode>_-[$$-409]* #,##0.000_ ;_-[$$-409]* \-#,##0.000\ ;_-[$$-409]* "-"??_ ;_-@_ </c:formatCode>
                <c:ptCount val="28"/>
                <c:pt idx="0">
                  <c:v>0</c:v>
                </c:pt>
                <c:pt idx="1">
                  <c:v>0</c:v>
                </c:pt>
                <c:pt idx="2">
                  <c:v>-6.5250000000000012</c:v>
                </c:pt>
                <c:pt idx="3">
                  <c:v>-5.3539999999999992</c:v>
                </c:pt>
                <c:pt idx="4">
                  <c:v>1.7329999999999999</c:v>
                </c:pt>
                <c:pt idx="5">
                  <c:v>-9.6999999999999975E-2</c:v>
                </c:pt>
                <c:pt idx="6">
                  <c:v>5.7420000000000009</c:v>
                </c:pt>
                <c:pt idx="7">
                  <c:v>9.0359999999999996</c:v>
                </c:pt>
                <c:pt idx="8">
                  <c:v>-6.5349999999999993</c:v>
                </c:pt>
                <c:pt idx="9">
                  <c:v>2.4959999999999996</c:v>
                </c:pt>
                <c:pt idx="10">
                  <c:v>-5.4240000000000004</c:v>
                </c:pt>
                <c:pt idx="11">
                  <c:v>-8.8980000000000015</c:v>
                </c:pt>
                <c:pt idx="12">
                  <c:v>-9.6419999999999995</c:v>
                </c:pt>
                <c:pt idx="13">
                  <c:v>3.278</c:v>
                </c:pt>
                <c:pt idx="14">
                  <c:v>-6.7600000000000007</c:v>
                </c:pt>
                <c:pt idx="15">
                  <c:v>-29.318999999999999</c:v>
                </c:pt>
                <c:pt idx="16">
                  <c:v>6.7219999999999995</c:v>
                </c:pt>
                <c:pt idx="17">
                  <c:v>-17.056000000000001</c:v>
                </c:pt>
                <c:pt idx="18">
                  <c:v>-3.8059999999999992</c:v>
                </c:pt>
                <c:pt idx="19">
                  <c:v>-1.1700000000000004</c:v>
                </c:pt>
                <c:pt idx="20">
                  <c:v>-10.331</c:v>
                </c:pt>
                <c:pt idx="21">
                  <c:v>0.15500000000000042</c:v>
                </c:pt>
                <c:pt idx="22">
                  <c:v>-24.242999999999995</c:v>
                </c:pt>
                <c:pt idx="23">
                  <c:v>-16.705999999999996</c:v>
                </c:pt>
                <c:pt idx="24">
                  <c:v>-7.8679999999999968</c:v>
                </c:pt>
                <c:pt idx="25">
                  <c:v>-34.811</c:v>
                </c:pt>
                <c:pt idx="26">
                  <c:v>-53.149999999999984</c:v>
                </c:pt>
                <c:pt idx="27">
                  <c:v>13.196</c:v>
                </c:pt>
              </c:numCache>
            </c:numRef>
          </c:val>
          <c:extLst>
            <c:ext xmlns:c16="http://schemas.microsoft.com/office/drawing/2014/chart" uri="{C3380CC4-5D6E-409C-BE32-E72D297353CC}">
              <c16:uniqueId val="{0000000B-733D-4DA6-A2F5-B016ED4876AA}"/>
            </c:ext>
          </c:extLst>
        </c:ser>
        <c:dLbls>
          <c:showLegendKey val="0"/>
          <c:showVal val="0"/>
          <c:showCatName val="0"/>
          <c:showSerName val="0"/>
          <c:showPercent val="0"/>
          <c:showBubbleSize val="0"/>
        </c:dLbls>
        <c:gapWidth val="53"/>
        <c:overlap val="100"/>
        <c:axId val="1551241807"/>
        <c:axId val="1551243727"/>
        <c:extLst>
          <c:ext xmlns:c15="http://schemas.microsoft.com/office/drawing/2012/chart" uri="{02D57815-91ED-43cb-92C2-25804820EDAC}">
            <c15:filteredBarSeries>
              <c15:ser>
                <c:idx val="0"/>
                <c:order val="0"/>
                <c:tx>
                  <c:strRef>
                    <c:extLst>
                      <c:ext uri="{02D57815-91ED-43cb-92C2-25804820EDAC}">
                        <c15:formulaRef>
                          <c15:sqref>'Story&amp;Estimates'!$C$155</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'Story&amp;Estimates'!$C$156:$C$183</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0-733D-4DA6-A2F5-B016ED4876AA}"/>
                  </c:ext>
                </c:extLst>
              </c15:ser>
            </c15:filteredBarSeries>
            <c15:filteredBarSeries>
              <c15:ser>
                <c:idx val="1"/>
                <c:order val="1"/>
                <c:tx>
                  <c:strRef>
                    <c:extLst>
                      <c:ext xmlns:c15="http://schemas.microsoft.com/office/drawing/2012/chart" uri="{02D57815-91ED-43cb-92C2-25804820EDAC}">
                        <c15:formulaRef>
                          <c15:sqref>'Story&amp;Estimates'!$D$155</c15:sqref>
                        </c15:formulaRef>
                      </c:ext>
                    </c:extLst>
                    <c:strCache>
                      <c:ptCount val="1"/>
                      <c:pt idx="0">
                        <c:v>capital ex</c:v>
                      </c:pt>
                    </c:strCache>
                  </c:strRef>
                </c:tx>
                <c:spPr>
                  <a:solidFill>
                    <a:schemeClr val="accent2"/>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'Story&amp;Estimates'!$D$156:$D$183</c15:sqref>
                        </c15:formulaRef>
                      </c:ext>
                    </c:extLst>
                    <c:numCache>
                      <c:formatCode>_-[$$-409]* #,##0.000_ ;_-[$$-409]* \-#,##0.000\ ;_-[$$-409]* "-"??_ ;_-@_ </c:formatCode>
                      <c:ptCount val="28"/>
                      <c:pt idx="2">
                        <c:v>14.98</c:v>
                      </c:pt>
                      <c:pt idx="3">
                        <c:v>13.135999999999999</c:v>
                      </c:pt>
                      <c:pt idx="4">
                        <c:v>14.337999999999999</c:v>
                      </c:pt>
                      <c:pt idx="5">
                        <c:v>6.1959999999999997</c:v>
                      </c:pt>
                      <c:pt idx="6">
                        <c:v>4.7060000000000004</c:v>
                      </c:pt>
                      <c:pt idx="7">
                        <c:v>4.0179999999999998</c:v>
                      </c:pt>
                      <c:pt idx="8">
                        <c:v>6.1870000000000003</c:v>
                      </c:pt>
                      <c:pt idx="9">
                        <c:v>7.7370000000000001</c:v>
                      </c:pt>
                      <c:pt idx="10">
                        <c:v>10.198</c:v>
                      </c:pt>
                      <c:pt idx="11">
                        <c:v>9.6389999999999993</c:v>
                      </c:pt>
                      <c:pt idx="12">
                        <c:v>10.010999999999999</c:v>
                      </c:pt>
                      <c:pt idx="13">
                        <c:v>10.667</c:v>
                      </c:pt>
                      <c:pt idx="14">
                        <c:v>12.273999999999999</c:v>
                      </c:pt>
                      <c:pt idx="15">
                        <c:v>18.911999999999999</c:v>
                      </c:pt>
                      <c:pt idx="16">
                        <c:v>21.042999999999999</c:v>
                      </c:pt>
                      <c:pt idx="17">
                        <c:v>21.033999999999999</c:v>
                      </c:pt>
                      <c:pt idx="18">
                        <c:v>17.663</c:v>
                      </c:pt>
                      <c:pt idx="19" formatCode="_-[$$-409]* #,##0.00_ ;_-[$$-409]* \-#,##0.00\ ;_-[$$-409]* &quot;-&quot;??_ ;_-@_ ">
                        <c:v>10.754</c:v>
                      </c:pt>
                      <c:pt idx="20" formatCode="_-[$$-409]* #,##0.00_ ;_-[$$-409]* \-#,##0.00\ ;_-[$$-409]* &quot;-&quot;??_ ;_-@_ ">
                        <c:v>24.725000000000001</c:v>
                      </c:pt>
                      <c:pt idx="21">
                        <c:v>11.233000000000001</c:v>
                      </c:pt>
                      <c:pt idx="22">
                        <c:v>9.5280000000000005</c:v>
                      </c:pt>
                      <c:pt idx="23">
                        <c:v>29.466999999999999</c:v>
                      </c:pt>
                      <c:pt idx="24">
                        <c:v>24.568999999999999</c:v>
                      </c:pt>
                      <c:pt idx="25">
                        <c:v>18.384</c:v>
                      </c:pt>
                      <c:pt idx="26">
                        <c:v>40.597999999999999</c:v>
                      </c:pt>
                      <c:pt idx="27">
                        <c:v>35.332000000000001</c:v>
                      </c:pt>
                    </c:numCache>
                  </c:numRef>
                </c:val>
                <c:extLst xmlns:c15="http://schemas.microsoft.com/office/drawing/2012/chart">
                  <c:ext xmlns:c16="http://schemas.microsoft.com/office/drawing/2014/chart" uri="{C3380CC4-5D6E-409C-BE32-E72D297353CC}">
                    <c16:uniqueId val="{00000001-733D-4DA6-A2F5-B016ED4876AA}"/>
                  </c:ext>
                </c:extLst>
              </c15:ser>
            </c15:filteredBarSeries>
            <c15:filteredBarSeries>
              <c15:ser>
                <c:idx val="2"/>
                <c:order val="2"/>
                <c:tx>
                  <c:strRef>
                    <c:extLst>
                      <c:ext xmlns:c15="http://schemas.microsoft.com/office/drawing/2012/chart" uri="{02D57815-91ED-43cb-92C2-25804820EDAC}">
                        <c15:formulaRef>
                          <c15:sqref>'Story&amp;Estimates'!$E$155</c15:sqref>
                        </c15:formulaRef>
                      </c:ext>
                    </c:extLst>
                    <c:strCache>
                      <c:ptCount val="1"/>
                      <c:pt idx="0">
                        <c:v>depr&amp;amort</c:v>
                      </c:pt>
                    </c:strCache>
                  </c:strRef>
                </c:tx>
                <c:spPr>
                  <a:solidFill>
                    <a:schemeClr val="accent3"/>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'Story&amp;Estimates'!$E$156:$E$183</c15:sqref>
                        </c15:formulaRef>
                      </c:ext>
                    </c:extLst>
                    <c:numCache>
                      <c:formatCode>_-[$$-409]* #,##0.000_ ;_-[$$-409]* \-#,##0.000\ ;_-[$$-409]* "-"??_ ;_-@_ </c:formatCode>
                      <c:ptCount val="28"/>
                      <c:pt idx="2">
                        <c:v>8.7539999999999996</c:v>
                      </c:pt>
                      <c:pt idx="3">
                        <c:v>9.7859999999999996</c:v>
                      </c:pt>
                      <c:pt idx="4">
                        <c:v>11.411</c:v>
                      </c:pt>
                      <c:pt idx="5">
                        <c:v>10.32</c:v>
                      </c:pt>
                      <c:pt idx="6">
                        <c:v>9.0180000000000007</c:v>
                      </c:pt>
                      <c:pt idx="7">
                        <c:v>8.3290000000000006</c:v>
                      </c:pt>
                      <c:pt idx="8">
                        <c:v>7.3849999999999998</c:v>
                      </c:pt>
                      <c:pt idx="9">
                        <c:v>7.2140000000000004</c:v>
                      </c:pt>
                      <c:pt idx="10">
                        <c:v>7.5339999999999998</c:v>
                      </c:pt>
                      <c:pt idx="11">
                        <c:v>8.0790000000000006</c:v>
                      </c:pt>
                      <c:pt idx="12">
                        <c:v>8.5489999999999995</c:v>
                      </c:pt>
                      <c:pt idx="13">
                        <c:v>7.2489999999999997</c:v>
                      </c:pt>
                      <c:pt idx="14">
                        <c:v>9.3940000000000001</c:v>
                      </c:pt>
                      <c:pt idx="15">
                        <c:v>10.525</c:v>
                      </c:pt>
                      <c:pt idx="16">
                        <c:v>11.564</c:v>
                      </c:pt>
                      <c:pt idx="17">
                        <c:v>12.087999999999999</c:v>
                      </c:pt>
                      <c:pt idx="18">
                        <c:v>12.856999999999999</c:v>
                      </c:pt>
                      <c:pt idx="19">
                        <c:v>11.532</c:v>
                      </c:pt>
                      <c:pt idx="20">
                        <c:v>11.996</c:v>
                      </c:pt>
                      <c:pt idx="21">
                        <c:v>12.79</c:v>
                      </c:pt>
                      <c:pt idx="22">
                        <c:v>12.444000000000001</c:v>
                      </c:pt>
                      <c:pt idx="23">
                        <c:v>13.747999999999999</c:v>
                      </c:pt>
                      <c:pt idx="24">
                        <c:v>13.837999999999999</c:v>
                      </c:pt>
                      <c:pt idx="25">
                        <c:v>15.564</c:v>
                      </c:pt>
                      <c:pt idx="26">
                        <c:v>16.43</c:v>
                      </c:pt>
                      <c:pt idx="27">
                        <c:v>18.914000000000001</c:v>
                      </c:pt>
                    </c:numCache>
                  </c:numRef>
                </c:val>
                <c:extLst xmlns:c15="http://schemas.microsoft.com/office/drawing/2012/chart">
                  <c:ext xmlns:c16="http://schemas.microsoft.com/office/drawing/2014/chart" uri="{C3380CC4-5D6E-409C-BE32-E72D297353CC}">
                    <c16:uniqueId val="{00000002-733D-4DA6-A2F5-B016ED4876AA}"/>
                  </c:ext>
                </c:extLst>
              </c15:ser>
            </c15:filteredBarSeries>
            <c15:filteredBarSeries>
              <c15:ser>
                <c:idx val="3"/>
                <c:order val="3"/>
                <c:tx>
                  <c:strRef>
                    <c:extLst>
                      <c:ext xmlns:c15="http://schemas.microsoft.com/office/drawing/2012/chart" uri="{02D57815-91ED-43cb-92C2-25804820EDAC}">
                        <c15:formulaRef>
                          <c15:sqref>'Story&amp;Estimates'!$F$155</c15:sqref>
                        </c15:formulaRef>
                      </c:ext>
                    </c:extLst>
                    <c:strCache>
                      <c:ptCount val="1"/>
                      <c:pt idx="0">
                        <c:v>net cap ex</c:v>
                      </c:pt>
                    </c:strCache>
                  </c:strRef>
                </c:tx>
                <c:spPr>
                  <a:solidFill>
                    <a:schemeClr val="accent4"/>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'Story&amp;Estimates'!$F$156:$F$183</c15:sqref>
                        </c15:formulaRef>
                      </c:ext>
                    </c:extLst>
                    <c:numCache>
                      <c:formatCode>_-[$$-409]* #,##0.000_ ;_-[$$-409]* \-#,##0.000\ ;_-[$$-409]* "-"??_ ;_-@_ </c:formatCode>
                      <c:ptCount val="28"/>
                      <c:pt idx="0">
                        <c:v>0</c:v>
                      </c:pt>
                      <c:pt idx="1">
                        <c:v>0</c:v>
                      </c:pt>
                      <c:pt idx="2">
                        <c:v>6.2260000000000009</c:v>
                      </c:pt>
                      <c:pt idx="3">
                        <c:v>3.3499999999999996</c:v>
                      </c:pt>
                      <c:pt idx="4">
                        <c:v>2.9269999999999996</c:v>
                      </c:pt>
                      <c:pt idx="5">
                        <c:v>-4.1240000000000006</c:v>
                      </c:pt>
                      <c:pt idx="6">
                        <c:v>-4.3120000000000003</c:v>
                      </c:pt>
                      <c:pt idx="7">
                        <c:v>-4.3110000000000008</c:v>
                      </c:pt>
                      <c:pt idx="8">
                        <c:v>-1.1979999999999995</c:v>
                      </c:pt>
                      <c:pt idx="9">
                        <c:v>0.52299999999999969</c:v>
                      </c:pt>
                      <c:pt idx="10">
                        <c:v>2.6640000000000006</c:v>
                      </c:pt>
                      <c:pt idx="11">
                        <c:v>1.5599999999999987</c:v>
                      </c:pt>
                      <c:pt idx="12">
                        <c:v>1.4619999999999997</c:v>
                      </c:pt>
                      <c:pt idx="13">
                        <c:v>3.4180000000000001</c:v>
                      </c:pt>
                      <c:pt idx="14">
                        <c:v>2.879999999999999</c:v>
                      </c:pt>
                      <c:pt idx="15">
                        <c:v>8.3869999999999987</c:v>
                      </c:pt>
                      <c:pt idx="16">
                        <c:v>9.4789999999999992</c:v>
                      </c:pt>
                      <c:pt idx="17">
                        <c:v>8.9459999999999997</c:v>
                      </c:pt>
                      <c:pt idx="18">
                        <c:v>4.8060000000000009</c:v>
                      </c:pt>
                      <c:pt idx="19">
                        <c:v>-0.77800000000000047</c:v>
                      </c:pt>
                      <c:pt idx="20">
                        <c:v>12.729000000000001</c:v>
                      </c:pt>
                      <c:pt idx="21">
                        <c:v>-1.5569999999999986</c:v>
                      </c:pt>
                      <c:pt idx="22">
                        <c:v>-2.9160000000000004</c:v>
                      </c:pt>
                      <c:pt idx="23">
                        <c:v>15.718999999999999</c:v>
                      </c:pt>
                      <c:pt idx="24">
                        <c:v>10.731</c:v>
                      </c:pt>
                      <c:pt idx="25">
                        <c:v>2.8200000000000003</c:v>
                      </c:pt>
                      <c:pt idx="26">
                        <c:v>24.167999999999999</c:v>
                      </c:pt>
                      <c:pt idx="27">
                        <c:v>16.417999999999999</c:v>
                      </c:pt>
                    </c:numCache>
                  </c:numRef>
                </c:val>
                <c:extLst xmlns:c15="http://schemas.microsoft.com/office/drawing/2012/chart">
                  <c:ext xmlns:c16="http://schemas.microsoft.com/office/drawing/2014/chart" uri="{C3380CC4-5D6E-409C-BE32-E72D297353CC}">
                    <c16:uniqueId val="{00000003-733D-4DA6-A2F5-B016ED4876AA}"/>
                  </c:ext>
                </c:extLst>
              </c15:ser>
            </c15:filteredBarSeries>
            <c15:filteredBarSeries>
              <c15:ser>
                <c:idx val="4"/>
                <c:order val="4"/>
                <c:tx>
                  <c:strRef>
                    <c:extLst>
                      <c:ext xmlns:c15="http://schemas.microsoft.com/office/drawing/2012/chart" uri="{02D57815-91ED-43cb-92C2-25804820EDAC}">
                        <c15:formulaRef>
                          <c15:sqref>'Story&amp;Estimates'!$G$155</c15:sqref>
                        </c15:formulaRef>
                      </c:ext>
                    </c:extLst>
                    <c:strCache>
                      <c:ptCount val="1"/>
                      <c:pt idx="0">
                        <c:v>account rec</c:v>
                      </c:pt>
                    </c:strCache>
                  </c:strRef>
                </c:tx>
                <c:spPr>
                  <a:solidFill>
                    <a:schemeClr val="accent5"/>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'Story&amp;Estimates'!$G$156:$G$183</c15:sqref>
                        </c15:formulaRef>
                      </c:ext>
                    </c:extLst>
                    <c:numCache>
                      <c:formatCode>_-[$$-409]* #,##0.000_ ;_-[$$-409]* \-#,##0.000\ ;_-[$$-409]* "-"??_ ;_-@_ </c:formatCode>
                      <c:ptCount val="28"/>
                      <c:pt idx="2">
                        <c:v>-1.1319999999999999</c:v>
                      </c:pt>
                      <c:pt idx="3">
                        <c:v>0.58899999999999997</c:v>
                      </c:pt>
                      <c:pt idx="4">
                        <c:v>-1.87</c:v>
                      </c:pt>
                      <c:pt idx="5">
                        <c:v>1.5880000000000001</c:v>
                      </c:pt>
                      <c:pt idx="6">
                        <c:v>3.91</c:v>
                      </c:pt>
                      <c:pt idx="7">
                        <c:v>2.9990000000000001</c:v>
                      </c:pt>
                      <c:pt idx="8">
                        <c:v>-4.5030000000000001</c:v>
                      </c:pt>
                      <c:pt idx="9">
                        <c:v>2.1859999999999999</c:v>
                      </c:pt>
                      <c:pt idx="10">
                        <c:v>-3.6320000000000001</c:v>
                      </c:pt>
                      <c:pt idx="11">
                        <c:v>-6.3650000000000002</c:v>
                      </c:pt>
                      <c:pt idx="12">
                        <c:v>-4.6029999999999998</c:v>
                      </c:pt>
                      <c:pt idx="13">
                        <c:v>-0.59399999999999997</c:v>
                      </c:pt>
                      <c:pt idx="14">
                        <c:v>-4.9770000000000003</c:v>
                      </c:pt>
                      <c:pt idx="15">
                        <c:v>-16.061</c:v>
                      </c:pt>
                      <c:pt idx="16">
                        <c:v>5.0469999999999997</c:v>
                      </c:pt>
                      <c:pt idx="17">
                        <c:v>-10.273</c:v>
                      </c:pt>
                      <c:pt idx="18">
                        <c:v>-2.4350000000000001</c:v>
                      </c:pt>
                      <c:pt idx="19">
                        <c:v>-2.9649999999999999</c:v>
                      </c:pt>
                      <c:pt idx="20">
                        <c:v>-2.2919999999999998</c:v>
                      </c:pt>
                      <c:pt idx="21">
                        <c:v>-9.2050000000000001</c:v>
                      </c:pt>
                      <c:pt idx="22">
                        <c:v>-4.4989999999999997</c:v>
                      </c:pt>
                      <c:pt idx="23">
                        <c:v>-9.7769999999999992</c:v>
                      </c:pt>
                      <c:pt idx="24">
                        <c:v>-10.539</c:v>
                      </c:pt>
                      <c:pt idx="25">
                        <c:v>-11.574</c:v>
                      </c:pt>
                      <c:pt idx="26">
                        <c:v>-28.048999999999999</c:v>
                      </c:pt>
                      <c:pt idx="27">
                        <c:v>16.969000000000001</c:v>
                      </c:pt>
                    </c:numCache>
                  </c:numRef>
                </c:val>
                <c:extLst xmlns:c15="http://schemas.microsoft.com/office/drawing/2012/chart">
                  <c:ext xmlns:c16="http://schemas.microsoft.com/office/drawing/2014/chart" uri="{C3380CC4-5D6E-409C-BE32-E72D297353CC}">
                    <c16:uniqueId val="{00000004-733D-4DA6-A2F5-B016ED4876AA}"/>
                  </c:ext>
                </c:extLst>
              </c15:ser>
            </c15:filteredBarSeries>
            <c15:filteredBarSeries>
              <c15:ser>
                <c:idx val="5"/>
                <c:order val="5"/>
                <c:tx>
                  <c:strRef>
                    <c:extLst>
                      <c:ext xmlns:c15="http://schemas.microsoft.com/office/drawing/2012/chart" uri="{02D57815-91ED-43cb-92C2-25804820EDAC}">
                        <c15:formulaRef>
                          <c15:sqref>'Story&amp;Estimates'!$H$155</c15:sqref>
                        </c15:formulaRef>
                      </c:ext>
                    </c:extLst>
                    <c:strCache>
                      <c:ptCount val="1"/>
                      <c:pt idx="0">
                        <c:v>inventories</c:v>
                      </c:pt>
                    </c:strCache>
                  </c:strRef>
                </c:tx>
                <c:spPr>
                  <a:solidFill>
                    <a:schemeClr val="accent6"/>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'Story&amp;Estimates'!$H$156:$H$183</c15:sqref>
                        </c15:formulaRef>
                      </c:ext>
                    </c:extLst>
                    <c:numCache>
                      <c:formatCode>_-[$$-409]* #,##0.000_ ;_-[$$-409]* \-#,##0.000\ ;_-[$$-409]* "-"??_ ;_-@_ </c:formatCode>
                      <c:ptCount val="28"/>
                      <c:pt idx="2">
                        <c:v>-6.7430000000000003</c:v>
                      </c:pt>
                      <c:pt idx="3">
                        <c:v>-5.0640000000000001</c:v>
                      </c:pt>
                      <c:pt idx="4">
                        <c:v>0.56100000000000005</c:v>
                      </c:pt>
                      <c:pt idx="5">
                        <c:v>3.0230000000000001</c:v>
                      </c:pt>
                      <c:pt idx="6">
                        <c:v>2.4020000000000001</c:v>
                      </c:pt>
                      <c:pt idx="7">
                        <c:v>4.4829999999999997</c:v>
                      </c:pt>
                      <c:pt idx="8">
                        <c:v>-3.7029999999999998</c:v>
                      </c:pt>
                      <c:pt idx="9">
                        <c:v>-1.728</c:v>
                      </c:pt>
                      <c:pt idx="10">
                        <c:v>-1.6879999999999999</c:v>
                      </c:pt>
                      <c:pt idx="11">
                        <c:v>-4.952</c:v>
                      </c:pt>
                      <c:pt idx="12">
                        <c:v>-9.4990000000000006</c:v>
                      </c:pt>
                      <c:pt idx="13">
                        <c:v>0.92200000000000004</c:v>
                      </c:pt>
                      <c:pt idx="14">
                        <c:v>-8.2680000000000007</c:v>
                      </c:pt>
                      <c:pt idx="15">
                        <c:v>-21.196999999999999</c:v>
                      </c:pt>
                      <c:pt idx="16">
                        <c:v>1.29</c:v>
                      </c:pt>
                      <c:pt idx="17">
                        <c:v>3.04</c:v>
                      </c:pt>
                      <c:pt idx="18">
                        <c:v>-5.7039999999999997</c:v>
                      </c:pt>
                      <c:pt idx="19">
                        <c:v>-2.2970000000000002</c:v>
                      </c:pt>
                      <c:pt idx="20">
                        <c:v>-6.3540000000000001</c:v>
                      </c:pt>
                      <c:pt idx="21">
                        <c:v>-2.2080000000000002</c:v>
                      </c:pt>
                      <c:pt idx="22">
                        <c:v>-13.702999999999999</c:v>
                      </c:pt>
                      <c:pt idx="23">
                        <c:v>-9.4550000000000001</c:v>
                      </c:pt>
                      <c:pt idx="24">
                        <c:v>0.08</c:v>
                      </c:pt>
                      <c:pt idx="25">
                        <c:v>-24.154</c:v>
                      </c:pt>
                      <c:pt idx="26">
                        <c:v>-36.978999999999999</c:v>
                      </c:pt>
                      <c:pt idx="27">
                        <c:v>-4.952</c:v>
                      </c:pt>
                    </c:numCache>
                  </c:numRef>
                </c:val>
                <c:extLst xmlns:c15="http://schemas.microsoft.com/office/drawing/2012/chart">
                  <c:ext xmlns:c16="http://schemas.microsoft.com/office/drawing/2014/chart" uri="{C3380CC4-5D6E-409C-BE32-E72D297353CC}">
                    <c16:uniqueId val="{00000005-733D-4DA6-A2F5-B016ED4876AA}"/>
                  </c:ext>
                </c:extLst>
              </c15:ser>
            </c15:filteredBarSeries>
            <c15:filteredBarSeries>
              <c15:ser>
                <c:idx val="6"/>
                <c:order val="6"/>
                <c:tx>
                  <c:strRef>
                    <c:extLst>
                      <c:ext xmlns:c15="http://schemas.microsoft.com/office/drawing/2012/chart" uri="{02D57815-91ED-43cb-92C2-25804820EDAC}">
                        <c15:formulaRef>
                          <c15:sqref>'Story&amp;Estimates'!$I$155</c15:sqref>
                        </c15:formulaRef>
                      </c:ext>
                    </c:extLst>
                    <c:strCache>
                      <c:ptCount val="1"/>
                      <c:pt idx="0">
                        <c:v>prepaid ex</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'Story&amp;Estimates'!$I$156:$I$183</c15:sqref>
                        </c15:formulaRef>
                      </c:ext>
                    </c:extLst>
                    <c:numCache>
                      <c:formatCode>_-[$$-409]* #,##0.000_ ;_-[$$-409]* \-#,##0.000\ ;_-[$$-409]* "-"??_ ;_-@_ </c:formatCode>
                      <c:ptCount val="28"/>
                      <c:pt idx="22">
                        <c:v>-3.7229999999999999</c:v>
                      </c:pt>
                      <c:pt idx="23">
                        <c:v>-0.93200000000000005</c:v>
                      </c:pt>
                      <c:pt idx="24">
                        <c:v>-8.7859999999999996</c:v>
                      </c:pt>
                      <c:pt idx="25">
                        <c:v>-2.9740000000000002</c:v>
                      </c:pt>
                      <c:pt idx="26">
                        <c:v>5.0510000000000002</c:v>
                      </c:pt>
                      <c:pt idx="27">
                        <c:v>5.9610000000000003</c:v>
                      </c:pt>
                    </c:numCache>
                  </c:numRef>
                </c:val>
                <c:extLst xmlns:c15="http://schemas.microsoft.com/office/drawing/2012/chart">
                  <c:ext xmlns:c16="http://schemas.microsoft.com/office/drawing/2014/chart" uri="{C3380CC4-5D6E-409C-BE32-E72D297353CC}">
                    <c16:uniqueId val="{00000006-733D-4DA6-A2F5-B016ED4876AA}"/>
                  </c:ext>
                </c:extLst>
              </c15:ser>
            </c15:filteredBarSeries>
            <c15:filteredBarSeries>
              <c15:ser>
                <c:idx val="7"/>
                <c:order val="7"/>
                <c:tx>
                  <c:strRef>
                    <c:extLst>
                      <c:ext xmlns:c15="http://schemas.microsoft.com/office/drawing/2012/chart" uri="{02D57815-91ED-43cb-92C2-25804820EDAC}">
                        <c15:formulaRef>
                          <c15:sqref>'Story&amp;Estimates'!$J$155</c15:sqref>
                        </c15:formulaRef>
                      </c:ext>
                    </c:extLst>
                    <c:strCache>
                      <c:ptCount val="1"/>
                      <c:pt idx="0">
                        <c:v>trade acc payable </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'Story&amp;Estimates'!$J$156:$J$183</c15:sqref>
                        </c15:formulaRef>
                      </c:ext>
                    </c:extLst>
                    <c:numCache>
                      <c:formatCode>_-[$$-409]* #,##0.000_ ;_-[$$-409]* \-#,##0.000\ ;_-[$$-409]* "-"??_ ;_-@_ </c:formatCode>
                      <c:ptCount val="28"/>
                      <c:pt idx="2">
                        <c:v>-1.329</c:v>
                      </c:pt>
                      <c:pt idx="3">
                        <c:v>0.95899999999999996</c:v>
                      </c:pt>
                      <c:pt idx="4">
                        <c:v>2.681</c:v>
                      </c:pt>
                      <c:pt idx="5">
                        <c:v>0.29699999999999999</c:v>
                      </c:pt>
                      <c:pt idx="6">
                        <c:v>-2.0830000000000002</c:v>
                      </c:pt>
                      <c:pt idx="7">
                        <c:v>-1.294</c:v>
                      </c:pt>
                      <c:pt idx="8">
                        <c:v>3.036</c:v>
                      </c:pt>
                      <c:pt idx="9">
                        <c:v>2.528</c:v>
                      </c:pt>
                      <c:pt idx="10">
                        <c:v>-0.751</c:v>
                      </c:pt>
                      <c:pt idx="11">
                        <c:v>3.6280000000000001</c:v>
                      </c:pt>
                      <c:pt idx="12">
                        <c:v>5.6630000000000003</c:v>
                      </c:pt>
                      <c:pt idx="13">
                        <c:v>3.75</c:v>
                      </c:pt>
                      <c:pt idx="14">
                        <c:v>8.4290000000000003</c:v>
                      </c:pt>
                      <c:pt idx="15">
                        <c:v>8.5739999999999998</c:v>
                      </c:pt>
                      <c:pt idx="16">
                        <c:v>-3.1960000000000002</c:v>
                      </c:pt>
                      <c:pt idx="17">
                        <c:v>-3.9060000000000001</c:v>
                      </c:pt>
                      <c:pt idx="18">
                        <c:v>6.7160000000000002</c:v>
                      </c:pt>
                      <c:pt idx="19">
                        <c:v>5.6520000000000001</c:v>
                      </c:pt>
                      <c:pt idx="20">
                        <c:v>3.2789999999999999</c:v>
                      </c:pt>
                      <c:pt idx="21">
                        <c:v>4.7350000000000003</c:v>
                      </c:pt>
                      <c:pt idx="22">
                        <c:v>3.048</c:v>
                      </c:pt>
                      <c:pt idx="23">
                        <c:v>6.0869999999999997</c:v>
                      </c:pt>
                      <c:pt idx="24">
                        <c:v>6.952</c:v>
                      </c:pt>
                      <c:pt idx="25">
                        <c:v>11.558</c:v>
                      </c:pt>
                      <c:pt idx="26">
                        <c:v>6.7069999999999999</c:v>
                      </c:pt>
                      <c:pt idx="27">
                        <c:v>2.302</c:v>
                      </c:pt>
                    </c:numCache>
                  </c:numRef>
                </c:val>
                <c:extLst xmlns:c15="http://schemas.microsoft.com/office/drawing/2012/chart">
                  <c:ext xmlns:c16="http://schemas.microsoft.com/office/drawing/2014/chart" uri="{C3380CC4-5D6E-409C-BE32-E72D297353CC}">
                    <c16:uniqueId val="{00000007-733D-4DA6-A2F5-B016ED4876AA}"/>
                  </c:ext>
                </c:extLst>
              </c15:ser>
            </c15:filteredBarSeries>
            <c15:filteredBarSeries>
              <c15:ser>
                <c:idx val="8"/>
                <c:order val="8"/>
                <c:tx>
                  <c:strRef>
                    <c:extLst>
                      <c:ext xmlns:c15="http://schemas.microsoft.com/office/drawing/2012/chart" uri="{02D57815-91ED-43cb-92C2-25804820EDAC}">
                        <c15:formulaRef>
                          <c15:sqref>'Story&amp;Estimates'!$K$155</c15:sqref>
                        </c15:formulaRef>
                      </c:ext>
                    </c:extLst>
                    <c:strCache>
                      <c:ptCount val="1"/>
                      <c:pt idx="0">
                        <c:v>income taxes</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'Story&amp;Estimates'!$K$156:$K$183</c15:sqref>
                        </c15:formulaRef>
                      </c:ext>
                    </c:extLst>
                    <c:numCache>
                      <c:formatCode>_-[$$-409]* #,##0.000_ ;_-[$$-409]* \-#,##0.000\ ;_-[$$-409]* "-"??_ ;_-@_ </c:formatCode>
                      <c:ptCount val="28"/>
                      <c:pt idx="2">
                        <c:v>1.9590000000000001</c:v>
                      </c:pt>
                      <c:pt idx="3">
                        <c:v>0.16600000000000001</c:v>
                      </c:pt>
                      <c:pt idx="4">
                        <c:v>0.30399999999999999</c:v>
                      </c:pt>
                      <c:pt idx="5">
                        <c:v>-2.9460000000000002</c:v>
                      </c:pt>
                      <c:pt idx="6">
                        <c:v>0.307</c:v>
                      </c:pt>
                      <c:pt idx="7">
                        <c:v>2.8140000000000001</c:v>
                      </c:pt>
                      <c:pt idx="8">
                        <c:v>-1.597</c:v>
                      </c:pt>
                      <c:pt idx="9">
                        <c:v>-0.19700000000000001</c:v>
                      </c:pt>
                      <c:pt idx="10">
                        <c:v>0.93600000000000005</c:v>
                      </c:pt>
                      <c:pt idx="11">
                        <c:v>-0.58499999999999996</c:v>
                      </c:pt>
                      <c:pt idx="12">
                        <c:v>-2.2509999999999999</c:v>
                      </c:pt>
                      <c:pt idx="13">
                        <c:v>0.78100000000000003</c:v>
                      </c:pt>
                      <c:pt idx="14">
                        <c:v>0.38300000000000001</c:v>
                      </c:pt>
                      <c:pt idx="15">
                        <c:v>-0.81499999999999995</c:v>
                      </c:pt>
                      <c:pt idx="16">
                        <c:v>3.3809999999999998</c:v>
                      </c:pt>
                      <c:pt idx="17">
                        <c:v>-4.67</c:v>
                      </c:pt>
                      <c:pt idx="18">
                        <c:v>-0.88200000000000001</c:v>
                      </c:pt>
                      <c:pt idx="19">
                        <c:v>-4.0380000000000003</c:v>
                      </c:pt>
                      <c:pt idx="20">
                        <c:v>-4.9989999999999997</c:v>
                      </c:pt>
                      <c:pt idx="21">
                        <c:v>7.1340000000000003</c:v>
                      </c:pt>
                      <c:pt idx="22">
                        <c:v>-1.8959999999999999</c:v>
                      </c:pt>
                      <c:pt idx="23">
                        <c:v>0.63400000000000001</c:v>
                      </c:pt>
                      <c:pt idx="24">
                        <c:v>3.47</c:v>
                      </c:pt>
                      <c:pt idx="25">
                        <c:v>-4.3319999999999999</c:v>
                      </c:pt>
                      <c:pt idx="26">
                        <c:v>2.0049999999999999</c:v>
                      </c:pt>
                      <c:pt idx="27">
                        <c:v>-0.93700000000000006</c:v>
                      </c:pt>
                    </c:numCache>
                  </c:numRef>
                </c:val>
                <c:extLst xmlns:c15="http://schemas.microsoft.com/office/drawing/2012/chart">
                  <c:ext xmlns:c16="http://schemas.microsoft.com/office/drawing/2014/chart" uri="{C3380CC4-5D6E-409C-BE32-E72D297353CC}">
                    <c16:uniqueId val="{00000008-733D-4DA6-A2F5-B016ED4876AA}"/>
                  </c:ext>
                </c:extLst>
              </c15:ser>
            </c15:filteredBarSeries>
            <c15:filteredBarSeries>
              <c15:ser>
                <c:idx val="9"/>
                <c:order val="9"/>
                <c:tx>
                  <c:strRef>
                    <c:extLst>
                      <c:ext xmlns:c15="http://schemas.microsoft.com/office/drawing/2012/chart" uri="{02D57815-91ED-43cb-92C2-25804820EDAC}">
                        <c15:formulaRef>
                          <c15:sqref>'Story&amp;Estimates'!$L$155</c15:sqref>
                        </c15:formulaRef>
                      </c:ext>
                    </c:extLst>
                    <c:strCache>
                      <c:ptCount val="1"/>
                      <c:pt idx="0">
                        <c:v>pension</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'Story&amp;Estimates'!$L$156:$L$183</c15:sqref>
                        </c15:formulaRef>
                      </c:ext>
                    </c:extLst>
                    <c:numCache>
                      <c:formatCode>_-[$$-409]* #,##0.000_ ;_-[$$-409]* \-#,##0.000\ ;_-[$$-409]* "-"??_ ;_-@_ </c:formatCode>
                      <c:ptCount val="28"/>
                      <c:pt idx="22">
                        <c:v>-5.34</c:v>
                      </c:pt>
                      <c:pt idx="23">
                        <c:v>0</c:v>
                      </c:pt>
                      <c:pt idx="24">
                        <c:v>-0.33</c:v>
                      </c:pt>
                      <c:pt idx="25">
                        <c:v>0</c:v>
                      </c:pt>
                      <c:pt idx="26">
                        <c:v>-2.1320000000000001</c:v>
                      </c:pt>
                      <c:pt idx="27">
                        <c:v>-1.5</c:v>
                      </c:pt>
                    </c:numCache>
                  </c:numRef>
                </c:val>
                <c:extLst xmlns:c15="http://schemas.microsoft.com/office/drawing/2012/chart">
                  <c:ext xmlns:c16="http://schemas.microsoft.com/office/drawing/2014/chart" uri="{C3380CC4-5D6E-409C-BE32-E72D297353CC}">
                    <c16:uniqueId val="{00000009-733D-4DA6-A2F5-B016ED4876AA}"/>
                  </c:ext>
                </c:extLst>
              </c15:ser>
            </c15:filteredBarSeries>
            <c15:filteredBarSeries>
              <c15:ser>
                <c:idx val="10"/>
                <c:order val="10"/>
                <c:tx>
                  <c:strRef>
                    <c:extLst>
                      <c:ext xmlns:c15="http://schemas.microsoft.com/office/drawing/2012/chart" uri="{02D57815-91ED-43cb-92C2-25804820EDAC}">
                        <c15:formulaRef>
                          <c15:sqref>'Story&amp;Estimates'!$M$155</c15:sqref>
                        </c15:formulaRef>
                      </c:ext>
                    </c:extLst>
                    <c:strCache>
                      <c:ptCount val="1"/>
                      <c:pt idx="0">
                        <c:v>other</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'Story&amp;Estimates'!$M$156:$M$183</c15:sqref>
                        </c15:formulaRef>
                      </c:ext>
                    </c:extLst>
                    <c:numCache>
                      <c:formatCode>_-[$$-409]* #,##0.000_ ;_-[$$-409]* \-#,##0.000\ ;_-[$$-409]* "-"??_ ;_-@_ </c:formatCode>
                      <c:ptCount val="28"/>
                      <c:pt idx="2">
                        <c:v>0.72</c:v>
                      </c:pt>
                      <c:pt idx="3">
                        <c:v>-2.004</c:v>
                      </c:pt>
                      <c:pt idx="4">
                        <c:v>5.7000000000000002E-2</c:v>
                      </c:pt>
                      <c:pt idx="5">
                        <c:v>-2.0590000000000002</c:v>
                      </c:pt>
                      <c:pt idx="6">
                        <c:v>1.206</c:v>
                      </c:pt>
                      <c:pt idx="7">
                        <c:v>3.4000000000000002E-2</c:v>
                      </c:pt>
                      <c:pt idx="8">
                        <c:v>0.23200000000000001</c:v>
                      </c:pt>
                      <c:pt idx="9">
                        <c:v>-0.29299999999999998</c:v>
                      </c:pt>
                      <c:pt idx="10">
                        <c:v>-0.28899999999999998</c:v>
                      </c:pt>
                      <c:pt idx="11">
                        <c:v>-0.624</c:v>
                      </c:pt>
                      <c:pt idx="12">
                        <c:v>1.048</c:v>
                      </c:pt>
                      <c:pt idx="13">
                        <c:v>-1.581</c:v>
                      </c:pt>
                      <c:pt idx="14">
                        <c:v>-2.327</c:v>
                      </c:pt>
                      <c:pt idx="15">
                        <c:v>0.18</c:v>
                      </c:pt>
                      <c:pt idx="16">
                        <c:v>0.2</c:v>
                      </c:pt>
                      <c:pt idx="17">
                        <c:v>-1.2470000000000001</c:v>
                      </c:pt>
                      <c:pt idx="18">
                        <c:v>-1.5009999999999999</c:v>
                      </c:pt>
                      <c:pt idx="19">
                        <c:v>2.4780000000000002</c:v>
                      </c:pt>
                      <c:pt idx="20">
                        <c:v>3.5000000000000003E-2</c:v>
                      </c:pt>
                      <c:pt idx="21">
                        <c:v>-0.30099999999999999</c:v>
                      </c:pt>
                      <c:pt idx="22">
                        <c:v>1.87</c:v>
                      </c:pt>
                      <c:pt idx="23">
                        <c:v>-3.2629999999999999</c:v>
                      </c:pt>
                      <c:pt idx="24">
                        <c:v>1.2849999999999999</c:v>
                      </c:pt>
                      <c:pt idx="25">
                        <c:v>-3.335</c:v>
                      </c:pt>
                      <c:pt idx="26">
                        <c:v>-0.247</c:v>
                      </c:pt>
                      <c:pt idx="27">
                        <c:v>-4.6470000000000002</c:v>
                      </c:pt>
                    </c:numCache>
                  </c:numRef>
                </c:val>
                <c:extLst xmlns:c15="http://schemas.microsoft.com/office/drawing/2012/chart">
                  <c:ext xmlns:c16="http://schemas.microsoft.com/office/drawing/2014/chart" uri="{C3380CC4-5D6E-409C-BE32-E72D297353CC}">
                    <c16:uniqueId val="{0000000A-733D-4DA6-A2F5-B016ED4876AA}"/>
                  </c:ext>
                </c:extLst>
              </c15:ser>
            </c15:filteredBarSeries>
            <c15:filteredBarSeries>
              <c15:ser>
                <c:idx val="12"/>
                <c:order val="12"/>
                <c:tx>
                  <c:strRef>
                    <c:extLst>
                      <c:ext xmlns:c15="http://schemas.microsoft.com/office/drawing/2012/chart" uri="{02D57815-91ED-43cb-92C2-25804820EDAC}">
                        <c15:formulaRef>
                          <c15:sqref>'Story&amp;Estimates'!$O$155</c15:sqref>
                        </c15:formulaRef>
                      </c:ext>
                    </c:extLst>
                    <c:strCache>
                      <c:ptCount val="1"/>
                      <c:pt idx="0">
                        <c:v>chg wc % rev</c:v>
                      </c:pt>
                    </c:strCache>
                  </c:strRef>
                </c:tx>
                <c:spPr>
                  <a:solidFill>
                    <a:schemeClr val="accent1">
                      <a:lumMod val="80000"/>
                      <a:lumOff val="2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'Story&amp;Estimates'!$O$156:$O$183</c15:sqref>
                        </c15:formulaRef>
                      </c:ext>
                    </c:extLst>
                    <c:numCache>
                      <c:formatCode>0.0%</c:formatCode>
                      <c:ptCount val="28"/>
                      <c:pt idx="0">
                        <c:v>0</c:v>
                      </c:pt>
                      <c:pt idx="1">
                        <c:v>0</c:v>
                      </c:pt>
                      <c:pt idx="2">
                        <c:v>-3.0174247609182227E-2</c:v>
                      </c:pt>
                      <c:pt idx="3">
                        <c:v>-2.7421957028348994E-2</c:v>
                      </c:pt>
                      <c:pt idx="4">
                        <c:v>8.3585746532132028E-3</c:v>
                      </c:pt>
                      <c:pt idx="5">
                        <c:v>-4.9397805107834886E-4</c:v>
                      </c:pt>
                      <c:pt idx="6">
                        <c:v>3.3807892040837957E-2</c:v>
                      </c:pt>
                      <c:pt idx="7">
                        <c:v>5.8930562892528023E-2</c:v>
                      </c:pt>
                      <c:pt idx="8">
                        <c:v>-3.568854034689152E-2</c:v>
                      </c:pt>
                      <c:pt idx="9">
                        <c:v>1.2128044158519754E-2</c:v>
                      </c:pt>
                      <c:pt idx="10">
                        <c:v>-2.5002650539096605E-2</c:v>
                      </c:pt>
                      <c:pt idx="11">
                        <c:v>-3.8141532605480762E-2</c:v>
                      </c:pt>
                      <c:pt idx="12">
                        <c:v>-3.5745267700246899E-2</c:v>
                      </c:pt>
                      <c:pt idx="13">
                        <c:v>1.2754863813229572E-2</c:v>
                      </c:pt>
                      <c:pt idx="14">
                        <c:v>-0.02</c:v>
                      </c:pt>
                      <c:pt idx="15">
                        <c:v>-6.9148584905660379E-2</c:v>
                      </c:pt>
                      <c:pt idx="16">
                        <c:v>1.5312072892938495E-2</c:v>
                      </c:pt>
                      <c:pt idx="17">
                        <c:v>-4.1600000000000005E-2</c:v>
                      </c:pt>
                      <c:pt idx="18">
                        <c:v>-9.8092783505154615E-3</c:v>
                      </c:pt>
                      <c:pt idx="19">
                        <c:v>-3.295774647887325E-3</c:v>
                      </c:pt>
                      <c:pt idx="20">
                        <c:v>-3.0655786350148366E-2</c:v>
                      </c:pt>
                      <c:pt idx="21">
                        <c:v>4.1005291005291117E-4</c:v>
                      </c:pt>
                      <c:pt idx="22">
                        <c:v>-5.7584323040380032E-2</c:v>
                      </c:pt>
                      <c:pt idx="23">
                        <c:v>-3.7550011238480549E-2</c:v>
                      </c:pt>
                      <c:pt idx="24">
                        <c:v>-1.6869639794168091E-2</c:v>
                      </c:pt>
                      <c:pt idx="25">
                        <c:v>-6.7280633938925402E-2</c:v>
                      </c:pt>
                      <c:pt idx="26">
                        <c:v>-8.3437990580847693E-2</c:v>
                      </c:pt>
                      <c:pt idx="27">
                        <c:v>1.9704345229207106E-2</c:v>
                      </c:pt>
                    </c:numCache>
                  </c:numRef>
                </c:val>
                <c:extLst xmlns:c15="http://schemas.microsoft.com/office/drawing/2012/chart">
                  <c:ext xmlns:c16="http://schemas.microsoft.com/office/drawing/2014/chart" uri="{C3380CC4-5D6E-409C-BE32-E72D297353CC}">
                    <c16:uniqueId val="{0000000C-733D-4DA6-A2F5-B016ED4876AA}"/>
                  </c:ext>
                </c:extLst>
              </c15:ser>
            </c15:filteredBarSeries>
            <c15:filteredBarSeries>
              <c15:ser>
                <c:idx val="13"/>
                <c:order val="13"/>
                <c:tx>
                  <c:strRef>
                    <c:extLst>
                      <c:ext xmlns:c15="http://schemas.microsoft.com/office/drawing/2012/chart" uri="{02D57815-91ED-43cb-92C2-25804820EDAC}">
                        <c15:formulaRef>
                          <c15:sqref>'Story&amp;Estimates'!$P$155</c15:sqref>
                        </c15:formulaRef>
                      </c:ext>
                    </c:extLst>
                    <c:strCache>
                      <c:ptCount val="1"/>
                      <c:pt idx="0">
                        <c:v>reinvestment</c:v>
                      </c:pt>
                    </c:strCache>
                  </c:strRef>
                </c:tx>
                <c:spPr>
                  <a:solidFill>
                    <a:schemeClr val="accent2">
                      <a:lumMod val="80000"/>
                      <a:lumOff val="2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'Story&amp;Estimates'!$P$156:$P$183</c15:sqref>
                        </c15:formulaRef>
                      </c:ext>
                    </c:extLst>
                    <c:numCache>
                      <c:formatCode>_-[$$-409]* #,##0.000_ ;_-[$$-409]* \-#,##0.000\ ;_-[$$-409]* "-"??_ ;_-@_ </c:formatCode>
                      <c:ptCount val="28"/>
                      <c:pt idx="0">
                        <c:v>0</c:v>
                      </c:pt>
                      <c:pt idx="1">
                        <c:v>0</c:v>
                      </c:pt>
                      <c:pt idx="2">
                        <c:v>-0.29900000000000038</c:v>
                      </c:pt>
                      <c:pt idx="3">
                        <c:v>-2.0039999999999996</c:v>
                      </c:pt>
                      <c:pt idx="4">
                        <c:v>4.6599999999999993</c:v>
                      </c:pt>
                      <c:pt idx="5">
                        <c:v>-4.2210000000000001</c:v>
                      </c:pt>
                      <c:pt idx="6">
                        <c:v>1.4300000000000006</c:v>
                      </c:pt>
                      <c:pt idx="7">
                        <c:v>4.7249999999999988</c:v>
                      </c:pt>
                      <c:pt idx="8">
                        <c:v>-7.7329999999999988</c:v>
                      </c:pt>
                      <c:pt idx="9">
                        <c:v>3.0189999999999992</c:v>
                      </c:pt>
                      <c:pt idx="10">
                        <c:v>-2.76</c:v>
                      </c:pt>
                      <c:pt idx="11">
                        <c:v>-7.3380000000000027</c:v>
                      </c:pt>
                      <c:pt idx="12">
                        <c:v>-8.18</c:v>
                      </c:pt>
                      <c:pt idx="13">
                        <c:v>6.6959999999999997</c:v>
                      </c:pt>
                      <c:pt idx="14">
                        <c:v>-3.8800000000000017</c:v>
                      </c:pt>
                      <c:pt idx="15">
                        <c:v>-20.932000000000002</c:v>
                      </c:pt>
                      <c:pt idx="16">
                        <c:v>16.201000000000001</c:v>
                      </c:pt>
                      <c:pt idx="17">
                        <c:v>-8.1100000000000012</c:v>
                      </c:pt>
                      <c:pt idx="18">
                        <c:v>1.0000000000000018</c:v>
                      </c:pt>
                      <c:pt idx="19">
                        <c:v>-1.9480000000000008</c:v>
                      </c:pt>
                      <c:pt idx="20">
                        <c:v>2.3980000000000015</c:v>
                      </c:pt>
                      <c:pt idx="21">
                        <c:v>-1.4019999999999981</c:v>
                      </c:pt>
                      <c:pt idx="22">
                        <c:v>-27.158999999999995</c:v>
                      </c:pt>
                      <c:pt idx="23">
                        <c:v>-0.98699999999999655</c:v>
                      </c:pt>
                      <c:pt idx="24">
                        <c:v>2.8630000000000031</c:v>
                      </c:pt>
                      <c:pt idx="25">
                        <c:v>-31.991</c:v>
                      </c:pt>
                      <c:pt idx="26">
                        <c:v>-28.981999999999985</c:v>
                      </c:pt>
                      <c:pt idx="27">
                        <c:v>29.613999999999997</c:v>
                      </c:pt>
                    </c:numCache>
                  </c:numRef>
                </c:val>
                <c:extLst xmlns:c15="http://schemas.microsoft.com/office/drawing/2012/chart">
                  <c:ext xmlns:c16="http://schemas.microsoft.com/office/drawing/2014/chart" uri="{C3380CC4-5D6E-409C-BE32-E72D297353CC}">
                    <c16:uniqueId val="{0000000D-733D-4DA6-A2F5-B016ED4876AA}"/>
                  </c:ext>
                </c:extLst>
              </c15:ser>
            </c15:filteredBarSeries>
            <c15:filteredBarSeries>
              <c15:ser>
                <c:idx val="14"/>
                <c:order val="14"/>
                <c:tx>
                  <c:strRef>
                    <c:extLst>
                      <c:ext xmlns:c15="http://schemas.microsoft.com/office/drawing/2012/chart" uri="{02D57815-91ED-43cb-92C2-25804820EDAC}">
                        <c15:formulaRef>
                          <c15:sqref>'Story&amp;Estimates'!$Q$155</c15:sqref>
                        </c15:formulaRef>
                      </c:ext>
                    </c:extLst>
                    <c:strCache>
                      <c:ptCount val="1"/>
                      <c:pt idx="0">
                        <c:v>operating inc</c:v>
                      </c:pt>
                    </c:strCache>
                  </c:strRef>
                </c:tx>
                <c:spPr>
                  <a:solidFill>
                    <a:schemeClr val="accent3">
                      <a:lumMod val="80000"/>
                      <a:lumOff val="2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'Story&amp;Estimates'!$Q$156:$Q$183</c15:sqref>
                        </c15:formulaRef>
                      </c:ext>
                    </c:extLst>
                    <c:numCache>
                      <c:formatCode>General</c:formatCode>
                      <c:ptCount val="28"/>
                      <c:pt idx="13" formatCode="_-[$$-409]* #,##0.00_ ;_-[$$-409]* \-#,##0.00\ ;_-[$$-409]* &quot;-&quot;??_ ;_-@_ ">
                        <c:v>19.46</c:v>
                      </c:pt>
                      <c:pt idx="14" formatCode="_-[$$-409]* #,##0.00_ ;_-[$$-409]* \-#,##0.00\ ;_-[$$-409]* &quot;-&quot;??_ ;_-@_ ">
                        <c:v>28.48</c:v>
                      </c:pt>
                      <c:pt idx="15" formatCode="_-[$$-409]* #,##0.00_ ;_-[$$-409]* \-#,##0.00\ ;_-[$$-409]* &quot;-&quot;??_ ;_-@_ ">
                        <c:v>45.353999999999999</c:v>
                      </c:pt>
                      <c:pt idx="16" formatCode="_-[$$-409]* #,##0.00_ ;_-[$$-409]* \-#,##0.00\ ;_-[$$-409]* &quot;-&quot;??_ ;_-@_ ">
                        <c:v>44.122</c:v>
                      </c:pt>
                      <c:pt idx="17" formatCode="_-[$$-409]* #,##0.00_ ;_-[$$-409]* \-#,##0.00\ ;_-[$$-409]* &quot;-&quot;??_ ;_-@_ ">
                        <c:v>31.148</c:v>
                      </c:pt>
                      <c:pt idx="18" formatCode="_-[$$-409]* #,##0.00_ ;_-[$$-409]* \-#,##0.00\ ;_-[$$-409]* &quot;-&quot;??_ ;_-@_ ">
                        <c:v>21.238</c:v>
                      </c:pt>
                      <c:pt idx="19" formatCode="_-[$$-409]* #,##0.00_ ;_-[$$-409]* \-#,##0.00\ ;_-[$$-409]* &quot;-&quot;??_ ;_-@_ ">
                        <c:v>12.349</c:v>
                      </c:pt>
                      <c:pt idx="20" formatCode="_-[$$-409]* #,##0.00_ ;_-[$$-409]* \-#,##0.00\ ;_-[$$-409]* &quot;-&quot;??_ ;_-@_ ">
                        <c:v>21.478999999999999</c:v>
                      </c:pt>
                      <c:pt idx="21" formatCode="_-[$$-409]* #,##0.00_ ;_-[$$-409]* \-#,##0.00\ ;_-[$$-409]* &quot;-&quot;??_ ;_-@_ ">
                        <c:v>26.108000000000001</c:v>
                      </c:pt>
                      <c:pt idx="22" formatCode="_-[$$-409]* #,##0.00_ ;_-[$$-409]* \-#,##0.00\ ;_-[$$-409]* &quot;-&quot;??_ ;_-@_ ">
                        <c:v>32.933999999999997</c:v>
                      </c:pt>
                      <c:pt idx="23" formatCode="_-[$$-409]* #,##0.00_ ;_-[$$-409]* \-#,##0.00\ ;_-[$$-409]* &quot;-&quot;??_ ;_-@_ ">
                        <c:v>32.627000000000002</c:v>
                      </c:pt>
                      <c:pt idx="24" formatCode="_-[$$-409]* #,##0.00_ ;_-[$$-409]* \-#,##0.00\ ;_-[$$-409]* &quot;-&quot;??_ ;_-@_ ">
                        <c:v>40.207000000000001</c:v>
                      </c:pt>
                      <c:pt idx="25" formatCode="_-[$$-409]* #,##0.00_ ;_-[$$-409]* \-#,##0.00\ ;_-[$$-409]* &quot;-&quot;??_ ;_-@_ ">
                        <c:v>47.548999999999999</c:v>
                      </c:pt>
                      <c:pt idx="26" formatCode="_-[$$-409]* #,##0.00_ ;_-[$$-409]* \-#,##0.00\ ;_-[$$-409]* &quot;-&quot;??_ ;_-@_ ">
                        <c:v>69.361000000000004</c:v>
                      </c:pt>
                      <c:pt idx="27" formatCode="_-[$$-409]* #,##0.00_ ;_-[$$-409]* \-#,##0.00\ ;_-[$$-409]* &quot;-&quot;??_ ;_-@_ ">
                        <c:v>84.153999999999996</c:v>
                      </c:pt>
                    </c:numCache>
                  </c:numRef>
                </c:val>
                <c:extLst xmlns:c15="http://schemas.microsoft.com/office/drawing/2012/chart">
                  <c:ext xmlns:c16="http://schemas.microsoft.com/office/drawing/2014/chart" uri="{C3380CC4-5D6E-409C-BE32-E72D297353CC}">
                    <c16:uniqueId val="{0000000F-733D-4DA6-A2F5-B016ED4876AA}"/>
                  </c:ext>
                </c:extLst>
              </c15:ser>
            </c15:filteredBarSeries>
            <c15:filteredBarSeries>
              <c15:ser>
                <c:idx val="15"/>
                <c:order val="15"/>
                <c:tx>
                  <c:strRef>
                    <c:extLst>
                      <c:ext xmlns:c15="http://schemas.microsoft.com/office/drawing/2012/chart" uri="{02D57815-91ED-43cb-92C2-25804820EDAC}">
                        <c15:formulaRef>
                          <c15:sqref>'Story&amp;Estimates'!$R$155</c15:sqref>
                        </c15:formulaRef>
                      </c:ext>
                    </c:extLst>
                    <c:strCache>
                      <c:ptCount val="1"/>
                      <c:pt idx="0">
                        <c:v>re rate</c:v>
                      </c:pt>
                    </c:strCache>
                  </c:strRef>
                </c:tx>
                <c:spPr>
                  <a:solidFill>
                    <a:schemeClr val="accent4">
                      <a:lumMod val="80000"/>
                      <a:lumOff val="2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'Story&amp;Estimates'!$R$156:$R$183</c15:sqref>
                        </c15:formulaRef>
                      </c:ext>
                    </c:extLst>
                    <c:numCache>
                      <c:formatCode>General</c:formatCode>
                      <c:ptCount val="28"/>
                      <c:pt idx="13" formatCode="0.00%">
                        <c:v>0.34409044193216853</c:v>
                      </c:pt>
                      <c:pt idx="14" formatCode="0.00%">
                        <c:v>-0.13623595505617983</c:v>
                      </c:pt>
                      <c:pt idx="15" formatCode="0.00%">
                        <c:v>-0.4615248930634564</c:v>
                      </c:pt>
                      <c:pt idx="16" formatCode="0.00%">
                        <c:v>0.367186437604823</c:v>
                      </c:pt>
                      <c:pt idx="17" formatCode="0.00%">
                        <c:v>-0.26036984718119949</c:v>
                      </c:pt>
                      <c:pt idx="18" formatCode="0.00%">
                        <c:v>4.7085412939071564E-2</c:v>
                      </c:pt>
                      <c:pt idx="19" formatCode="0.00%">
                        <c:v>-0.15774556644262699</c:v>
                      </c:pt>
                      <c:pt idx="20" formatCode="0.00%">
                        <c:v>0.1116439312817171</c:v>
                      </c:pt>
                      <c:pt idx="21" formatCode="0.00%">
                        <c:v>-5.3700015320974341E-2</c:v>
                      </c:pt>
                      <c:pt idx="22" formatCode="0.00%">
                        <c:v>-0.82464929859719427</c:v>
                      </c:pt>
                      <c:pt idx="23" formatCode="0.00%">
                        <c:v>-3.0251019094614782E-2</c:v>
                      </c:pt>
                      <c:pt idx="24" formatCode="0.00%">
                        <c:v>7.1206506329743652E-2</c:v>
                      </c:pt>
                      <c:pt idx="25" formatCode="0.00%">
                        <c:v>-0.67280068981471741</c:v>
                      </c:pt>
                      <c:pt idx="26" formatCode="0.00%">
                        <c:v>-0.41784288000461328</c:v>
                      </c:pt>
                      <c:pt idx="27" formatCode="0.00%">
                        <c:v>0.35190246452931528</c:v>
                      </c:pt>
                    </c:numCache>
                  </c:numRef>
                </c:val>
                <c:extLst xmlns:c15="http://schemas.microsoft.com/office/drawing/2012/chart">
                  <c:ext xmlns:c16="http://schemas.microsoft.com/office/drawing/2014/chart" uri="{C3380CC4-5D6E-409C-BE32-E72D297353CC}">
                    <c16:uniqueId val="{00000010-733D-4DA6-A2F5-B016ED4876AA}"/>
                  </c:ext>
                </c:extLst>
              </c15:ser>
            </c15:filteredBarSeries>
          </c:ext>
        </c:extLst>
      </c:barChart>
      <c:catAx>
        <c:axId val="155124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3727"/>
        <c:crosses val="autoZero"/>
        <c:auto val="1"/>
        <c:lblAlgn val="ctr"/>
        <c:lblOffset val="100"/>
        <c:noMultiLvlLbl val="0"/>
      </c:catAx>
      <c:valAx>
        <c:axId val="1551243727"/>
        <c:scaling>
          <c:orientation val="minMax"/>
        </c:scaling>
        <c:delete val="0"/>
        <c:axPos val="l"/>
        <c:majorGridlines>
          <c:spPr>
            <a:ln w="9525" cap="flat" cmpd="sng" algn="ctr">
              <a:solidFill>
                <a:schemeClr val="tx1">
                  <a:lumMod val="15000"/>
                  <a:lumOff val="85000"/>
                </a:schemeClr>
              </a:solidFill>
              <a:round/>
            </a:ln>
            <a:effectLst/>
          </c:spPr>
        </c:majorGridlines>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1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2"/>
          <c:order val="12"/>
          <c:tx>
            <c:strRef>
              <c:f>'Story&amp;Estimates'!$O$155</c:f>
              <c:strCache>
                <c:ptCount val="1"/>
                <c:pt idx="0">
                  <c:v>chg wc % rev</c:v>
                </c:pt>
              </c:strCache>
            </c:strRef>
          </c:tx>
          <c:spPr>
            <a:solidFill>
              <a:schemeClr val="accent1">
                <a:lumMod val="80000"/>
                <a:lumOff val="20000"/>
              </a:schemeClr>
            </a:solidFill>
            <a:ln>
              <a:noFill/>
            </a:ln>
            <a:effectLst/>
          </c:spPr>
          <c:invertIfNegative val="0"/>
          <c:cat>
            <c:numRef>
              <c:f>'Story&amp;Estimates'!$B$156:$B$183</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'Story&amp;Estimates'!$O$156:$O$183</c:f>
              <c:numCache>
                <c:formatCode>0.0%</c:formatCode>
                <c:ptCount val="28"/>
                <c:pt idx="0">
                  <c:v>0</c:v>
                </c:pt>
                <c:pt idx="1">
                  <c:v>0</c:v>
                </c:pt>
                <c:pt idx="2">
                  <c:v>-3.0174247609182227E-2</c:v>
                </c:pt>
                <c:pt idx="3">
                  <c:v>-2.7421957028348994E-2</c:v>
                </c:pt>
                <c:pt idx="4">
                  <c:v>8.3585746532132028E-3</c:v>
                </c:pt>
                <c:pt idx="5">
                  <c:v>-4.9397805107834886E-4</c:v>
                </c:pt>
                <c:pt idx="6">
                  <c:v>3.3807892040837957E-2</c:v>
                </c:pt>
                <c:pt idx="7">
                  <c:v>5.8930562892528023E-2</c:v>
                </c:pt>
                <c:pt idx="8">
                  <c:v>-3.568854034689152E-2</c:v>
                </c:pt>
                <c:pt idx="9">
                  <c:v>1.2128044158519754E-2</c:v>
                </c:pt>
                <c:pt idx="10">
                  <c:v>-2.5002650539096605E-2</c:v>
                </c:pt>
                <c:pt idx="11">
                  <c:v>-3.8141532605480762E-2</c:v>
                </c:pt>
                <c:pt idx="12">
                  <c:v>-3.5745267700246899E-2</c:v>
                </c:pt>
                <c:pt idx="13">
                  <c:v>1.2754863813229572E-2</c:v>
                </c:pt>
                <c:pt idx="14">
                  <c:v>-0.02</c:v>
                </c:pt>
                <c:pt idx="15">
                  <c:v>-6.9148584905660379E-2</c:v>
                </c:pt>
                <c:pt idx="16">
                  <c:v>1.5312072892938495E-2</c:v>
                </c:pt>
                <c:pt idx="17">
                  <c:v>-4.1600000000000005E-2</c:v>
                </c:pt>
                <c:pt idx="18">
                  <c:v>-9.8092783505154615E-3</c:v>
                </c:pt>
                <c:pt idx="19">
                  <c:v>-3.295774647887325E-3</c:v>
                </c:pt>
                <c:pt idx="20">
                  <c:v>-3.0655786350148366E-2</c:v>
                </c:pt>
                <c:pt idx="21">
                  <c:v>4.1005291005291117E-4</c:v>
                </c:pt>
                <c:pt idx="22">
                  <c:v>-5.7584323040380032E-2</c:v>
                </c:pt>
                <c:pt idx="23">
                  <c:v>-3.7550011238480549E-2</c:v>
                </c:pt>
                <c:pt idx="24">
                  <c:v>-1.6869639794168091E-2</c:v>
                </c:pt>
                <c:pt idx="25">
                  <c:v>-6.7280633938925402E-2</c:v>
                </c:pt>
                <c:pt idx="26">
                  <c:v>-8.3437990580847693E-2</c:v>
                </c:pt>
                <c:pt idx="27">
                  <c:v>1.9704345229207106E-2</c:v>
                </c:pt>
              </c:numCache>
            </c:numRef>
          </c:val>
          <c:extLst>
            <c:ext xmlns:c16="http://schemas.microsoft.com/office/drawing/2014/chart" uri="{C3380CC4-5D6E-409C-BE32-E72D297353CC}">
              <c16:uniqueId val="{0000000C-FD45-4229-BFCE-DC0ED32FC354}"/>
            </c:ext>
          </c:extLst>
        </c:ser>
        <c:dLbls>
          <c:showLegendKey val="0"/>
          <c:showVal val="0"/>
          <c:showCatName val="0"/>
          <c:showSerName val="0"/>
          <c:showPercent val="0"/>
          <c:showBubbleSize val="0"/>
        </c:dLbls>
        <c:gapWidth val="53"/>
        <c:overlap val="100"/>
        <c:axId val="1551241807"/>
        <c:axId val="1551243727"/>
        <c:extLst>
          <c:ext xmlns:c15="http://schemas.microsoft.com/office/drawing/2012/chart" uri="{02D57815-91ED-43cb-92C2-25804820EDAC}">
            <c15:filteredBarSeries>
              <c15:ser>
                <c:idx val="0"/>
                <c:order val="0"/>
                <c:tx>
                  <c:strRef>
                    <c:extLst>
                      <c:ext uri="{02D57815-91ED-43cb-92C2-25804820EDAC}">
                        <c15:formulaRef>
                          <c15:sqref>'Story&amp;Estimates'!$C$155</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'Story&amp;Estimates'!$C$156:$C$183</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1-FD45-4229-BFCE-DC0ED32FC354}"/>
                  </c:ext>
                </c:extLst>
              </c15:ser>
            </c15:filteredBarSeries>
            <c15:filteredBarSeries>
              <c15:ser>
                <c:idx val="1"/>
                <c:order val="1"/>
                <c:tx>
                  <c:strRef>
                    <c:extLst>
                      <c:ext xmlns:c15="http://schemas.microsoft.com/office/drawing/2012/chart" uri="{02D57815-91ED-43cb-92C2-25804820EDAC}">
                        <c15:formulaRef>
                          <c15:sqref>'Story&amp;Estimates'!$D$155</c15:sqref>
                        </c15:formulaRef>
                      </c:ext>
                    </c:extLst>
                    <c:strCache>
                      <c:ptCount val="1"/>
                      <c:pt idx="0">
                        <c:v>capital ex</c:v>
                      </c:pt>
                    </c:strCache>
                  </c:strRef>
                </c:tx>
                <c:spPr>
                  <a:solidFill>
                    <a:schemeClr val="accent2"/>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'Story&amp;Estimates'!$D$156:$D$183</c15:sqref>
                        </c15:formulaRef>
                      </c:ext>
                    </c:extLst>
                    <c:numCache>
                      <c:formatCode>_-[$$-409]* #,##0.000_ ;_-[$$-409]* \-#,##0.000\ ;_-[$$-409]* "-"??_ ;_-@_ </c:formatCode>
                      <c:ptCount val="28"/>
                      <c:pt idx="2">
                        <c:v>14.98</c:v>
                      </c:pt>
                      <c:pt idx="3">
                        <c:v>13.135999999999999</c:v>
                      </c:pt>
                      <c:pt idx="4">
                        <c:v>14.337999999999999</c:v>
                      </c:pt>
                      <c:pt idx="5">
                        <c:v>6.1959999999999997</c:v>
                      </c:pt>
                      <c:pt idx="6">
                        <c:v>4.7060000000000004</c:v>
                      </c:pt>
                      <c:pt idx="7">
                        <c:v>4.0179999999999998</c:v>
                      </c:pt>
                      <c:pt idx="8">
                        <c:v>6.1870000000000003</c:v>
                      </c:pt>
                      <c:pt idx="9">
                        <c:v>7.7370000000000001</c:v>
                      </c:pt>
                      <c:pt idx="10">
                        <c:v>10.198</c:v>
                      </c:pt>
                      <c:pt idx="11">
                        <c:v>9.6389999999999993</c:v>
                      </c:pt>
                      <c:pt idx="12">
                        <c:v>10.010999999999999</c:v>
                      </c:pt>
                      <c:pt idx="13">
                        <c:v>10.667</c:v>
                      </c:pt>
                      <c:pt idx="14">
                        <c:v>12.273999999999999</c:v>
                      </c:pt>
                      <c:pt idx="15">
                        <c:v>18.911999999999999</c:v>
                      </c:pt>
                      <c:pt idx="16">
                        <c:v>21.042999999999999</c:v>
                      </c:pt>
                      <c:pt idx="17">
                        <c:v>21.033999999999999</c:v>
                      </c:pt>
                      <c:pt idx="18">
                        <c:v>17.663</c:v>
                      </c:pt>
                      <c:pt idx="19" formatCode="_-[$$-409]* #,##0.00_ ;_-[$$-409]* \-#,##0.00\ ;_-[$$-409]* &quot;-&quot;??_ ;_-@_ ">
                        <c:v>10.754</c:v>
                      </c:pt>
                      <c:pt idx="20" formatCode="_-[$$-409]* #,##0.00_ ;_-[$$-409]* \-#,##0.00\ ;_-[$$-409]* &quot;-&quot;??_ ;_-@_ ">
                        <c:v>24.725000000000001</c:v>
                      </c:pt>
                      <c:pt idx="21">
                        <c:v>11.233000000000001</c:v>
                      </c:pt>
                      <c:pt idx="22">
                        <c:v>9.5280000000000005</c:v>
                      </c:pt>
                      <c:pt idx="23">
                        <c:v>29.466999999999999</c:v>
                      </c:pt>
                      <c:pt idx="24">
                        <c:v>24.568999999999999</c:v>
                      </c:pt>
                      <c:pt idx="25">
                        <c:v>18.384</c:v>
                      </c:pt>
                      <c:pt idx="26">
                        <c:v>40.597999999999999</c:v>
                      </c:pt>
                      <c:pt idx="27">
                        <c:v>35.332000000000001</c:v>
                      </c:pt>
                    </c:numCache>
                  </c:numRef>
                </c:val>
                <c:extLst xmlns:c15="http://schemas.microsoft.com/office/drawing/2012/chart">
                  <c:ext xmlns:c16="http://schemas.microsoft.com/office/drawing/2014/chart" uri="{C3380CC4-5D6E-409C-BE32-E72D297353CC}">
                    <c16:uniqueId val="{00000002-FD45-4229-BFCE-DC0ED32FC354}"/>
                  </c:ext>
                </c:extLst>
              </c15:ser>
            </c15:filteredBarSeries>
            <c15:filteredBarSeries>
              <c15:ser>
                <c:idx val="2"/>
                <c:order val="2"/>
                <c:tx>
                  <c:strRef>
                    <c:extLst>
                      <c:ext xmlns:c15="http://schemas.microsoft.com/office/drawing/2012/chart" uri="{02D57815-91ED-43cb-92C2-25804820EDAC}">
                        <c15:formulaRef>
                          <c15:sqref>'Story&amp;Estimates'!$E$155</c15:sqref>
                        </c15:formulaRef>
                      </c:ext>
                    </c:extLst>
                    <c:strCache>
                      <c:ptCount val="1"/>
                      <c:pt idx="0">
                        <c:v>depr&amp;amort</c:v>
                      </c:pt>
                    </c:strCache>
                  </c:strRef>
                </c:tx>
                <c:spPr>
                  <a:solidFill>
                    <a:schemeClr val="accent3"/>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'Story&amp;Estimates'!$E$156:$E$183</c15:sqref>
                        </c15:formulaRef>
                      </c:ext>
                    </c:extLst>
                    <c:numCache>
                      <c:formatCode>_-[$$-409]* #,##0.000_ ;_-[$$-409]* \-#,##0.000\ ;_-[$$-409]* "-"??_ ;_-@_ </c:formatCode>
                      <c:ptCount val="28"/>
                      <c:pt idx="2">
                        <c:v>8.7539999999999996</c:v>
                      </c:pt>
                      <c:pt idx="3">
                        <c:v>9.7859999999999996</c:v>
                      </c:pt>
                      <c:pt idx="4">
                        <c:v>11.411</c:v>
                      </c:pt>
                      <c:pt idx="5">
                        <c:v>10.32</c:v>
                      </c:pt>
                      <c:pt idx="6">
                        <c:v>9.0180000000000007</c:v>
                      </c:pt>
                      <c:pt idx="7">
                        <c:v>8.3290000000000006</c:v>
                      </c:pt>
                      <c:pt idx="8">
                        <c:v>7.3849999999999998</c:v>
                      </c:pt>
                      <c:pt idx="9">
                        <c:v>7.2140000000000004</c:v>
                      </c:pt>
                      <c:pt idx="10">
                        <c:v>7.5339999999999998</c:v>
                      </c:pt>
                      <c:pt idx="11">
                        <c:v>8.0790000000000006</c:v>
                      </c:pt>
                      <c:pt idx="12">
                        <c:v>8.5489999999999995</c:v>
                      </c:pt>
                      <c:pt idx="13">
                        <c:v>7.2489999999999997</c:v>
                      </c:pt>
                      <c:pt idx="14">
                        <c:v>9.3940000000000001</c:v>
                      </c:pt>
                      <c:pt idx="15">
                        <c:v>10.525</c:v>
                      </c:pt>
                      <c:pt idx="16">
                        <c:v>11.564</c:v>
                      </c:pt>
                      <c:pt idx="17">
                        <c:v>12.087999999999999</c:v>
                      </c:pt>
                      <c:pt idx="18">
                        <c:v>12.856999999999999</c:v>
                      </c:pt>
                      <c:pt idx="19">
                        <c:v>11.532</c:v>
                      </c:pt>
                      <c:pt idx="20">
                        <c:v>11.996</c:v>
                      </c:pt>
                      <c:pt idx="21">
                        <c:v>12.79</c:v>
                      </c:pt>
                      <c:pt idx="22">
                        <c:v>12.444000000000001</c:v>
                      </c:pt>
                      <c:pt idx="23">
                        <c:v>13.747999999999999</c:v>
                      </c:pt>
                      <c:pt idx="24">
                        <c:v>13.837999999999999</c:v>
                      </c:pt>
                      <c:pt idx="25">
                        <c:v>15.564</c:v>
                      </c:pt>
                      <c:pt idx="26">
                        <c:v>16.43</c:v>
                      </c:pt>
                      <c:pt idx="27">
                        <c:v>18.914000000000001</c:v>
                      </c:pt>
                    </c:numCache>
                  </c:numRef>
                </c:val>
                <c:extLst xmlns:c15="http://schemas.microsoft.com/office/drawing/2012/chart">
                  <c:ext xmlns:c16="http://schemas.microsoft.com/office/drawing/2014/chart" uri="{C3380CC4-5D6E-409C-BE32-E72D297353CC}">
                    <c16:uniqueId val="{00000003-FD45-4229-BFCE-DC0ED32FC354}"/>
                  </c:ext>
                </c:extLst>
              </c15:ser>
            </c15:filteredBarSeries>
            <c15:filteredBarSeries>
              <c15:ser>
                <c:idx val="3"/>
                <c:order val="3"/>
                <c:tx>
                  <c:strRef>
                    <c:extLst>
                      <c:ext xmlns:c15="http://schemas.microsoft.com/office/drawing/2012/chart" uri="{02D57815-91ED-43cb-92C2-25804820EDAC}">
                        <c15:formulaRef>
                          <c15:sqref>'Story&amp;Estimates'!$F$155</c15:sqref>
                        </c15:formulaRef>
                      </c:ext>
                    </c:extLst>
                    <c:strCache>
                      <c:ptCount val="1"/>
                      <c:pt idx="0">
                        <c:v>net cap ex</c:v>
                      </c:pt>
                    </c:strCache>
                  </c:strRef>
                </c:tx>
                <c:spPr>
                  <a:solidFill>
                    <a:schemeClr val="accent4"/>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'Story&amp;Estimates'!$F$156:$F$183</c15:sqref>
                        </c15:formulaRef>
                      </c:ext>
                    </c:extLst>
                    <c:numCache>
                      <c:formatCode>_-[$$-409]* #,##0.000_ ;_-[$$-409]* \-#,##0.000\ ;_-[$$-409]* "-"??_ ;_-@_ </c:formatCode>
                      <c:ptCount val="28"/>
                      <c:pt idx="0">
                        <c:v>0</c:v>
                      </c:pt>
                      <c:pt idx="1">
                        <c:v>0</c:v>
                      </c:pt>
                      <c:pt idx="2">
                        <c:v>6.2260000000000009</c:v>
                      </c:pt>
                      <c:pt idx="3">
                        <c:v>3.3499999999999996</c:v>
                      </c:pt>
                      <c:pt idx="4">
                        <c:v>2.9269999999999996</c:v>
                      </c:pt>
                      <c:pt idx="5">
                        <c:v>-4.1240000000000006</c:v>
                      </c:pt>
                      <c:pt idx="6">
                        <c:v>-4.3120000000000003</c:v>
                      </c:pt>
                      <c:pt idx="7">
                        <c:v>-4.3110000000000008</c:v>
                      </c:pt>
                      <c:pt idx="8">
                        <c:v>-1.1979999999999995</c:v>
                      </c:pt>
                      <c:pt idx="9">
                        <c:v>0.52299999999999969</c:v>
                      </c:pt>
                      <c:pt idx="10">
                        <c:v>2.6640000000000006</c:v>
                      </c:pt>
                      <c:pt idx="11">
                        <c:v>1.5599999999999987</c:v>
                      </c:pt>
                      <c:pt idx="12">
                        <c:v>1.4619999999999997</c:v>
                      </c:pt>
                      <c:pt idx="13">
                        <c:v>3.4180000000000001</c:v>
                      </c:pt>
                      <c:pt idx="14">
                        <c:v>2.879999999999999</c:v>
                      </c:pt>
                      <c:pt idx="15">
                        <c:v>8.3869999999999987</c:v>
                      </c:pt>
                      <c:pt idx="16">
                        <c:v>9.4789999999999992</c:v>
                      </c:pt>
                      <c:pt idx="17">
                        <c:v>8.9459999999999997</c:v>
                      </c:pt>
                      <c:pt idx="18">
                        <c:v>4.8060000000000009</c:v>
                      </c:pt>
                      <c:pt idx="19">
                        <c:v>-0.77800000000000047</c:v>
                      </c:pt>
                      <c:pt idx="20">
                        <c:v>12.729000000000001</c:v>
                      </c:pt>
                      <c:pt idx="21">
                        <c:v>-1.5569999999999986</c:v>
                      </c:pt>
                      <c:pt idx="22">
                        <c:v>-2.9160000000000004</c:v>
                      </c:pt>
                      <c:pt idx="23">
                        <c:v>15.718999999999999</c:v>
                      </c:pt>
                      <c:pt idx="24">
                        <c:v>10.731</c:v>
                      </c:pt>
                      <c:pt idx="25">
                        <c:v>2.8200000000000003</c:v>
                      </c:pt>
                      <c:pt idx="26">
                        <c:v>24.167999999999999</c:v>
                      </c:pt>
                      <c:pt idx="27">
                        <c:v>16.417999999999999</c:v>
                      </c:pt>
                    </c:numCache>
                  </c:numRef>
                </c:val>
                <c:extLst xmlns:c15="http://schemas.microsoft.com/office/drawing/2012/chart">
                  <c:ext xmlns:c16="http://schemas.microsoft.com/office/drawing/2014/chart" uri="{C3380CC4-5D6E-409C-BE32-E72D297353CC}">
                    <c16:uniqueId val="{00000004-FD45-4229-BFCE-DC0ED32FC354}"/>
                  </c:ext>
                </c:extLst>
              </c15:ser>
            </c15:filteredBarSeries>
            <c15:filteredBarSeries>
              <c15:ser>
                <c:idx val="4"/>
                <c:order val="4"/>
                <c:tx>
                  <c:strRef>
                    <c:extLst>
                      <c:ext xmlns:c15="http://schemas.microsoft.com/office/drawing/2012/chart" uri="{02D57815-91ED-43cb-92C2-25804820EDAC}">
                        <c15:formulaRef>
                          <c15:sqref>'Story&amp;Estimates'!$G$155</c15:sqref>
                        </c15:formulaRef>
                      </c:ext>
                    </c:extLst>
                    <c:strCache>
                      <c:ptCount val="1"/>
                      <c:pt idx="0">
                        <c:v>account rec</c:v>
                      </c:pt>
                    </c:strCache>
                  </c:strRef>
                </c:tx>
                <c:spPr>
                  <a:solidFill>
                    <a:schemeClr val="accent5"/>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'Story&amp;Estimates'!$G$156:$G$183</c15:sqref>
                        </c15:formulaRef>
                      </c:ext>
                    </c:extLst>
                    <c:numCache>
                      <c:formatCode>_-[$$-409]* #,##0.000_ ;_-[$$-409]* \-#,##0.000\ ;_-[$$-409]* "-"??_ ;_-@_ </c:formatCode>
                      <c:ptCount val="28"/>
                      <c:pt idx="2">
                        <c:v>-1.1319999999999999</c:v>
                      </c:pt>
                      <c:pt idx="3">
                        <c:v>0.58899999999999997</c:v>
                      </c:pt>
                      <c:pt idx="4">
                        <c:v>-1.87</c:v>
                      </c:pt>
                      <c:pt idx="5">
                        <c:v>1.5880000000000001</c:v>
                      </c:pt>
                      <c:pt idx="6">
                        <c:v>3.91</c:v>
                      </c:pt>
                      <c:pt idx="7">
                        <c:v>2.9990000000000001</c:v>
                      </c:pt>
                      <c:pt idx="8">
                        <c:v>-4.5030000000000001</c:v>
                      </c:pt>
                      <c:pt idx="9">
                        <c:v>2.1859999999999999</c:v>
                      </c:pt>
                      <c:pt idx="10">
                        <c:v>-3.6320000000000001</c:v>
                      </c:pt>
                      <c:pt idx="11">
                        <c:v>-6.3650000000000002</c:v>
                      </c:pt>
                      <c:pt idx="12">
                        <c:v>-4.6029999999999998</c:v>
                      </c:pt>
                      <c:pt idx="13">
                        <c:v>-0.59399999999999997</c:v>
                      </c:pt>
                      <c:pt idx="14">
                        <c:v>-4.9770000000000003</c:v>
                      </c:pt>
                      <c:pt idx="15">
                        <c:v>-16.061</c:v>
                      </c:pt>
                      <c:pt idx="16">
                        <c:v>5.0469999999999997</c:v>
                      </c:pt>
                      <c:pt idx="17">
                        <c:v>-10.273</c:v>
                      </c:pt>
                      <c:pt idx="18">
                        <c:v>-2.4350000000000001</c:v>
                      </c:pt>
                      <c:pt idx="19">
                        <c:v>-2.9649999999999999</c:v>
                      </c:pt>
                      <c:pt idx="20">
                        <c:v>-2.2919999999999998</c:v>
                      </c:pt>
                      <c:pt idx="21">
                        <c:v>-9.2050000000000001</c:v>
                      </c:pt>
                      <c:pt idx="22">
                        <c:v>-4.4989999999999997</c:v>
                      </c:pt>
                      <c:pt idx="23">
                        <c:v>-9.7769999999999992</c:v>
                      </c:pt>
                      <c:pt idx="24">
                        <c:v>-10.539</c:v>
                      </c:pt>
                      <c:pt idx="25">
                        <c:v>-11.574</c:v>
                      </c:pt>
                      <c:pt idx="26">
                        <c:v>-28.048999999999999</c:v>
                      </c:pt>
                      <c:pt idx="27">
                        <c:v>16.969000000000001</c:v>
                      </c:pt>
                    </c:numCache>
                  </c:numRef>
                </c:val>
                <c:extLst xmlns:c15="http://schemas.microsoft.com/office/drawing/2012/chart">
                  <c:ext xmlns:c16="http://schemas.microsoft.com/office/drawing/2014/chart" uri="{C3380CC4-5D6E-409C-BE32-E72D297353CC}">
                    <c16:uniqueId val="{00000005-FD45-4229-BFCE-DC0ED32FC354}"/>
                  </c:ext>
                </c:extLst>
              </c15:ser>
            </c15:filteredBarSeries>
            <c15:filteredBarSeries>
              <c15:ser>
                <c:idx val="5"/>
                <c:order val="5"/>
                <c:tx>
                  <c:strRef>
                    <c:extLst>
                      <c:ext xmlns:c15="http://schemas.microsoft.com/office/drawing/2012/chart" uri="{02D57815-91ED-43cb-92C2-25804820EDAC}">
                        <c15:formulaRef>
                          <c15:sqref>'Story&amp;Estimates'!$H$155</c15:sqref>
                        </c15:formulaRef>
                      </c:ext>
                    </c:extLst>
                    <c:strCache>
                      <c:ptCount val="1"/>
                      <c:pt idx="0">
                        <c:v>inventories</c:v>
                      </c:pt>
                    </c:strCache>
                  </c:strRef>
                </c:tx>
                <c:spPr>
                  <a:solidFill>
                    <a:schemeClr val="accent6"/>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'Story&amp;Estimates'!$H$156:$H$183</c15:sqref>
                        </c15:formulaRef>
                      </c:ext>
                    </c:extLst>
                    <c:numCache>
                      <c:formatCode>_-[$$-409]* #,##0.000_ ;_-[$$-409]* \-#,##0.000\ ;_-[$$-409]* "-"??_ ;_-@_ </c:formatCode>
                      <c:ptCount val="28"/>
                      <c:pt idx="2">
                        <c:v>-6.7430000000000003</c:v>
                      </c:pt>
                      <c:pt idx="3">
                        <c:v>-5.0640000000000001</c:v>
                      </c:pt>
                      <c:pt idx="4">
                        <c:v>0.56100000000000005</c:v>
                      </c:pt>
                      <c:pt idx="5">
                        <c:v>3.0230000000000001</c:v>
                      </c:pt>
                      <c:pt idx="6">
                        <c:v>2.4020000000000001</c:v>
                      </c:pt>
                      <c:pt idx="7">
                        <c:v>4.4829999999999997</c:v>
                      </c:pt>
                      <c:pt idx="8">
                        <c:v>-3.7029999999999998</c:v>
                      </c:pt>
                      <c:pt idx="9">
                        <c:v>-1.728</c:v>
                      </c:pt>
                      <c:pt idx="10">
                        <c:v>-1.6879999999999999</c:v>
                      </c:pt>
                      <c:pt idx="11">
                        <c:v>-4.952</c:v>
                      </c:pt>
                      <c:pt idx="12">
                        <c:v>-9.4990000000000006</c:v>
                      </c:pt>
                      <c:pt idx="13">
                        <c:v>0.92200000000000004</c:v>
                      </c:pt>
                      <c:pt idx="14">
                        <c:v>-8.2680000000000007</c:v>
                      </c:pt>
                      <c:pt idx="15">
                        <c:v>-21.196999999999999</c:v>
                      </c:pt>
                      <c:pt idx="16">
                        <c:v>1.29</c:v>
                      </c:pt>
                      <c:pt idx="17">
                        <c:v>3.04</c:v>
                      </c:pt>
                      <c:pt idx="18">
                        <c:v>-5.7039999999999997</c:v>
                      </c:pt>
                      <c:pt idx="19">
                        <c:v>-2.2970000000000002</c:v>
                      </c:pt>
                      <c:pt idx="20">
                        <c:v>-6.3540000000000001</c:v>
                      </c:pt>
                      <c:pt idx="21">
                        <c:v>-2.2080000000000002</c:v>
                      </c:pt>
                      <c:pt idx="22">
                        <c:v>-13.702999999999999</c:v>
                      </c:pt>
                      <c:pt idx="23">
                        <c:v>-9.4550000000000001</c:v>
                      </c:pt>
                      <c:pt idx="24">
                        <c:v>0.08</c:v>
                      </c:pt>
                      <c:pt idx="25">
                        <c:v>-24.154</c:v>
                      </c:pt>
                      <c:pt idx="26">
                        <c:v>-36.978999999999999</c:v>
                      </c:pt>
                      <c:pt idx="27">
                        <c:v>-4.952</c:v>
                      </c:pt>
                    </c:numCache>
                  </c:numRef>
                </c:val>
                <c:extLst xmlns:c15="http://schemas.microsoft.com/office/drawing/2012/chart">
                  <c:ext xmlns:c16="http://schemas.microsoft.com/office/drawing/2014/chart" uri="{C3380CC4-5D6E-409C-BE32-E72D297353CC}">
                    <c16:uniqueId val="{00000006-FD45-4229-BFCE-DC0ED32FC354}"/>
                  </c:ext>
                </c:extLst>
              </c15:ser>
            </c15:filteredBarSeries>
            <c15:filteredBarSeries>
              <c15:ser>
                <c:idx val="6"/>
                <c:order val="6"/>
                <c:tx>
                  <c:strRef>
                    <c:extLst>
                      <c:ext xmlns:c15="http://schemas.microsoft.com/office/drawing/2012/chart" uri="{02D57815-91ED-43cb-92C2-25804820EDAC}">
                        <c15:formulaRef>
                          <c15:sqref>'Story&amp;Estimates'!$I$155</c15:sqref>
                        </c15:formulaRef>
                      </c:ext>
                    </c:extLst>
                    <c:strCache>
                      <c:ptCount val="1"/>
                      <c:pt idx="0">
                        <c:v>prepaid ex</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'Story&amp;Estimates'!$I$156:$I$183</c15:sqref>
                        </c15:formulaRef>
                      </c:ext>
                    </c:extLst>
                    <c:numCache>
                      <c:formatCode>_-[$$-409]* #,##0.000_ ;_-[$$-409]* \-#,##0.000\ ;_-[$$-409]* "-"??_ ;_-@_ </c:formatCode>
                      <c:ptCount val="28"/>
                      <c:pt idx="22">
                        <c:v>-3.7229999999999999</c:v>
                      </c:pt>
                      <c:pt idx="23">
                        <c:v>-0.93200000000000005</c:v>
                      </c:pt>
                      <c:pt idx="24">
                        <c:v>-8.7859999999999996</c:v>
                      </c:pt>
                      <c:pt idx="25">
                        <c:v>-2.9740000000000002</c:v>
                      </c:pt>
                      <c:pt idx="26">
                        <c:v>5.0510000000000002</c:v>
                      </c:pt>
                      <c:pt idx="27">
                        <c:v>5.9610000000000003</c:v>
                      </c:pt>
                    </c:numCache>
                  </c:numRef>
                </c:val>
                <c:extLst xmlns:c15="http://schemas.microsoft.com/office/drawing/2012/chart">
                  <c:ext xmlns:c16="http://schemas.microsoft.com/office/drawing/2014/chart" uri="{C3380CC4-5D6E-409C-BE32-E72D297353CC}">
                    <c16:uniqueId val="{00000007-FD45-4229-BFCE-DC0ED32FC354}"/>
                  </c:ext>
                </c:extLst>
              </c15:ser>
            </c15:filteredBarSeries>
            <c15:filteredBarSeries>
              <c15:ser>
                <c:idx val="7"/>
                <c:order val="7"/>
                <c:tx>
                  <c:strRef>
                    <c:extLst>
                      <c:ext xmlns:c15="http://schemas.microsoft.com/office/drawing/2012/chart" uri="{02D57815-91ED-43cb-92C2-25804820EDAC}">
                        <c15:formulaRef>
                          <c15:sqref>'Story&amp;Estimates'!$J$155</c15:sqref>
                        </c15:formulaRef>
                      </c:ext>
                    </c:extLst>
                    <c:strCache>
                      <c:ptCount val="1"/>
                      <c:pt idx="0">
                        <c:v>trade acc payable </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'Story&amp;Estimates'!$J$156:$J$183</c15:sqref>
                        </c15:formulaRef>
                      </c:ext>
                    </c:extLst>
                    <c:numCache>
                      <c:formatCode>_-[$$-409]* #,##0.000_ ;_-[$$-409]* \-#,##0.000\ ;_-[$$-409]* "-"??_ ;_-@_ </c:formatCode>
                      <c:ptCount val="28"/>
                      <c:pt idx="2">
                        <c:v>-1.329</c:v>
                      </c:pt>
                      <c:pt idx="3">
                        <c:v>0.95899999999999996</c:v>
                      </c:pt>
                      <c:pt idx="4">
                        <c:v>2.681</c:v>
                      </c:pt>
                      <c:pt idx="5">
                        <c:v>0.29699999999999999</c:v>
                      </c:pt>
                      <c:pt idx="6">
                        <c:v>-2.0830000000000002</c:v>
                      </c:pt>
                      <c:pt idx="7">
                        <c:v>-1.294</c:v>
                      </c:pt>
                      <c:pt idx="8">
                        <c:v>3.036</c:v>
                      </c:pt>
                      <c:pt idx="9">
                        <c:v>2.528</c:v>
                      </c:pt>
                      <c:pt idx="10">
                        <c:v>-0.751</c:v>
                      </c:pt>
                      <c:pt idx="11">
                        <c:v>3.6280000000000001</c:v>
                      </c:pt>
                      <c:pt idx="12">
                        <c:v>5.6630000000000003</c:v>
                      </c:pt>
                      <c:pt idx="13">
                        <c:v>3.75</c:v>
                      </c:pt>
                      <c:pt idx="14">
                        <c:v>8.4290000000000003</c:v>
                      </c:pt>
                      <c:pt idx="15">
                        <c:v>8.5739999999999998</c:v>
                      </c:pt>
                      <c:pt idx="16">
                        <c:v>-3.1960000000000002</c:v>
                      </c:pt>
                      <c:pt idx="17">
                        <c:v>-3.9060000000000001</c:v>
                      </c:pt>
                      <c:pt idx="18">
                        <c:v>6.7160000000000002</c:v>
                      </c:pt>
                      <c:pt idx="19">
                        <c:v>5.6520000000000001</c:v>
                      </c:pt>
                      <c:pt idx="20">
                        <c:v>3.2789999999999999</c:v>
                      </c:pt>
                      <c:pt idx="21">
                        <c:v>4.7350000000000003</c:v>
                      </c:pt>
                      <c:pt idx="22">
                        <c:v>3.048</c:v>
                      </c:pt>
                      <c:pt idx="23">
                        <c:v>6.0869999999999997</c:v>
                      </c:pt>
                      <c:pt idx="24">
                        <c:v>6.952</c:v>
                      </c:pt>
                      <c:pt idx="25">
                        <c:v>11.558</c:v>
                      </c:pt>
                      <c:pt idx="26">
                        <c:v>6.7069999999999999</c:v>
                      </c:pt>
                      <c:pt idx="27">
                        <c:v>2.302</c:v>
                      </c:pt>
                    </c:numCache>
                  </c:numRef>
                </c:val>
                <c:extLst xmlns:c15="http://schemas.microsoft.com/office/drawing/2012/chart">
                  <c:ext xmlns:c16="http://schemas.microsoft.com/office/drawing/2014/chart" uri="{C3380CC4-5D6E-409C-BE32-E72D297353CC}">
                    <c16:uniqueId val="{00000008-FD45-4229-BFCE-DC0ED32FC354}"/>
                  </c:ext>
                </c:extLst>
              </c15:ser>
            </c15:filteredBarSeries>
            <c15:filteredBarSeries>
              <c15:ser>
                <c:idx val="8"/>
                <c:order val="8"/>
                <c:tx>
                  <c:strRef>
                    <c:extLst>
                      <c:ext xmlns:c15="http://schemas.microsoft.com/office/drawing/2012/chart" uri="{02D57815-91ED-43cb-92C2-25804820EDAC}">
                        <c15:formulaRef>
                          <c15:sqref>'Story&amp;Estimates'!$K$155</c15:sqref>
                        </c15:formulaRef>
                      </c:ext>
                    </c:extLst>
                    <c:strCache>
                      <c:ptCount val="1"/>
                      <c:pt idx="0">
                        <c:v>income taxes</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'Story&amp;Estimates'!$K$156:$K$183</c15:sqref>
                        </c15:formulaRef>
                      </c:ext>
                    </c:extLst>
                    <c:numCache>
                      <c:formatCode>_-[$$-409]* #,##0.000_ ;_-[$$-409]* \-#,##0.000\ ;_-[$$-409]* "-"??_ ;_-@_ </c:formatCode>
                      <c:ptCount val="28"/>
                      <c:pt idx="2">
                        <c:v>1.9590000000000001</c:v>
                      </c:pt>
                      <c:pt idx="3">
                        <c:v>0.16600000000000001</c:v>
                      </c:pt>
                      <c:pt idx="4">
                        <c:v>0.30399999999999999</c:v>
                      </c:pt>
                      <c:pt idx="5">
                        <c:v>-2.9460000000000002</c:v>
                      </c:pt>
                      <c:pt idx="6">
                        <c:v>0.307</c:v>
                      </c:pt>
                      <c:pt idx="7">
                        <c:v>2.8140000000000001</c:v>
                      </c:pt>
                      <c:pt idx="8">
                        <c:v>-1.597</c:v>
                      </c:pt>
                      <c:pt idx="9">
                        <c:v>-0.19700000000000001</c:v>
                      </c:pt>
                      <c:pt idx="10">
                        <c:v>0.93600000000000005</c:v>
                      </c:pt>
                      <c:pt idx="11">
                        <c:v>-0.58499999999999996</c:v>
                      </c:pt>
                      <c:pt idx="12">
                        <c:v>-2.2509999999999999</c:v>
                      </c:pt>
                      <c:pt idx="13">
                        <c:v>0.78100000000000003</c:v>
                      </c:pt>
                      <c:pt idx="14">
                        <c:v>0.38300000000000001</c:v>
                      </c:pt>
                      <c:pt idx="15">
                        <c:v>-0.81499999999999995</c:v>
                      </c:pt>
                      <c:pt idx="16">
                        <c:v>3.3809999999999998</c:v>
                      </c:pt>
                      <c:pt idx="17">
                        <c:v>-4.67</c:v>
                      </c:pt>
                      <c:pt idx="18">
                        <c:v>-0.88200000000000001</c:v>
                      </c:pt>
                      <c:pt idx="19">
                        <c:v>-4.0380000000000003</c:v>
                      </c:pt>
                      <c:pt idx="20">
                        <c:v>-4.9989999999999997</c:v>
                      </c:pt>
                      <c:pt idx="21">
                        <c:v>7.1340000000000003</c:v>
                      </c:pt>
                      <c:pt idx="22">
                        <c:v>-1.8959999999999999</c:v>
                      </c:pt>
                      <c:pt idx="23">
                        <c:v>0.63400000000000001</c:v>
                      </c:pt>
                      <c:pt idx="24">
                        <c:v>3.47</c:v>
                      </c:pt>
                      <c:pt idx="25">
                        <c:v>-4.3319999999999999</c:v>
                      </c:pt>
                      <c:pt idx="26">
                        <c:v>2.0049999999999999</c:v>
                      </c:pt>
                      <c:pt idx="27">
                        <c:v>-0.93700000000000006</c:v>
                      </c:pt>
                    </c:numCache>
                  </c:numRef>
                </c:val>
                <c:extLst xmlns:c15="http://schemas.microsoft.com/office/drawing/2012/chart">
                  <c:ext xmlns:c16="http://schemas.microsoft.com/office/drawing/2014/chart" uri="{C3380CC4-5D6E-409C-BE32-E72D297353CC}">
                    <c16:uniqueId val="{00000009-FD45-4229-BFCE-DC0ED32FC354}"/>
                  </c:ext>
                </c:extLst>
              </c15:ser>
            </c15:filteredBarSeries>
            <c15:filteredBarSeries>
              <c15:ser>
                <c:idx val="9"/>
                <c:order val="9"/>
                <c:tx>
                  <c:strRef>
                    <c:extLst>
                      <c:ext xmlns:c15="http://schemas.microsoft.com/office/drawing/2012/chart" uri="{02D57815-91ED-43cb-92C2-25804820EDAC}">
                        <c15:formulaRef>
                          <c15:sqref>'Story&amp;Estimates'!$L$155</c15:sqref>
                        </c15:formulaRef>
                      </c:ext>
                    </c:extLst>
                    <c:strCache>
                      <c:ptCount val="1"/>
                      <c:pt idx="0">
                        <c:v>pension</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'Story&amp;Estimates'!$L$156:$L$183</c15:sqref>
                        </c15:formulaRef>
                      </c:ext>
                    </c:extLst>
                    <c:numCache>
                      <c:formatCode>_-[$$-409]* #,##0.000_ ;_-[$$-409]* \-#,##0.000\ ;_-[$$-409]* "-"??_ ;_-@_ </c:formatCode>
                      <c:ptCount val="28"/>
                      <c:pt idx="22">
                        <c:v>-5.34</c:v>
                      </c:pt>
                      <c:pt idx="23">
                        <c:v>0</c:v>
                      </c:pt>
                      <c:pt idx="24">
                        <c:v>-0.33</c:v>
                      </c:pt>
                      <c:pt idx="25">
                        <c:v>0</c:v>
                      </c:pt>
                      <c:pt idx="26">
                        <c:v>-2.1320000000000001</c:v>
                      </c:pt>
                      <c:pt idx="27">
                        <c:v>-1.5</c:v>
                      </c:pt>
                    </c:numCache>
                  </c:numRef>
                </c:val>
                <c:extLst xmlns:c15="http://schemas.microsoft.com/office/drawing/2012/chart">
                  <c:ext xmlns:c16="http://schemas.microsoft.com/office/drawing/2014/chart" uri="{C3380CC4-5D6E-409C-BE32-E72D297353CC}">
                    <c16:uniqueId val="{0000000A-FD45-4229-BFCE-DC0ED32FC354}"/>
                  </c:ext>
                </c:extLst>
              </c15:ser>
            </c15:filteredBarSeries>
            <c15:filteredBarSeries>
              <c15:ser>
                <c:idx val="10"/>
                <c:order val="10"/>
                <c:tx>
                  <c:strRef>
                    <c:extLst>
                      <c:ext xmlns:c15="http://schemas.microsoft.com/office/drawing/2012/chart" uri="{02D57815-91ED-43cb-92C2-25804820EDAC}">
                        <c15:formulaRef>
                          <c15:sqref>'Story&amp;Estimates'!$M$155</c15:sqref>
                        </c15:formulaRef>
                      </c:ext>
                    </c:extLst>
                    <c:strCache>
                      <c:ptCount val="1"/>
                      <c:pt idx="0">
                        <c:v>other</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'Story&amp;Estimates'!$M$156:$M$183</c15:sqref>
                        </c15:formulaRef>
                      </c:ext>
                    </c:extLst>
                    <c:numCache>
                      <c:formatCode>_-[$$-409]* #,##0.000_ ;_-[$$-409]* \-#,##0.000\ ;_-[$$-409]* "-"??_ ;_-@_ </c:formatCode>
                      <c:ptCount val="28"/>
                      <c:pt idx="2">
                        <c:v>0.72</c:v>
                      </c:pt>
                      <c:pt idx="3">
                        <c:v>-2.004</c:v>
                      </c:pt>
                      <c:pt idx="4">
                        <c:v>5.7000000000000002E-2</c:v>
                      </c:pt>
                      <c:pt idx="5">
                        <c:v>-2.0590000000000002</c:v>
                      </c:pt>
                      <c:pt idx="6">
                        <c:v>1.206</c:v>
                      </c:pt>
                      <c:pt idx="7">
                        <c:v>3.4000000000000002E-2</c:v>
                      </c:pt>
                      <c:pt idx="8">
                        <c:v>0.23200000000000001</c:v>
                      </c:pt>
                      <c:pt idx="9">
                        <c:v>-0.29299999999999998</c:v>
                      </c:pt>
                      <c:pt idx="10">
                        <c:v>-0.28899999999999998</c:v>
                      </c:pt>
                      <c:pt idx="11">
                        <c:v>-0.624</c:v>
                      </c:pt>
                      <c:pt idx="12">
                        <c:v>1.048</c:v>
                      </c:pt>
                      <c:pt idx="13">
                        <c:v>-1.581</c:v>
                      </c:pt>
                      <c:pt idx="14">
                        <c:v>-2.327</c:v>
                      </c:pt>
                      <c:pt idx="15">
                        <c:v>0.18</c:v>
                      </c:pt>
                      <c:pt idx="16">
                        <c:v>0.2</c:v>
                      </c:pt>
                      <c:pt idx="17">
                        <c:v>-1.2470000000000001</c:v>
                      </c:pt>
                      <c:pt idx="18">
                        <c:v>-1.5009999999999999</c:v>
                      </c:pt>
                      <c:pt idx="19">
                        <c:v>2.4780000000000002</c:v>
                      </c:pt>
                      <c:pt idx="20">
                        <c:v>3.5000000000000003E-2</c:v>
                      </c:pt>
                      <c:pt idx="21">
                        <c:v>-0.30099999999999999</c:v>
                      </c:pt>
                      <c:pt idx="22">
                        <c:v>1.87</c:v>
                      </c:pt>
                      <c:pt idx="23">
                        <c:v>-3.2629999999999999</c:v>
                      </c:pt>
                      <c:pt idx="24">
                        <c:v>1.2849999999999999</c:v>
                      </c:pt>
                      <c:pt idx="25">
                        <c:v>-3.335</c:v>
                      </c:pt>
                      <c:pt idx="26">
                        <c:v>-0.247</c:v>
                      </c:pt>
                      <c:pt idx="27">
                        <c:v>-4.6470000000000002</c:v>
                      </c:pt>
                    </c:numCache>
                  </c:numRef>
                </c:val>
                <c:extLst xmlns:c15="http://schemas.microsoft.com/office/drawing/2012/chart">
                  <c:ext xmlns:c16="http://schemas.microsoft.com/office/drawing/2014/chart" uri="{C3380CC4-5D6E-409C-BE32-E72D297353CC}">
                    <c16:uniqueId val="{0000000B-FD45-4229-BFCE-DC0ED32FC354}"/>
                  </c:ext>
                </c:extLst>
              </c15:ser>
            </c15:filteredBarSeries>
            <c15:filteredBarSeries>
              <c15:ser>
                <c:idx val="11"/>
                <c:order val="11"/>
                <c:tx>
                  <c:strRef>
                    <c:extLst>
                      <c:ext xmlns:c15="http://schemas.microsoft.com/office/drawing/2012/chart" uri="{02D57815-91ED-43cb-92C2-25804820EDAC}">
                        <c15:formulaRef>
                          <c15:sqref>'Story&amp;Estimates'!$N$155</c15:sqref>
                        </c15:formulaRef>
                      </c:ext>
                    </c:extLst>
                    <c:strCache>
                      <c:ptCount val="1"/>
                      <c:pt idx="0">
                        <c:v>chg in non cash wc</c:v>
                      </c:pt>
                    </c:strCache>
                  </c:strRef>
                </c:tx>
                <c:spPr>
                  <a:solidFill>
                    <a:schemeClr val="accent6">
                      <a:lumMod val="6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'Story&amp;Estimates'!$N$156:$N$183</c15:sqref>
                        </c15:formulaRef>
                      </c:ext>
                    </c:extLst>
                    <c:numCache>
                      <c:formatCode>_-[$$-409]* #,##0.000_ ;_-[$$-409]* \-#,##0.000\ ;_-[$$-409]* "-"??_ ;_-@_ </c:formatCode>
                      <c:ptCount val="28"/>
                      <c:pt idx="0">
                        <c:v>0</c:v>
                      </c:pt>
                      <c:pt idx="1">
                        <c:v>0</c:v>
                      </c:pt>
                      <c:pt idx="2">
                        <c:v>-6.5250000000000012</c:v>
                      </c:pt>
                      <c:pt idx="3">
                        <c:v>-5.3539999999999992</c:v>
                      </c:pt>
                      <c:pt idx="4">
                        <c:v>1.7329999999999999</c:v>
                      </c:pt>
                      <c:pt idx="5">
                        <c:v>-9.6999999999999975E-2</c:v>
                      </c:pt>
                      <c:pt idx="6">
                        <c:v>5.7420000000000009</c:v>
                      </c:pt>
                      <c:pt idx="7">
                        <c:v>9.0359999999999996</c:v>
                      </c:pt>
                      <c:pt idx="8">
                        <c:v>-6.5349999999999993</c:v>
                      </c:pt>
                      <c:pt idx="9">
                        <c:v>2.4959999999999996</c:v>
                      </c:pt>
                      <c:pt idx="10">
                        <c:v>-5.4240000000000004</c:v>
                      </c:pt>
                      <c:pt idx="11">
                        <c:v>-8.8980000000000015</c:v>
                      </c:pt>
                      <c:pt idx="12">
                        <c:v>-9.6419999999999995</c:v>
                      </c:pt>
                      <c:pt idx="13">
                        <c:v>3.278</c:v>
                      </c:pt>
                      <c:pt idx="14">
                        <c:v>-6.7600000000000007</c:v>
                      </c:pt>
                      <c:pt idx="15">
                        <c:v>-29.318999999999999</c:v>
                      </c:pt>
                      <c:pt idx="16">
                        <c:v>6.7219999999999995</c:v>
                      </c:pt>
                      <c:pt idx="17">
                        <c:v>-17.056000000000001</c:v>
                      </c:pt>
                      <c:pt idx="18">
                        <c:v>-3.8059999999999992</c:v>
                      </c:pt>
                      <c:pt idx="19">
                        <c:v>-1.1700000000000004</c:v>
                      </c:pt>
                      <c:pt idx="20">
                        <c:v>-10.331</c:v>
                      </c:pt>
                      <c:pt idx="21">
                        <c:v>0.15500000000000042</c:v>
                      </c:pt>
                      <c:pt idx="22">
                        <c:v>-24.242999999999995</c:v>
                      </c:pt>
                      <c:pt idx="23">
                        <c:v>-16.705999999999996</c:v>
                      </c:pt>
                      <c:pt idx="24">
                        <c:v>-7.8679999999999968</c:v>
                      </c:pt>
                      <c:pt idx="25">
                        <c:v>-34.811</c:v>
                      </c:pt>
                      <c:pt idx="26">
                        <c:v>-53.149999999999984</c:v>
                      </c:pt>
                      <c:pt idx="27">
                        <c:v>13.196</c:v>
                      </c:pt>
                    </c:numCache>
                  </c:numRef>
                </c:val>
                <c:extLst xmlns:c15="http://schemas.microsoft.com/office/drawing/2012/chart">
                  <c:ext xmlns:c16="http://schemas.microsoft.com/office/drawing/2014/chart" uri="{C3380CC4-5D6E-409C-BE32-E72D297353CC}">
                    <c16:uniqueId val="{00000000-FD45-4229-BFCE-DC0ED32FC354}"/>
                  </c:ext>
                </c:extLst>
              </c15:ser>
            </c15:filteredBarSeries>
            <c15:filteredBarSeries>
              <c15:ser>
                <c:idx val="13"/>
                <c:order val="13"/>
                <c:tx>
                  <c:strRef>
                    <c:extLst>
                      <c:ext xmlns:c15="http://schemas.microsoft.com/office/drawing/2012/chart" uri="{02D57815-91ED-43cb-92C2-25804820EDAC}">
                        <c15:formulaRef>
                          <c15:sqref>'Story&amp;Estimates'!$P$155</c15:sqref>
                        </c15:formulaRef>
                      </c:ext>
                    </c:extLst>
                    <c:strCache>
                      <c:ptCount val="1"/>
                      <c:pt idx="0">
                        <c:v>reinvestment</c:v>
                      </c:pt>
                    </c:strCache>
                  </c:strRef>
                </c:tx>
                <c:spPr>
                  <a:solidFill>
                    <a:schemeClr val="accent2">
                      <a:lumMod val="80000"/>
                      <a:lumOff val="2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'Story&amp;Estimates'!$P$156:$P$183</c15:sqref>
                        </c15:formulaRef>
                      </c:ext>
                    </c:extLst>
                    <c:numCache>
                      <c:formatCode>_-[$$-409]* #,##0.000_ ;_-[$$-409]* \-#,##0.000\ ;_-[$$-409]* "-"??_ ;_-@_ </c:formatCode>
                      <c:ptCount val="28"/>
                      <c:pt idx="0">
                        <c:v>0</c:v>
                      </c:pt>
                      <c:pt idx="1">
                        <c:v>0</c:v>
                      </c:pt>
                      <c:pt idx="2">
                        <c:v>-0.29900000000000038</c:v>
                      </c:pt>
                      <c:pt idx="3">
                        <c:v>-2.0039999999999996</c:v>
                      </c:pt>
                      <c:pt idx="4">
                        <c:v>4.6599999999999993</c:v>
                      </c:pt>
                      <c:pt idx="5">
                        <c:v>-4.2210000000000001</c:v>
                      </c:pt>
                      <c:pt idx="6">
                        <c:v>1.4300000000000006</c:v>
                      </c:pt>
                      <c:pt idx="7">
                        <c:v>4.7249999999999988</c:v>
                      </c:pt>
                      <c:pt idx="8">
                        <c:v>-7.7329999999999988</c:v>
                      </c:pt>
                      <c:pt idx="9">
                        <c:v>3.0189999999999992</c:v>
                      </c:pt>
                      <c:pt idx="10">
                        <c:v>-2.76</c:v>
                      </c:pt>
                      <c:pt idx="11">
                        <c:v>-7.3380000000000027</c:v>
                      </c:pt>
                      <c:pt idx="12">
                        <c:v>-8.18</c:v>
                      </c:pt>
                      <c:pt idx="13">
                        <c:v>6.6959999999999997</c:v>
                      </c:pt>
                      <c:pt idx="14">
                        <c:v>-3.8800000000000017</c:v>
                      </c:pt>
                      <c:pt idx="15">
                        <c:v>-20.932000000000002</c:v>
                      </c:pt>
                      <c:pt idx="16">
                        <c:v>16.201000000000001</c:v>
                      </c:pt>
                      <c:pt idx="17">
                        <c:v>-8.1100000000000012</c:v>
                      </c:pt>
                      <c:pt idx="18">
                        <c:v>1.0000000000000018</c:v>
                      </c:pt>
                      <c:pt idx="19">
                        <c:v>-1.9480000000000008</c:v>
                      </c:pt>
                      <c:pt idx="20">
                        <c:v>2.3980000000000015</c:v>
                      </c:pt>
                      <c:pt idx="21">
                        <c:v>-1.4019999999999981</c:v>
                      </c:pt>
                      <c:pt idx="22">
                        <c:v>-27.158999999999995</c:v>
                      </c:pt>
                      <c:pt idx="23">
                        <c:v>-0.98699999999999655</c:v>
                      </c:pt>
                      <c:pt idx="24">
                        <c:v>2.8630000000000031</c:v>
                      </c:pt>
                      <c:pt idx="25">
                        <c:v>-31.991</c:v>
                      </c:pt>
                      <c:pt idx="26">
                        <c:v>-28.981999999999985</c:v>
                      </c:pt>
                      <c:pt idx="27">
                        <c:v>29.613999999999997</c:v>
                      </c:pt>
                    </c:numCache>
                  </c:numRef>
                </c:val>
                <c:extLst xmlns:c15="http://schemas.microsoft.com/office/drawing/2012/chart">
                  <c:ext xmlns:c16="http://schemas.microsoft.com/office/drawing/2014/chart" uri="{C3380CC4-5D6E-409C-BE32-E72D297353CC}">
                    <c16:uniqueId val="{0000000D-FD45-4229-BFCE-DC0ED32FC354}"/>
                  </c:ext>
                </c:extLst>
              </c15:ser>
            </c15:filteredBarSeries>
            <c15:filteredBarSeries>
              <c15:ser>
                <c:idx val="14"/>
                <c:order val="14"/>
                <c:tx>
                  <c:strRef>
                    <c:extLst>
                      <c:ext xmlns:c15="http://schemas.microsoft.com/office/drawing/2012/chart" uri="{02D57815-91ED-43cb-92C2-25804820EDAC}">
                        <c15:formulaRef>
                          <c15:sqref>'Story&amp;Estimates'!$Q$155</c15:sqref>
                        </c15:formulaRef>
                      </c:ext>
                    </c:extLst>
                    <c:strCache>
                      <c:ptCount val="1"/>
                      <c:pt idx="0">
                        <c:v>operating inc</c:v>
                      </c:pt>
                    </c:strCache>
                  </c:strRef>
                </c:tx>
                <c:spPr>
                  <a:solidFill>
                    <a:schemeClr val="accent3">
                      <a:lumMod val="80000"/>
                      <a:lumOff val="2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'Story&amp;Estimates'!$Q$156:$Q$183</c15:sqref>
                        </c15:formulaRef>
                      </c:ext>
                    </c:extLst>
                    <c:numCache>
                      <c:formatCode>General</c:formatCode>
                      <c:ptCount val="28"/>
                      <c:pt idx="13" formatCode="_-[$$-409]* #,##0.00_ ;_-[$$-409]* \-#,##0.00\ ;_-[$$-409]* &quot;-&quot;??_ ;_-@_ ">
                        <c:v>19.46</c:v>
                      </c:pt>
                      <c:pt idx="14" formatCode="_-[$$-409]* #,##0.00_ ;_-[$$-409]* \-#,##0.00\ ;_-[$$-409]* &quot;-&quot;??_ ;_-@_ ">
                        <c:v>28.48</c:v>
                      </c:pt>
                      <c:pt idx="15" formatCode="_-[$$-409]* #,##0.00_ ;_-[$$-409]* \-#,##0.00\ ;_-[$$-409]* &quot;-&quot;??_ ;_-@_ ">
                        <c:v>45.353999999999999</c:v>
                      </c:pt>
                      <c:pt idx="16" formatCode="_-[$$-409]* #,##0.00_ ;_-[$$-409]* \-#,##0.00\ ;_-[$$-409]* &quot;-&quot;??_ ;_-@_ ">
                        <c:v>44.122</c:v>
                      </c:pt>
                      <c:pt idx="17" formatCode="_-[$$-409]* #,##0.00_ ;_-[$$-409]* \-#,##0.00\ ;_-[$$-409]* &quot;-&quot;??_ ;_-@_ ">
                        <c:v>31.148</c:v>
                      </c:pt>
                      <c:pt idx="18" formatCode="_-[$$-409]* #,##0.00_ ;_-[$$-409]* \-#,##0.00\ ;_-[$$-409]* &quot;-&quot;??_ ;_-@_ ">
                        <c:v>21.238</c:v>
                      </c:pt>
                      <c:pt idx="19" formatCode="_-[$$-409]* #,##0.00_ ;_-[$$-409]* \-#,##0.00\ ;_-[$$-409]* &quot;-&quot;??_ ;_-@_ ">
                        <c:v>12.349</c:v>
                      </c:pt>
                      <c:pt idx="20" formatCode="_-[$$-409]* #,##0.00_ ;_-[$$-409]* \-#,##0.00\ ;_-[$$-409]* &quot;-&quot;??_ ;_-@_ ">
                        <c:v>21.478999999999999</c:v>
                      </c:pt>
                      <c:pt idx="21" formatCode="_-[$$-409]* #,##0.00_ ;_-[$$-409]* \-#,##0.00\ ;_-[$$-409]* &quot;-&quot;??_ ;_-@_ ">
                        <c:v>26.108000000000001</c:v>
                      </c:pt>
                      <c:pt idx="22" formatCode="_-[$$-409]* #,##0.00_ ;_-[$$-409]* \-#,##0.00\ ;_-[$$-409]* &quot;-&quot;??_ ;_-@_ ">
                        <c:v>32.933999999999997</c:v>
                      </c:pt>
                      <c:pt idx="23" formatCode="_-[$$-409]* #,##0.00_ ;_-[$$-409]* \-#,##0.00\ ;_-[$$-409]* &quot;-&quot;??_ ;_-@_ ">
                        <c:v>32.627000000000002</c:v>
                      </c:pt>
                      <c:pt idx="24" formatCode="_-[$$-409]* #,##0.00_ ;_-[$$-409]* \-#,##0.00\ ;_-[$$-409]* &quot;-&quot;??_ ;_-@_ ">
                        <c:v>40.207000000000001</c:v>
                      </c:pt>
                      <c:pt idx="25" formatCode="_-[$$-409]* #,##0.00_ ;_-[$$-409]* \-#,##0.00\ ;_-[$$-409]* &quot;-&quot;??_ ;_-@_ ">
                        <c:v>47.548999999999999</c:v>
                      </c:pt>
                      <c:pt idx="26" formatCode="_-[$$-409]* #,##0.00_ ;_-[$$-409]* \-#,##0.00\ ;_-[$$-409]* &quot;-&quot;??_ ;_-@_ ">
                        <c:v>69.361000000000004</c:v>
                      </c:pt>
                      <c:pt idx="27" formatCode="_-[$$-409]* #,##0.00_ ;_-[$$-409]* \-#,##0.00\ ;_-[$$-409]* &quot;-&quot;??_ ;_-@_ ">
                        <c:v>84.153999999999996</c:v>
                      </c:pt>
                    </c:numCache>
                  </c:numRef>
                </c:val>
                <c:extLst xmlns:c15="http://schemas.microsoft.com/office/drawing/2012/chart">
                  <c:ext xmlns:c16="http://schemas.microsoft.com/office/drawing/2014/chart" uri="{C3380CC4-5D6E-409C-BE32-E72D297353CC}">
                    <c16:uniqueId val="{0000000E-FD45-4229-BFCE-DC0ED32FC354}"/>
                  </c:ext>
                </c:extLst>
              </c15:ser>
            </c15:filteredBarSeries>
            <c15:filteredBarSeries>
              <c15:ser>
                <c:idx val="15"/>
                <c:order val="15"/>
                <c:tx>
                  <c:strRef>
                    <c:extLst>
                      <c:ext xmlns:c15="http://schemas.microsoft.com/office/drawing/2012/chart" uri="{02D57815-91ED-43cb-92C2-25804820EDAC}">
                        <c15:formulaRef>
                          <c15:sqref>'Story&amp;Estimates'!$R$155</c15:sqref>
                        </c15:formulaRef>
                      </c:ext>
                    </c:extLst>
                    <c:strCache>
                      <c:ptCount val="1"/>
                      <c:pt idx="0">
                        <c:v>re rate</c:v>
                      </c:pt>
                    </c:strCache>
                  </c:strRef>
                </c:tx>
                <c:spPr>
                  <a:solidFill>
                    <a:schemeClr val="accent4">
                      <a:lumMod val="80000"/>
                      <a:lumOff val="20000"/>
                    </a:schemeClr>
                  </a:solidFill>
                  <a:ln>
                    <a:noFill/>
                  </a:ln>
                  <a:effectLst/>
                </c:spPr>
                <c:invertIfNegative val="0"/>
                <c:cat>
                  <c:numRef>
                    <c:extLst>
                      <c:ext xmlns:c15="http://schemas.microsoft.com/office/drawing/2012/chart" uri="{02D57815-91ED-43cb-92C2-25804820EDAC}">
                        <c15:formulaRef>
                          <c15:sqref>'Story&amp;Estimates'!$B$156:$B$183</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'Story&amp;Estimates'!$R$156:$R$183</c15:sqref>
                        </c15:formulaRef>
                      </c:ext>
                    </c:extLst>
                    <c:numCache>
                      <c:formatCode>General</c:formatCode>
                      <c:ptCount val="28"/>
                      <c:pt idx="13" formatCode="0.00%">
                        <c:v>0.34409044193216853</c:v>
                      </c:pt>
                      <c:pt idx="14" formatCode="0.00%">
                        <c:v>-0.13623595505617983</c:v>
                      </c:pt>
                      <c:pt idx="15" formatCode="0.00%">
                        <c:v>-0.4615248930634564</c:v>
                      </c:pt>
                      <c:pt idx="16" formatCode="0.00%">
                        <c:v>0.367186437604823</c:v>
                      </c:pt>
                      <c:pt idx="17" formatCode="0.00%">
                        <c:v>-0.26036984718119949</c:v>
                      </c:pt>
                      <c:pt idx="18" formatCode="0.00%">
                        <c:v>4.7085412939071564E-2</c:v>
                      </c:pt>
                      <c:pt idx="19" formatCode="0.00%">
                        <c:v>-0.15774556644262699</c:v>
                      </c:pt>
                      <c:pt idx="20" formatCode="0.00%">
                        <c:v>0.1116439312817171</c:v>
                      </c:pt>
                      <c:pt idx="21" formatCode="0.00%">
                        <c:v>-5.3700015320974341E-2</c:v>
                      </c:pt>
                      <c:pt idx="22" formatCode="0.00%">
                        <c:v>-0.82464929859719427</c:v>
                      </c:pt>
                      <c:pt idx="23" formatCode="0.00%">
                        <c:v>-3.0251019094614782E-2</c:v>
                      </c:pt>
                      <c:pt idx="24" formatCode="0.00%">
                        <c:v>7.1206506329743652E-2</c:v>
                      </c:pt>
                      <c:pt idx="25" formatCode="0.00%">
                        <c:v>-0.67280068981471741</c:v>
                      </c:pt>
                      <c:pt idx="26" formatCode="0.00%">
                        <c:v>-0.41784288000461328</c:v>
                      </c:pt>
                      <c:pt idx="27" formatCode="0.00%">
                        <c:v>0.35190246452931528</c:v>
                      </c:pt>
                    </c:numCache>
                  </c:numRef>
                </c:val>
                <c:extLst xmlns:c15="http://schemas.microsoft.com/office/drawing/2012/chart">
                  <c:ext xmlns:c16="http://schemas.microsoft.com/office/drawing/2014/chart" uri="{C3380CC4-5D6E-409C-BE32-E72D297353CC}">
                    <c16:uniqueId val="{0000000F-FD45-4229-BFCE-DC0ED32FC354}"/>
                  </c:ext>
                </c:extLst>
              </c15:ser>
            </c15:filteredBarSeries>
          </c:ext>
        </c:extLst>
      </c:barChart>
      <c:catAx>
        <c:axId val="155124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3727"/>
        <c:crosses val="autoZero"/>
        <c:auto val="1"/>
        <c:lblAlgn val="ctr"/>
        <c:lblOffset val="100"/>
        <c:noMultiLvlLbl val="0"/>
      </c:catAx>
      <c:valAx>
        <c:axId val="15512437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1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analysis!$C$99</c:f>
              <c:strCache>
                <c:ptCount val="1"/>
                <c:pt idx="0">
                  <c:v>net income</c:v>
                </c:pt>
              </c:strCache>
            </c:strRef>
          </c:tx>
          <c:spPr>
            <a:solidFill>
              <a:srgbClr val="00B05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6-D3C3-41F1-8B64-1127427137CE}"/>
              </c:ext>
            </c:extLst>
          </c:dPt>
          <c:dPt>
            <c:idx val="2"/>
            <c:invertIfNegative val="0"/>
            <c:bubble3D val="0"/>
            <c:spPr>
              <a:solidFill>
                <a:srgbClr val="FF0000"/>
              </a:solidFill>
              <a:ln>
                <a:noFill/>
              </a:ln>
              <a:effectLst/>
            </c:spPr>
            <c:extLst>
              <c:ext xmlns:c16="http://schemas.microsoft.com/office/drawing/2014/chart" uri="{C3380CC4-5D6E-409C-BE32-E72D297353CC}">
                <c16:uniqueId val="{00000007-D3C3-41F1-8B64-1127427137CE}"/>
              </c:ext>
            </c:extLst>
          </c:dPt>
          <c:dPt>
            <c:idx val="5"/>
            <c:invertIfNegative val="0"/>
            <c:bubble3D val="0"/>
            <c:spPr>
              <a:solidFill>
                <a:srgbClr val="FF0000"/>
              </a:solidFill>
              <a:ln>
                <a:noFill/>
              </a:ln>
              <a:effectLst/>
            </c:spPr>
            <c:extLst>
              <c:ext xmlns:c16="http://schemas.microsoft.com/office/drawing/2014/chart" uri="{C3380CC4-5D6E-409C-BE32-E72D297353CC}">
                <c16:uniqueId val="{00000005-D3C3-41F1-8B64-1127427137CE}"/>
              </c:ext>
            </c:extLst>
          </c:dPt>
          <c:dPt>
            <c:idx val="9"/>
            <c:invertIfNegative val="0"/>
            <c:bubble3D val="0"/>
            <c:spPr>
              <a:solidFill>
                <a:srgbClr val="FF0000"/>
              </a:solidFill>
              <a:ln>
                <a:noFill/>
              </a:ln>
              <a:effectLst/>
            </c:spPr>
            <c:extLst>
              <c:ext xmlns:c16="http://schemas.microsoft.com/office/drawing/2014/chart" uri="{C3380CC4-5D6E-409C-BE32-E72D297353CC}">
                <c16:uniqueId val="{00000004-D3C3-41F1-8B64-1127427137CE}"/>
              </c:ext>
            </c:extLst>
          </c:dPt>
          <c:dPt>
            <c:idx val="12"/>
            <c:invertIfNegative val="0"/>
            <c:bubble3D val="0"/>
            <c:spPr>
              <a:solidFill>
                <a:srgbClr val="FF0000"/>
              </a:solidFill>
              <a:ln>
                <a:noFill/>
              </a:ln>
              <a:effectLst/>
            </c:spPr>
            <c:extLst>
              <c:ext xmlns:c16="http://schemas.microsoft.com/office/drawing/2014/chart" uri="{C3380CC4-5D6E-409C-BE32-E72D297353CC}">
                <c16:uniqueId val="{00000002-D3C3-41F1-8B64-1127427137CE}"/>
              </c:ext>
            </c:extLst>
          </c:dPt>
          <c:dPt>
            <c:idx val="15"/>
            <c:invertIfNegative val="0"/>
            <c:bubble3D val="0"/>
            <c:spPr>
              <a:solidFill>
                <a:srgbClr val="FF0000"/>
              </a:solidFill>
              <a:ln>
                <a:noFill/>
              </a:ln>
              <a:effectLst/>
            </c:spPr>
            <c:extLst>
              <c:ext xmlns:c16="http://schemas.microsoft.com/office/drawing/2014/chart" uri="{C3380CC4-5D6E-409C-BE32-E72D297353CC}">
                <c16:uniqueId val="{00000003-D3C3-41F1-8B64-1127427137CE}"/>
              </c:ext>
            </c:extLst>
          </c:dPt>
          <c:dPt>
            <c:idx val="16"/>
            <c:invertIfNegative val="0"/>
            <c:bubble3D val="0"/>
            <c:spPr>
              <a:solidFill>
                <a:srgbClr val="FF0000"/>
              </a:solidFill>
              <a:ln>
                <a:noFill/>
              </a:ln>
              <a:effectLst/>
            </c:spPr>
            <c:extLst>
              <c:ext xmlns:c16="http://schemas.microsoft.com/office/drawing/2014/chart" uri="{C3380CC4-5D6E-409C-BE32-E72D297353CC}">
                <c16:uniqueId val="{00000000-D3C3-41F1-8B64-1127427137CE}"/>
              </c:ext>
            </c:extLst>
          </c:dPt>
          <c:dPt>
            <c:idx val="17"/>
            <c:invertIfNegative val="0"/>
            <c:bubble3D val="0"/>
            <c:spPr>
              <a:solidFill>
                <a:srgbClr val="FF0000"/>
              </a:solidFill>
              <a:ln>
                <a:noFill/>
              </a:ln>
              <a:effectLst/>
            </c:spPr>
            <c:extLst>
              <c:ext xmlns:c16="http://schemas.microsoft.com/office/drawing/2014/chart" uri="{C3380CC4-5D6E-409C-BE32-E72D297353CC}">
                <c16:uniqueId val="{00000001-D3C3-41F1-8B64-1127427137CE}"/>
              </c:ext>
            </c:extLst>
          </c:dPt>
          <c:cat>
            <c:strRef>
              <c:f>analysis!$B$100:$B$118</c:f>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f>analysis!$C$100:$C$118</c:f>
              <c:numCache>
                <c:formatCode>_-[$$-409]* #,##0_ ;_-[$$-409]* \-#,##0\ ;_-[$$-409]* "-"??_ ;_-@_ </c:formatCode>
                <c:ptCount val="19"/>
                <c:pt idx="0">
                  <c:v>8044</c:v>
                </c:pt>
                <c:pt idx="1">
                  <c:v>5602</c:v>
                </c:pt>
                <c:pt idx="2">
                  <c:v>3653</c:v>
                </c:pt>
                <c:pt idx="3">
                  <c:v>10488</c:v>
                </c:pt>
                <c:pt idx="4">
                  <c:v>12962</c:v>
                </c:pt>
                <c:pt idx="5">
                  <c:v>2658</c:v>
                </c:pt>
                <c:pt idx="6">
                  <c:v>7177</c:v>
                </c:pt>
                <c:pt idx="7">
                  <c:v>8891</c:v>
                </c:pt>
                <c:pt idx="8">
                  <c:v>10703</c:v>
                </c:pt>
                <c:pt idx="9">
                  <c:v>8950</c:v>
                </c:pt>
                <c:pt idx="10">
                  <c:v>12301</c:v>
                </c:pt>
                <c:pt idx="11">
                  <c:v>13721</c:v>
                </c:pt>
                <c:pt idx="12">
                  <c:v>11889</c:v>
                </c:pt>
                <c:pt idx="13">
                  <c:v>16488</c:v>
                </c:pt>
                <c:pt idx="14">
                  <c:v>21419</c:v>
                </c:pt>
                <c:pt idx="15">
                  <c:v>20464</c:v>
                </c:pt>
                <c:pt idx="16">
                  <c:v>15145</c:v>
                </c:pt>
                <c:pt idx="17">
                  <c:v>6309</c:v>
                </c:pt>
                <c:pt idx="18">
                  <c:v>9603</c:v>
                </c:pt>
              </c:numCache>
            </c:numRef>
          </c:val>
          <c:extLst>
            <c:ext xmlns:c16="http://schemas.microsoft.com/office/drawing/2014/chart" uri="{C3380CC4-5D6E-409C-BE32-E72D297353CC}">
              <c16:uniqueId val="{00000000-6F2B-4AAC-A0EA-2F02C01AFC85}"/>
            </c:ext>
          </c:extLst>
        </c:ser>
        <c:dLbls>
          <c:showLegendKey val="0"/>
          <c:showVal val="0"/>
          <c:showCatName val="0"/>
          <c:showSerName val="0"/>
          <c:showPercent val="0"/>
          <c:showBubbleSize val="0"/>
        </c:dLbls>
        <c:gapWidth val="219"/>
        <c:overlap val="-27"/>
        <c:axId val="703225920"/>
        <c:axId val="703226400"/>
      </c:barChart>
      <c:catAx>
        <c:axId val="70322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26400"/>
        <c:crosses val="autoZero"/>
        <c:auto val="1"/>
        <c:lblAlgn val="ctr"/>
        <c:lblOffset val="100"/>
        <c:noMultiLvlLbl val="0"/>
      </c:catAx>
      <c:valAx>
        <c:axId val="703226400"/>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2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'Story&amp;Estimates'!$C$17</c:f>
              <c:strCache>
                <c:ptCount val="1"/>
                <c:pt idx="0">
                  <c:v>revenue</c:v>
                </c:pt>
              </c:strCache>
            </c:strRef>
          </c:tx>
          <c:spPr>
            <a:solidFill>
              <a:schemeClr val="accent1"/>
            </a:solidFill>
            <a:ln>
              <a:noFill/>
            </a:ln>
            <a:effectLst/>
          </c:spPr>
          <c:invertIfNegative val="0"/>
          <c:cat>
            <c:numRef>
              <c:f>'Story&amp;Estimates'!$B$18:$B$45</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'Story&amp;Estimates'!$C$18:$C$45</c:f>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0-778E-40F4-BEFD-0F9FFCAA4D90}"/>
            </c:ext>
          </c:extLst>
        </c:ser>
        <c:dLbls>
          <c:showLegendKey val="0"/>
          <c:showVal val="0"/>
          <c:showCatName val="0"/>
          <c:showSerName val="0"/>
          <c:showPercent val="0"/>
          <c:showBubbleSize val="0"/>
        </c:dLbls>
        <c:gapWidth val="219"/>
        <c:overlap val="-27"/>
        <c:axId val="1882438399"/>
        <c:axId val="1882451359"/>
      </c:barChart>
      <c:catAx>
        <c:axId val="188243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51359"/>
        <c:crosses val="autoZero"/>
        <c:auto val="1"/>
        <c:lblAlgn val="ctr"/>
        <c:lblOffset val="100"/>
        <c:noMultiLvlLbl val="0"/>
      </c:catAx>
      <c:valAx>
        <c:axId val="18824513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38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'Story&amp;Estimates'!$D$52</c:f>
              <c:strCache>
                <c:ptCount val="1"/>
                <c:pt idx="0">
                  <c:v>growth %</c:v>
                </c:pt>
              </c:strCache>
            </c:strRef>
          </c:tx>
          <c:spPr>
            <a:solidFill>
              <a:schemeClr val="accent2"/>
            </a:solidFill>
            <a:ln>
              <a:noFill/>
            </a:ln>
            <a:effectLst/>
          </c:spPr>
          <c:invertIfNegative val="0"/>
          <c:cat>
            <c:numRef>
              <c:f>'Story&amp;Estimates'!$B$53:$B$61</c:f>
              <c:numCache>
                <c:formatCode>General</c:formatCode>
                <c:ptCount val="9"/>
                <c:pt idx="0">
                  <c:v>1999</c:v>
                </c:pt>
                <c:pt idx="1">
                  <c:v>2001</c:v>
                </c:pt>
                <c:pt idx="2">
                  <c:v>2002</c:v>
                </c:pt>
                <c:pt idx="3">
                  <c:v>2003</c:v>
                </c:pt>
                <c:pt idx="4">
                  <c:v>2009</c:v>
                </c:pt>
                <c:pt idx="5">
                  <c:v>2013</c:v>
                </c:pt>
                <c:pt idx="6">
                  <c:v>2014</c:v>
                </c:pt>
                <c:pt idx="7">
                  <c:v>2015</c:v>
                </c:pt>
                <c:pt idx="8">
                  <c:v>2016</c:v>
                </c:pt>
              </c:numCache>
            </c:numRef>
          </c:cat>
          <c:val>
            <c:numRef>
              <c:f>'Story&amp;Estimates'!$D$53:$D$61</c:f>
              <c:numCache>
                <c:formatCode>0.0%</c:formatCode>
                <c:ptCount val="9"/>
                <c:pt idx="0">
                  <c:v>-9.710789663528234E-2</c:v>
                </c:pt>
                <c:pt idx="1">
                  <c:v>-5.2895838558447247E-2</c:v>
                </c:pt>
                <c:pt idx="2">
                  <c:v>-0.13506989534794894</c:v>
                </c:pt>
                <c:pt idx="3">
                  <c:v>-9.7202105486275558E-2</c:v>
                </c:pt>
                <c:pt idx="4">
                  <c:v>-4.7237730868756135E-2</c:v>
                </c:pt>
                <c:pt idx="5">
                  <c:v>-6.6059225512528477E-2</c:v>
                </c:pt>
                <c:pt idx="6">
                  <c:v>-5.3658536585365853E-2</c:v>
                </c:pt>
                <c:pt idx="7">
                  <c:v>-8.505154639175258E-2</c:v>
                </c:pt>
                <c:pt idx="8">
                  <c:v>-5.0704225352112678E-2</c:v>
                </c:pt>
              </c:numCache>
            </c:numRef>
          </c:val>
          <c:extLst>
            <c:ext xmlns:c16="http://schemas.microsoft.com/office/drawing/2014/chart" uri="{C3380CC4-5D6E-409C-BE32-E72D297353CC}">
              <c16:uniqueId val="{00000001-E8F9-496C-B160-F3A19D1819BF}"/>
            </c:ext>
          </c:extLst>
        </c:ser>
        <c:dLbls>
          <c:showLegendKey val="0"/>
          <c:showVal val="0"/>
          <c:showCatName val="0"/>
          <c:showSerName val="0"/>
          <c:showPercent val="0"/>
          <c:showBubbleSize val="0"/>
        </c:dLbls>
        <c:gapWidth val="219"/>
        <c:overlap val="-27"/>
        <c:axId val="1882443199"/>
        <c:axId val="1882444639"/>
        <c:extLst>
          <c:ext xmlns:c15="http://schemas.microsoft.com/office/drawing/2012/chart" uri="{02D57815-91ED-43cb-92C2-25804820EDAC}">
            <c15:filteredBarSeries>
              <c15:ser>
                <c:idx val="0"/>
                <c:order val="0"/>
                <c:tx>
                  <c:strRef>
                    <c:extLst>
                      <c:ext uri="{02D57815-91ED-43cb-92C2-25804820EDAC}">
                        <c15:formulaRef>
                          <c15:sqref>'Story&amp;Estimates'!$C$52</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'Story&amp;Estimates'!$B$53:$B$61</c15:sqref>
                        </c15:formulaRef>
                      </c:ext>
                    </c:extLst>
                    <c:numCache>
                      <c:formatCode>General</c:formatCode>
                      <c:ptCount val="9"/>
                      <c:pt idx="0">
                        <c:v>1999</c:v>
                      </c:pt>
                      <c:pt idx="1">
                        <c:v>2001</c:v>
                      </c:pt>
                      <c:pt idx="2">
                        <c:v>2002</c:v>
                      </c:pt>
                      <c:pt idx="3">
                        <c:v>2003</c:v>
                      </c:pt>
                      <c:pt idx="4">
                        <c:v>2009</c:v>
                      </c:pt>
                      <c:pt idx="5">
                        <c:v>2013</c:v>
                      </c:pt>
                      <c:pt idx="6">
                        <c:v>2014</c:v>
                      </c:pt>
                      <c:pt idx="7">
                        <c:v>2015</c:v>
                      </c:pt>
                      <c:pt idx="8">
                        <c:v>2016</c:v>
                      </c:pt>
                    </c:numCache>
                  </c:numRef>
                </c:cat>
                <c:val>
                  <c:numRef>
                    <c:extLst>
                      <c:ext uri="{02D57815-91ED-43cb-92C2-25804820EDAC}">
                        <c15:formulaRef>
                          <c15:sqref>'Story&amp;Estimates'!$C$53:$C$61</c15:sqref>
                        </c15:formulaRef>
                      </c:ext>
                    </c:extLst>
                    <c:numCache>
                      <c:formatCode>_-[$$-409]* #,##0.00_ ;_-[$$-409]* \-#,##0.00\ ;_-[$$-409]* "-"??_ ;_-@_ </c:formatCode>
                      <c:ptCount val="9"/>
                      <c:pt idx="0">
                        <c:v>195.245</c:v>
                      </c:pt>
                      <c:pt idx="1">
                        <c:v>196.36500000000001</c:v>
                      </c:pt>
                      <c:pt idx="2">
                        <c:v>169.84200000000001</c:v>
                      </c:pt>
                      <c:pt idx="3">
                        <c:v>153.333</c:v>
                      </c:pt>
                      <c:pt idx="4">
                        <c:v>257</c:v>
                      </c:pt>
                      <c:pt idx="5">
                        <c:v>410</c:v>
                      </c:pt>
                      <c:pt idx="6">
                        <c:v>388</c:v>
                      </c:pt>
                      <c:pt idx="7">
                        <c:v>355</c:v>
                      </c:pt>
                      <c:pt idx="8">
                        <c:v>337</c:v>
                      </c:pt>
                    </c:numCache>
                  </c:numRef>
                </c:val>
                <c:extLst>
                  <c:ext xmlns:c16="http://schemas.microsoft.com/office/drawing/2014/chart" uri="{C3380CC4-5D6E-409C-BE32-E72D297353CC}">
                    <c16:uniqueId val="{00000000-E8F9-496C-B160-F3A19D1819BF}"/>
                  </c:ext>
                </c:extLst>
              </c15:ser>
            </c15:filteredBarSeries>
          </c:ext>
        </c:extLst>
      </c:barChart>
      <c:catAx>
        <c:axId val="188244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44639"/>
        <c:crosses val="autoZero"/>
        <c:auto val="1"/>
        <c:lblAlgn val="ctr"/>
        <c:lblOffset val="100"/>
        <c:noMultiLvlLbl val="0"/>
      </c:catAx>
      <c:valAx>
        <c:axId val="18824446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4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PRICING!$C$1</c:f>
              <c:strCache>
                <c:ptCount val="1"/>
                <c:pt idx="0">
                  <c:v>pe ratio</c:v>
                </c:pt>
              </c:strCache>
            </c:strRef>
          </c:tx>
          <c:spPr>
            <a:solidFill>
              <a:schemeClr val="accent1"/>
            </a:solidFill>
            <a:ln>
              <a:noFill/>
            </a:ln>
            <a:effectLst/>
          </c:spPr>
          <c:invertIfNegative val="0"/>
          <c:dPt>
            <c:idx val="15"/>
            <c:invertIfNegative val="0"/>
            <c:bubble3D val="0"/>
            <c:spPr>
              <a:solidFill>
                <a:srgbClr val="FFC000"/>
              </a:solidFill>
              <a:ln>
                <a:noFill/>
              </a:ln>
              <a:effectLst/>
            </c:spPr>
            <c:extLst>
              <c:ext xmlns:c16="http://schemas.microsoft.com/office/drawing/2014/chart" uri="{C3380CC4-5D6E-409C-BE32-E72D297353CC}">
                <c16:uniqueId val="{00000001-78C2-4745-8FF6-12BE9EE3EB6A}"/>
              </c:ext>
            </c:extLst>
          </c:dPt>
          <c:cat>
            <c:strRef>
              <c:f>PRICING!$B$2:$B$19</c:f>
              <c:strCache>
                <c:ptCount val="18"/>
                <c:pt idx="0">
                  <c:v>CSL</c:v>
                </c:pt>
                <c:pt idx="1">
                  <c:v>WSO</c:v>
                </c:pt>
                <c:pt idx="2">
                  <c:v>AOS</c:v>
                </c:pt>
                <c:pt idx="3">
                  <c:v>ALLE</c:v>
                </c:pt>
                <c:pt idx="4">
                  <c:v>FBIN</c:v>
                </c:pt>
                <c:pt idx="5">
                  <c:v>SSD</c:v>
                </c:pt>
                <c:pt idx="6">
                  <c:v>SPXC</c:v>
                </c:pt>
                <c:pt idx="7">
                  <c:v>AZEK</c:v>
                </c:pt>
                <c:pt idx="8">
                  <c:v>GFF</c:v>
                </c:pt>
                <c:pt idx="9">
                  <c:v>TGLS</c:v>
                </c:pt>
                <c:pt idx="10">
                  <c:v>JBI</c:v>
                </c:pt>
                <c:pt idx="11">
                  <c:v>AMWD</c:v>
                </c:pt>
                <c:pt idx="12">
                  <c:v>APOG</c:v>
                </c:pt>
                <c:pt idx="13">
                  <c:v>NX</c:v>
                </c:pt>
                <c:pt idx="14">
                  <c:v>TILE</c:v>
                </c:pt>
                <c:pt idx="15">
                  <c:v>PLPC</c:v>
                </c:pt>
                <c:pt idx="16">
                  <c:v>LYTS</c:v>
                </c:pt>
                <c:pt idx="17">
                  <c:v>FGI</c:v>
                </c:pt>
              </c:strCache>
            </c:strRef>
          </c:cat>
          <c:val>
            <c:numRef>
              <c:f>PRICING!$C$2:$C$19</c:f>
              <c:numCache>
                <c:formatCode>0.00</c:formatCode>
                <c:ptCount val="18"/>
                <c:pt idx="0">
                  <c:v>26.008994999999999</c:v>
                </c:pt>
                <c:pt idx="1">
                  <c:v>38.118279999999999</c:v>
                </c:pt>
                <c:pt idx="2">
                  <c:v>22.857143000000001</c:v>
                </c:pt>
                <c:pt idx="3">
                  <c:v>20.379282</c:v>
                </c:pt>
                <c:pt idx="4">
                  <c:v>22.003069</c:v>
                </c:pt>
                <c:pt idx="5">
                  <c:v>22.677541999999999</c:v>
                </c:pt>
                <c:pt idx="6">
                  <c:v>44.268883000000002</c:v>
                </c:pt>
                <c:pt idx="7">
                  <c:v>42.538463999999998</c:v>
                </c:pt>
                <c:pt idx="8">
                  <c:v>18.486772999999999</c:v>
                </c:pt>
                <c:pt idx="9">
                  <c:v>14.778097000000001</c:v>
                </c:pt>
                <c:pt idx="10">
                  <c:v>14</c:v>
                </c:pt>
                <c:pt idx="11">
                  <c:v>12.607692</c:v>
                </c:pt>
                <c:pt idx="12">
                  <c:v>12.7782345</c:v>
                </c:pt>
                <c:pt idx="13">
                  <c:v>12.807377000000001</c:v>
                </c:pt>
                <c:pt idx="14">
                  <c:v>16.247523999999999</c:v>
                </c:pt>
                <c:pt idx="15">
                  <c:v>12.100580000000001</c:v>
                </c:pt>
                <c:pt idx="16">
                  <c:v>16.586956000000001</c:v>
                </c:pt>
                <c:pt idx="17">
                  <c:v>17.164999000000002</c:v>
                </c:pt>
              </c:numCache>
            </c:numRef>
          </c:val>
          <c:extLst>
            <c:ext xmlns:c16="http://schemas.microsoft.com/office/drawing/2014/chart" uri="{C3380CC4-5D6E-409C-BE32-E72D297353CC}">
              <c16:uniqueId val="{00000000-78C2-4745-8FF6-12BE9EE3EB6A}"/>
            </c:ext>
          </c:extLst>
        </c:ser>
        <c:dLbls>
          <c:showLegendKey val="0"/>
          <c:showVal val="0"/>
          <c:showCatName val="0"/>
          <c:showSerName val="0"/>
          <c:showPercent val="0"/>
          <c:showBubbleSize val="0"/>
        </c:dLbls>
        <c:gapWidth val="219"/>
        <c:overlap val="-27"/>
        <c:axId val="893202080"/>
        <c:axId val="893199200"/>
      </c:barChart>
      <c:catAx>
        <c:axId val="89320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9200"/>
        <c:crosses val="autoZero"/>
        <c:auto val="1"/>
        <c:lblAlgn val="ctr"/>
        <c:lblOffset val="100"/>
        <c:noMultiLvlLbl val="0"/>
      </c:catAx>
      <c:valAx>
        <c:axId val="893199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02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pe</a:t>
            </a:r>
            <a:r>
              <a:rPr lang="en-US" baseline="0"/>
              <a:t> vs beta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PRICING!$D$1</c:f>
              <c:strCache>
                <c:ptCount val="1"/>
                <c:pt idx="0">
                  <c:v>beta</c:v>
                </c:pt>
              </c:strCache>
            </c:strRef>
          </c:tx>
          <c:spPr>
            <a:ln w="19050" cap="rnd">
              <a:noFill/>
              <a:round/>
            </a:ln>
            <a:effectLst/>
          </c:spPr>
          <c:marker>
            <c:symbol val="circle"/>
            <c:size val="5"/>
            <c:spPr>
              <a:solidFill>
                <a:schemeClr val="accent1"/>
              </a:solidFill>
              <a:ln w="9525">
                <a:solidFill>
                  <a:schemeClr val="accent1"/>
                </a:solidFill>
              </a:ln>
              <a:effectLst/>
            </c:spPr>
          </c:marker>
          <c:dPt>
            <c:idx val="15"/>
            <c:marker>
              <c:symbol val="circle"/>
              <c:size val="5"/>
              <c:spPr>
                <a:solidFill>
                  <a:srgbClr val="FFC000"/>
                </a:solidFill>
                <a:ln w="9525">
                  <a:solidFill>
                    <a:schemeClr val="accent1"/>
                  </a:solidFill>
                </a:ln>
                <a:effectLst>
                  <a:glow rad="190500">
                    <a:schemeClr val="accent2">
                      <a:satMod val="175000"/>
                    </a:schemeClr>
                  </a:glow>
                  <a:outerShdw dist="50800" dir="5400000" sx="101000" sy="101000" algn="ctr" rotWithShape="0">
                    <a:srgbClr val="000000">
                      <a:alpha val="0"/>
                    </a:srgbClr>
                  </a:outerShdw>
                </a:effectLst>
              </c:spPr>
            </c:marker>
            <c:bubble3D val="0"/>
            <c:spPr>
              <a:ln w="19050" cap="rnd">
                <a:noFill/>
                <a:round/>
              </a:ln>
              <a:effectLst>
                <a:glow rad="190500">
                  <a:schemeClr val="accent2">
                    <a:satMod val="175000"/>
                  </a:schemeClr>
                </a:glow>
                <a:outerShdw dist="50800" dir="5400000" sx="101000" sy="101000" algn="ctr" rotWithShape="0">
                  <a:srgbClr val="000000">
                    <a:alpha val="0"/>
                  </a:srgbClr>
                </a:outerShdw>
              </a:effectLst>
            </c:spPr>
            <c:extLst>
              <c:ext xmlns:c16="http://schemas.microsoft.com/office/drawing/2014/chart" uri="{C3380CC4-5D6E-409C-BE32-E72D297353CC}">
                <c16:uniqueId val="{00000001-F6D4-434C-BEC8-23725F0BC6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PRICING!$C$2:$C$19</c:f>
              <c:numCache>
                <c:formatCode>0.00</c:formatCode>
                <c:ptCount val="18"/>
                <c:pt idx="0">
                  <c:v>26.008994999999999</c:v>
                </c:pt>
                <c:pt idx="1">
                  <c:v>38.118279999999999</c:v>
                </c:pt>
                <c:pt idx="2">
                  <c:v>22.857143000000001</c:v>
                </c:pt>
                <c:pt idx="3">
                  <c:v>20.379282</c:v>
                </c:pt>
                <c:pt idx="4">
                  <c:v>22.003069</c:v>
                </c:pt>
                <c:pt idx="5">
                  <c:v>22.677541999999999</c:v>
                </c:pt>
                <c:pt idx="6">
                  <c:v>44.268883000000002</c:v>
                </c:pt>
                <c:pt idx="7">
                  <c:v>42.538463999999998</c:v>
                </c:pt>
                <c:pt idx="8">
                  <c:v>18.486772999999999</c:v>
                </c:pt>
                <c:pt idx="9">
                  <c:v>14.778097000000001</c:v>
                </c:pt>
                <c:pt idx="10">
                  <c:v>14</c:v>
                </c:pt>
                <c:pt idx="11">
                  <c:v>12.607692</c:v>
                </c:pt>
                <c:pt idx="12">
                  <c:v>12.7782345</c:v>
                </c:pt>
                <c:pt idx="13">
                  <c:v>12.807377000000001</c:v>
                </c:pt>
                <c:pt idx="14">
                  <c:v>16.247523999999999</c:v>
                </c:pt>
                <c:pt idx="15">
                  <c:v>12.100580000000001</c:v>
                </c:pt>
                <c:pt idx="16">
                  <c:v>16.586956000000001</c:v>
                </c:pt>
                <c:pt idx="17">
                  <c:v>17.164999000000002</c:v>
                </c:pt>
              </c:numCache>
            </c:numRef>
          </c:xVal>
          <c:yVal>
            <c:numRef>
              <c:f>PRICING!$D$2:$D$19</c:f>
              <c:numCache>
                <c:formatCode>0.00</c:formatCode>
                <c:ptCount val="18"/>
                <c:pt idx="0">
                  <c:v>0.90100000000000002</c:v>
                </c:pt>
                <c:pt idx="1">
                  <c:v>0.871</c:v>
                </c:pt>
                <c:pt idx="2">
                  <c:v>1.141</c:v>
                </c:pt>
                <c:pt idx="3">
                  <c:v>1.1339999999999999</c:v>
                </c:pt>
                <c:pt idx="4">
                  <c:v>1.579</c:v>
                </c:pt>
                <c:pt idx="5">
                  <c:v>1.3169999999999999</c:v>
                </c:pt>
                <c:pt idx="6">
                  <c:v>1.196</c:v>
                </c:pt>
                <c:pt idx="7">
                  <c:v>1.8819999999999999</c:v>
                </c:pt>
                <c:pt idx="8">
                  <c:v>1.2569999999999999</c:v>
                </c:pt>
                <c:pt idx="9">
                  <c:v>1.857</c:v>
                </c:pt>
                <c:pt idx="10">
                  <c:v>0.90800000000000003</c:v>
                </c:pt>
                <c:pt idx="11">
                  <c:v>1.625</c:v>
                </c:pt>
                <c:pt idx="12">
                  <c:v>0.99399999999999999</c:v>
                </c:pt>
                <c:pt idx="13">
                  <c:v>1.3</c:v>
                </c:pt>
                <c:pt idx="14">
                  <c:v>2.0139999999999998</c:v>
                </c:pt>
                <c:pt idx="15">
                  <c:v>0.64800000000000002</c:v>
                </c:pt>
                <c:pt idx="16">
                  <c:v>0.85399999999999998</c:v>
                </c:pt>
                <c:pt idx="17">
                  <c:v>1.43</c:v>
                </c:pt>
              </c:numCache>
            </c:numRef>
          </c:yVal>
          <c:smooth val="0"/>
          <c:extLst>
            <c:ext xmlns:c16="http://schemas.microsoft.com/office/drawing/2014/chart" uri="{C3380CC4-5D6E-409C-BE32-E72D297353CC}">
              <c16:uniqueId val="{00000000-F6D4-434C-BEC8-23725F0BC649}"/>
            </c:ext>
          </c:extLst>
        </c:ser>
        <c:dLbls>
          <c:dLblPos val="t"/>
          <c:showLegendKey val="0"/>
          <c:showVal val="1"/>
          <c:showCatName val="0"/>
          <c:showSerName val="0"/>
          <c:showPercent val="0"/>
          <c:showBubbleSize val="0"/>
        </c:dLbls>
        <c:axId val="893194880"/>
        <c:axId val="893188160"/>
      </c:scatterChart>
      <c:valAx>
        <c:axId val="893194880"/>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88160"/>
        <c:crosses val="autoZero"/>
        <c:crossBetween val="midCat"/>
      </c:valAx>
      <c:valAx>
        <c:axId val="89318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pe</a:t>
            </a:r>
            <a:r>
              <a:rPr lang="en-US" baseline="0"/>
              <a:t> vs 3y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c:v>
          </c:tx>
          <c:spPr>
            <a:ln w="25400" cap="rnd">
              <a:noFill/>
              <a:round/>
            </a:ln>
            <a:effectLst/>
          </c:spPr>
          <c:marker>
            <c:symbol val="circle"/>
            <c:size val="5"/>
            <c:spPr>
              <a:solidFill>
                <a:schemeClr val="accent1"/>
              </a:solidFill>
              <a:ln w="9525">
                <a:solidFill>
                  <a:schemeClr val="accent1"/>
                </a:solidFill>
              </a:ln>
              <a:effectLst/>
            </c:spPr>
          </c:marker>
          <c:dPt>
            <c:idx val="1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5-13BE-41B9-A257-FE80FEC0E7C1}"/>
              </c:ext>
            </c:extLst>
          </c:dPt>
          <c:dLbls>
            <c:dLbl>
              <c:idx val="13"/>
              <c:delete val="1"/>
              <c:extLst>
                <c:ext xmlns:c15="http://schemas.microsoft.com/office/drawing/2012/chart" uri="{CE6537A1-D6FC-4f65-9D91-7224C49458BB}">
                  <c15:layout>
                    <c:manualLayout>
                      <c:w val="3.1432950191570878E-2"/>
                      <c:h val="3.3035696840624448E-2"/>
                    </c:manualLayout>
                  </c15:layout>
                </c:ext>
                <c:ext xmlns:c16="http://schemas.microsoft.com/office/drawing/2014/chart" uri="{C3380CC4-5D6E-409C-BE32-E72D297353CC}">
                  <c16:uniqueId val="{00000004-13BE-41B9-A257-FE80FEC0E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PRICING!$C$2:$C$19</c:f>
              <c:numCache>
                <c:formatCode>0.00</c:formatCode>
                <c:ptCount val="18"/>
                <c:pt idx="0">
                  <c:v>26.008994999999999</c:v>
                </c:pt>
                <c:pt idx="1">
                  <c:v>38.118279999999999</c:v>
                </c:pt>
                <c:pt idx="2">
                  <c:v>22.857143000000001</c:v>
                </c:pt>
                <c:pt idx="3">
                  <c:v>20.379282</c:v>
                </c:pt>
                <c:pt idx="4">
                  <c:v>22.003069</c:v>
                </c:pt>
                <c:pt idx="5">
                  <c:v>22.677541999999999</c:v>
                </c:pt>
                <c:pt idx="6">
                  <c:v>44.268883000000002</c:v>
                </c:pt>
                <c:pt idx="7">
                  <c:v>42.538463999999998</c:v>
                </c:pt>
                <c:pt idx="8">
                  <c:v>18.486772999999999</c:v>
                </c:pt>
                <c:pt idx="9">
                  <c:v>14.778097000000001</c:v>
                </c:pt>
                <c:pt idx="10">
                  <c:v>14</c:v>
                </c:pt>
                <c:pt idx="11">
                  <c:v>12.607692</c:v>
                </c:pt>
                <c:pt idx="12">
                  <c:v>12.7782345</c:v>
                </c:pt>
                <c:pt idx="13">
                  <c:v>12.807377000000001</c:v>
                </c:pt>
                <c:pt idx="14">
                  <c:v>16.247523999999999</c:v>
                </c:pt>
                <c:pt idx="15">
                  <c:v>12.100580000000001</c:v>
                </c:pt>
                <c:pt idx="16">
                  <c:v>16.586956000000001</c:v>
                </c:pt>
                <c:pt idx="17">
                  <c:v>17.164999000000002</c:v>
                </c:pt>
              </c:numCache>
            </c:numRef>
          </c:xVal>
          <c:yVal>
            <c:numRef>
              <c:f>PRICING!$F$2:$F$19</c:f>
              <c:numCache>
                <c:formatCode>0.00</c:formatCode>
                <c:ptCount val="18"/>
                <c:pt idx="0">
                  <c:v>7.6169465341191156</c:v>
                </c:pt>
                <c:pt idx="1">
                  <c:v>13.399499793829181</c:v>
                </c:pt>
                <c:pt idx="2">
                  <c:v>10.31301915629375</c:v>
                </c:pt>
                <c:pt idx="3">
                  <c:v>10.3700923842186</c:v>
                </c:pt>
                <c:pt idx="4">
                  <c:v>9.6344016961361891</c:v>
                </c:pt>
                <c:pt idx="5">
                  <c:v>21.06696411678562</c:v>
                </c:pt>
                <c:pt idx="6">
                  <c:v>15.694639737461021</c:v>
                </c:pt>
                <c:pt idx="7">
                  <c:v>15.723937654843841</c:v>
                </c:pt>
                <c:pt idx="8">
                  <c:v>9.8639437758595374</c:v>
                </c:pt>
                <c:pt idx="9">
                  <c:v>30.812470378895409</c:v>
                </c:pt>
                <c:pt idx="10">
                  <c:v>25.717487403850129</c:v>
                </c:pt>
                <c:pt idx="11">
                  <c:v>2.38631843143129</c:v>
                </c:pt>
                <c:pt idx="12">
                  <c:v>4.9184531508799756</c:v>
                </c:pt>
                <c:pt idx="13">
                  <c:v>10.79640555045945</c:v>
                </c:pt>
                <c:pt idx="14">
                  <c:v>4.7074615018749313</c:v>
                </c:pt>
                <c:pt idx="15">
                  <c:v>13.05635930712357</c:v>
                </c:pt>
                <c:pt idx="16">
                  <c:v>18.89670109632959</c:v>
                </c:pt>
                <c:pt idx="17">
                  <c:v>-1.224558603175171</c:v>
                </c:pt>
              </c:numCache>
            </c:numRef>
          </c:yVal>
          <c:smooth val="0"/>
          <c:extLst>
            <c:ext xmlns:c16="http://schemas.microsoft.com/office/drawing/2014/chart" uri="{C3380CC4-5D6E-409C-BE32-E72D297353CC}">
              <c16:uniqueId val="{00000003-13BE-41B9-A257-FE80FEC0E7C1}"/>
            </c:ext>
          </c:extLst>
        </c:ser>
        <c:dLbls>
          <c:dLblPos val="t"/>
          <c:showLegendKey val="0"/>
          <c:showVal val="1"/>
          <c:showCatName val="0"/>
          <c:showSerName val="0"/>
          <c:showPercent val="0"/>
          <c:showBubbleSize val="0"/>
        </c:dLbls>
        <c:axId val="893194880"/>
        <c:axId val="893188160"/>
      </c:scatterChart>
      <c:valAx>
        <c:axId val="89319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88160"/>
        <c:crosses val="autoZero"/>
        <c:crossBetween val="midCat"/>
      </c:valAx>
      <c:valAx>
        <c:axId val="89318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pe</a:t>
            </a:r>
            <a:r>
              <a:rPr lang="en-US" baseline="0"/>
              <a:t> vs fiscal year's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c:v>
          </c:tx>
          <c:spPr>
            <a:ln w="25400" cap="rnd">
              <a:noFill/>
              <a:round/>
            </a:ln>
            <a:effectLst/>
          </c:spPr>
          <c:marker>
            <c:symbol val="circle"/>
            <c:size val="5"/>
            <c:spPr>
              <a:solidFill>
                <a:schemeClr val="accent1"/>
              </a:solidFill>
              <a:ln w="9525">
                <a:solidFill>
                  <a:schemeClr val="accent1"/>
                </a:solidFill>
              </a:ln>
              <a:effectLst/>
            </c:spPr>
          </c:marker>
          <c:dPt>
            <c:idx val="1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0-1DD5-42C3-ABF7-F4F74B754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PRICING!$C$2:$C$19</c:f>
              <c:numCache>
                <c:formatCode>0.00</c:formatCode>
                <c:ptCount val="18"/>
                <c:pt idx="0">
                  <c:v>26.008994999999999</c:v>
                </c:pt>
                <c:pt idx="1">
                  <c:v>38.118279999999999</c:v>
                </c:pt>
                <c:pt idx="2">
                  <c:v>22.857143000000001</c:v>
                </c:pt>
                <c:pt idx="3">
                  <c:v>20.379282</c:v>
                </c:pt>
                <c:pt idx="4">
                  <c:v>22.003069</c:v>
                </c:pt>
                <c:pt idx="5">
                  <c:v>22.677541999999999</c:v>
                </c:pt>
                <c:pt idx="6">
                  <c:v>44.268883000000002</c:v>
                </c:pt>
                <c:pt idx="7">
                  <c:v>42.538463999999998</c:v>
                </c:pt>
                <c:pt idx="8">
                  <c:v>18.486772999999999</c:v>
                </c:pt>
                <c:pt idx="9">
                  <c:v>14.778097000000001</c:v>
                </c:pt>
                <c:pt idx="10">
                  <c:v>14</c:v>
                </c:pt>
                <c:pt idx="11">
                  <c:v>12.607692</c:v>
                </c:pt>
                <c:pt idx="12">
                  <c:v>12.7782345</c:v>
                </c:pt>
                <c:pt idx="13">
                  <c:v>12.807377000000001</c:v>
                </c:pt>
                <c:pt idx="14">
                  <c:v>16.247523999999999</c:v>
                </c:pt>
                <c:pt idx="15">
                  <c:v>12.100580000000001</c:v>
                </c:pt>
                <c:pt idx="16">
                  <c:v>16.586956000000001</c:v>
                </c:pt>
                <c:pt idx="17">
                  <c:v>17.164999000000002</c:v>
                </c:pt>
              </c:numCache>
            </c:numRef>
          </c:xVal>
          <c:yVal>
            <c:numRef>
              <c:f>PRICING!$E$2:$E$19</c:f>
              <c:numCache>
                <c:formatCode>0.00</c:formatCode>
                <c:ptCount val="18"/>
                <c:pt idx="0">
                  <c:v>-15.827430542812049</c:v>
                </c:pt>
                <c:pt idx="1">
                  <c:v>0.12953745382401491</c:v>
                </c:pt>
                <c:pt idx="2">
                  <c:v>2.6345933562428412</c:v>
                </c:pt>
                <c:pt idx="3">
                  <c:v>11.580427274672211</c:v>
                </c:pt>
                <c:pt idx="4">
                  <c:v>-2.0495447808596232</c:v>
                </c:pt>
                <c:pt idx="5">
                  <c:v>4.6177685511039952</c:v>
                </c:pt>
                <c:pt idx="6">
                  <c:v>19.186802655897051</c:v>
                </c:pt>
                <c:pt idx="7">
                  <c:v>1.0866149399595451</c:v>
                </c:pt>
                <c:pt idx="8">
                  <c:v>-5.733041529400861</c:v>
                </c:pt>
                <c:pt idx="9">
                  <c:v>16.285219866865759</c:v>
                </c:pt>
                <c:pt idx="10">
                  <c:v>4.6002942618930849</c:v>
                </c:pt>
                <c:pt idx="11">
                  <c:v>-10.58455135030491</c:v>
                </c:pt>
                <c:pt idx="12">
                  <c:v>-1.6487864198970501</c:v>
                </c:pt>
                <c:pt idx="13">
                  <c:v>-7.443213355360859</c:v>
                </c:pt>
                <c:pt idx="14">
                  <c:v>-2.806107314863254</c:v>
                </c:pt>
                <c:pt idx="15">
                  <c:v>5.1266755727048254</c:v>
                </c:pt>
                <c:pt idx="16">
                  <c:v>9.1973545438565658</c:v>
                </c:pt>
                <c:pt idx="17">
                  <c:v>-27.50268347396625</c:v>
                </c:pt>
              </c:numCache>
            </c:numRef>
          </c:yVal>
          <c:smooth val="0"/>
          <c:extLst>
            <c:ext xmlns:c16="http://schemas.microsoft.com/office/drawing/2014/chart" uri="{C3380CC4-5D6E-409C-BE32-E72D297353CC}">
              <c16:uniqueId val="{00000002-1DD5-42C3-ABF7-F4F74B754D95}"/>
            </c:ext>
          </c:extLst>
        </c:ser>
        <c:dLbls>
          <c:dLblPos val="t"/>
          <c:showLegendKey val="0"/>
          <c:showVal val="1"/>
          <c:showCatName val="0"/>
          <c:showSerName val="0"/>
          <c:showPercent val="0"/>
          <c:showBubbleSize val="0"/>
        </c:dLbls>
        <c:axId val="893194880"/>
        <c:axId val="893188160"/>
      </c:scatterChart>
      <c:valAx>
        <c:axId val="89319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88160"/>
        <c:crosses val="autoZero"/>
        <c:crossBetween val="midCat"/>
      </c:valAx>
      <c:valAx>
        <c:axId val="89318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PB raio</a:t>
            </a:r>
            <a:r>
              <a:rPr lang="en-US" baseline="0"/>
              <a:t> vs ROE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c:v>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(PRICING!$K$2:$K$9,PRICING!$K$11:$K$19)</c:f>
              <c:numCache>
                <c:formatCode>0.0%</c:formatCode>
                <c:ptCount val="17"/>
                <c:pt idx="0">
                  <c:v>0.27247998000000001</c:v>
                </c:pt>
                <c:pt idx="1">
                  <c:v>0.23225999999999999</c:v>
                </c:pt>
                <c:pt idx="2">
                  <c:v>0.31442999999999999</c:v>
                </c:pt>
                <c:pt idx="3">
                  <c:v>0.45151000000000002</c:v>
                </c:pt>
                <c:pt idx="4">
                  <c:v>0.19082001000000001</c:v>
                </c:pt>
                <c:pt idx="5">
                  <c:v>0.21254998</c:v>
                </c:pt>
                <c:pt idx="6">
                  <c:v>0.13099</c:v>
                </c:pt>
                <c:pt idx="7">
                  <c:v>0.10544000000000001</c:v>
                </c:pt>
                <c:pt idx="8">
                  <c:v>0.33853</c:v>
                </c:pt>
                <c:pt idx="9">
                  <c:v>0.29903999999999997</c:v>
                </c:pt>
                <c:pt idx="10">
                  <c:v>0.13028000000000001</c:v>
                </c:pt>
                <c:pt idx="11">
                  <c:v>0.24051</c:v>
                </c:pt>
                <c:pt idx="12">
                  <c:v>0.15244000999999999</c:v>
                </c:pt>
                <c:pt idx="13">
                  <c:v>0.14935000000000001</c:v>
                </c:pt>
                <c:pt idx="14">
                  <c:v>0.12975999999999999</c:v>
                </c:pt>
                <c:pt idx="15">
                  <c:v>0.15142</c:v>
                </c:pt>
                <c:pt idx="16">
                  <c:v>1.495E-2</c:v>
                </c:pt>
              </c:numCache>
            </c:numRef>
          </c:xVal>
          <c:yVal>
            <c:numRef>
              <c:f>(PRICING!$J$2:$J$9,PRICING!$J$11:$J$19)</c:f>
              <c:numCache>
                <c:formatCode>0.000</c:formatCode>
                <c:ptCount val="17"/>
                <c:pt idx="0">
                  <c:v>6.9611815999999997</c:v>
                </c:pt>
                <c:pt idx="1">
                  <c:v>7.3790474000000001</c:v>
                </c:pt>
                <c:pt idx="2">
                  <c:v>6.8589244000000003</c:v>
                </c:pt>
                <c:pt idx="3">
                  <c:v>8.0862839999999991</c:v>
                </c:pt>
                <c:pt idx="4">
                  <c:v>3.9336440000000001</c:v>
                </c:pt>
                <c:pt idx="5">
                  <c:v>4.4452642999999998</c:v>
                </c:pt>
                <c:pt idx="6">
                  <c:v>5.4724383000000003</c:v>
                </c:pt>
                <c:pt idx="7">
                  <c:v>4.6407220000000002</c:v>
                </c:pt>
                <c:pt idx="8">
                  <c:v>4.2012124000000002</c:v>
                </c:pt>
                <c:pt idx="9">
                  <c:v>3.6259541999999998</c:v>
                </c:pt>
                <c:pt idx="10">
                  <c:v>1.5500016000000001</c:v>
                </c:pt>
                <c:pt idx="11">
                  <c:v>2.8442799999999999</c:v>
                </c:pt>
                <c:pt idx="12">
                  <c:v>1.8146447999999999</c:v>
                </c:pt>
                <c:pt idx="13">
                  <c:v>2.2314386000000002</c:v>
                </c:pt>
                <c:pt idx="14">
                  <c:v>1.4886022999999999</c:v>
                </c:pt>
                <c:pt idx="15">
                  <c:v>2.160555</c:v>
                </c:pt>
                <c:pt idx="16">
                  <c:v>0.41195998</c:v>
                </c:pt>
              </c:numCache>
            </c:numRef>
          </c:yVal>
          <c:smooth val="0"/>
          <c:extLst>
            <c:ext xmlns:c16="http://schemas.microsoft.com/office/drawing/2014/chart" uri="{C3380CC4-5D6E-409C-BE32-E72D297353CC}">
              <c16:uniqueId val="{0000000A-C6C5-43EC-B917-2EF246A8E3C4}"/>
            </c:ext>
          </c:extLst>
        </c:ser>
        <c:dLbls>
          <c:dLblPos val="t"/>
          <c:showLegendKey val="0"/>
          <c:showVal val="1"/>
          <c:showCatName val="0"/>
          <c:showSerName val="0"/>
          <c:showPercent val="0"/>
          <c:showBubbleSize val="0"/>
        </c:dLbls>
        <c:axId val="1116059568"/>
        <c:axId val="1116062448"/>
      </c:scatterChart>
      <c:valAx>
        <c:axId val="111605956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062448"/>
        <c:crosses val="autoZero"/>
        <c:crossBetween val="midCat"/>
      </c:valAx>
      <c:valAx>
        <c:axId val="111606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PB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05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PRICING!$R$46</c:f>
              <c:strCache>
                <c:ptCount val="1"/>
                <c:pt idx="0">
                  <c:v>ALPHA</c:v>
                </c:pt>
              </c:strCache>
            </c:strRef>
          </c:tx>
          <c:spPr>
            <a:solidFill>
              <a:schemeClr val="accent1"/>
            </a:solidFill>
            <a:ln>
              <a:noFill/>
            </a:ln>
            <a:effectLst/>
          </c:spPr>
          <c:invertIfNegative val="0"/>
          <c:dPt>
            <c:idx val="14"/>
            <c:invertIfNegative val="0"/>
            <c:bubble3D val="0"/>
            <c:spPr>
              <a:solidFill>
                <a:srgbClr val="00B050"/>
              </a:solidFill>
              <a:ln>
                <a:noFill/>
              </a:ln>
              <a:effectLst/>
            </c:spPr>
            <c:extLst>
              <c:ext xmlns:c16="http://schemas.microsoft.com/office/drawing/2014/chart" uri="{C3380CC4-5D6E-409C-BE32-E72D297353CC}">
                <c16:uniqueId val="{00000001-2BBB-492F-B925-1AB67DD9E2A5}"/>
              </c:ext>
            </c:extLst>
          </c:dPt>
          <c:cat>
            <c:strRef>
              <c:f>PRICING!$Q$47:$Q$63</c:f>
              <c:strCache>
                <c:ptCount val="17"/>
                <c:pt idx="0">
                  <c:v>CSL</c:v>
                </c:pt>
                <c:pt idx="1">
                  <c:v>WSO</c:v>
                </c:pt>
                <c:pt idx="2">
                  <c:v>AOS</c:v>
                </c:pt>
                <c:pt idx="3">
                  <c:v>ALLE</c:v>
                </c:pt>
                <c:pt idx="4">
                  <c:v>FBIN</c:v>
                </c:pt>
                <c:pt idx="5">
                  <c:v>SSD</c:v>
                </c:pt>
                <c:pt idx="6">
                  <c:v>SPXC</c:v>
                </c:pt>
                <c:pt idx="7">
                  <c:v>AZEK</c:v>
                </c:pt>
                <c:pt idx="8">
                  <c:v>GFF</c:v>
                </c:pt>
                <c:pt idx="9">
                  <c:v>JBI</c:v>
                </c:pt>
                <c:pt idx="10">
                  <c:v>AMWD</c:v>
                </c:pt>
                <c:pt idx="11">
                  <c:v>APOG</c:v>
                </c:pt>
                <c:pt idx="12">
                  <c:v>NX</c:v>
                </c:pt>
                <c:pt idx="13">
                  <c:v>TILE</c:v>
                </c:pt>
                <c:pt idx="14">
                  <c:v>PLPC</c:v>
                </c:pt>
                <c:pt idx="15">
                  <c:v>LYTS</c:v>
                </c:pt>
                <c:pt idx="16">
                  <c:v>FGI</c:v>
                </c:pt>
              </c:strCache>
            </c:strRef>
          </c:cat>
          <c:val>
            <c:numRef>
              <c:f>PRICING!$R$47:$R$63</c:f>
              <c:numCache>
                <c:formatCode>0.000</c:formatCode>
                <c:ptCount val="17"/>
                <c:pt idx="0">
                  <c:v>-1.9356661143954694</c:v>
                </c:pt>
                <c:pt idx="1">
                  <c:v>-2.9783447727795354</c:v>
                </c:pt>
                <c:pt idx="2">
                  <c:v>-1.1817200795062259</c:v>
                </c:pt>
                <c:pt idx="3">
                  <c:v>-0.27955732202897643</c:v>
                </c:pt>
                <c:pt idx="4">
                  <c:v>-0.1767069490753741</c:v>
                </c:pt>
                <c:pt idx="5">
                  <c:v>-0.35075461307953315</c:v>
                </c:pt>
                <c:pt idx="6">
                  <c:v>-2.6449537143736479</c:v>
                </c:pt>
                <c:pt idx="7">
                  <c:v>-2.2101537860802689</c:v>
                </c:pt>
                <c:pt idx="8">
                  <c:v>1.8503827055477702</c:v>
                </c:pt>
                <c:pt idx="9">
                  <c:v>1.8121682042290033</c:v>
                </c:pt>
                <c:pt idx="10">
                  <c:v>1.266453215610239</c:v>
                </c:pt>
                <c:pt idx="11">
                  <c:v>1.6845854478302349</c:v>
                </c:pt>
                <c:pt idx="12">
                  <c:v>1.3460632745606285</c:v>
                </c:pt>
                <c:pt idx="13">
                  <c:v>0.8812665173106411</c:v>
                </c:pt>
                <c:pt idx="14">
                  <c:v>1.319774374189987</c:v>
                </c:pt>
                <c:pt idx="15">
                  <c:v>0.98430733411818361</c:v>
                </c:pt>
                <c:pt idx="16">
                  <c:v>0.61285627792238584</c:v>
                </c:pt>
              </c:numCache>
            </c:numRef>
          </c:val>
          <c:extLst>
            <c:ext xmlns:c16="http://schemas.microsoft.com/office/drawing/2014/chart" uri="{C3380CC4-5D6E-409C-BE32-E72D297353CC}">
              <c16:uniqueId val="{00000000-2BBB-492F-B925-1AB67DD9E2A5}"/>
            </c:ext>
          </c:extLst>
        </c:ser>
        <c:dLbls>
          <c:showLegendKey val="0"/>
          <c:showVal val="0"/>
          <c:showCatName val="0"/>
          <c:showSerName val="0"/>
          <c:showPercent val="0"/>
          <c:showBubbleSize val="0"/>
        </c:dLbls>
        <c:gapWidth val="219"/>
        <c:overlap val="-27"/>
        <c:axId val="1255456800"/>
        <c:axId val="1255429920"/>
      </c:barChart>
      <c:catAx>
        <c:axId val="125545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29920"/>
        <c:crosses val="autoZero"/>
        <c:auto val="1"/>
        <c:lblAlgn val="ctr"/>
        <c:lblOffset val="100"/>
        <c:noMultiLvlLbl val="0"/>
      </c:catAx>
      <c:valAx>
        <c:axId val="12554299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56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data!$F$11</c:f>
              <c:strCache>
                <c:ptCount val="1"/>
                <c:pt idx="0">
                  <c:v>revenue</c:v>
                </c:pt>
              </c:strCache>
            </c:strRef>
          </c:tx>
          <c:spPr>
            <a:solidFill>
              <a:schemeClr val="accent1"/>
            </a:solidFill>
            <a:ln>
              <a:noFill/>
            </a:ln>
            <a:effectLst/>
          </c:spPr>
          <c:invertIfNegative val="0"/>
          <c:cat>
            <c:numRef>
              <c:f>data!$E$12:$E$39</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data!$F$12:$F$39</c:f>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0-3C8B-4926-BBF9-E8C860E85245}"/>
            </c:ext>
          </c:extLst>
        </c:ser>
        <c:dLbls>
          <c:showLegendKey val="0"/>
          <c:showVal val="0"/>
          <c:showCatName val="0"/>
          <c:showSerName val="0"/>
          <c:showPercent val="0"/>
          <c:showBubbleSize val="0"/>
        </c:dLbls>
        <c:gapWidth val="219"/>
        <c:overlap val="-27"/>
        <c:axId val="374432960"/>
        <c:axId val="374438240"/>
      </c:barChart>
      <c:lineChart>
        <c:grouping val="standard"/>
        <c:varyColors val="0"/>
        <c:ser>
          <c:idx val="1"/>
          <c:order val="1"/>
          <c:tx>
            <c:strRef>
              <c:f>data!$G$11</c:f>
              <c:strCache>
                <c:ptCount val="1"/>
                <c:pt idx="0">
                  <c:v>growth %</c:v>
                </c:pt>
              </c:strCache>
            </c:strRef>
          </c:tx>
          <c:spPr>
            <a:ln w="28575" cap="rnd">
              <a:solidFill>
                <a:schemeClr val="accent2"/>
              </a:solidFill>
              <a:round/>
            </a:ln>
            <a:effectLst/>
          </c:spPr>
          <c:marker>
            <c:symbol val="none"/>
          </c:marker>
          <c:cat>
            <c:numRef>
              <c:f>data!$E$12:$E$39</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data!$G$12:$G$39</c:f>
              <c:numCache>
                <c:formatCode>0.0%</c:formatCode>
                <c:ptCount val="28"/>
                <c:pt idx="1">
                  <c:v>0.10751279914275517</c:v>
                </c:pt>
                <c:pt idx="2">
                  <c:v>5.6683802114892171E-2</c:v>
                </c:pt>
                <c:pt idx="3">
                  <c:v>-9.710789663528234E-2</c:v>
                </c:pt>
                <c:pt idx="4">
                  <c:v>6.1906835002176697E-2</c:v>
                </c:pt>
                <c:pt idx="5">
                  <c:v>-5.2895838558447247E-2</c:v>
                </c:pt>
                <c:pt idx="6">
                  <c:v>-0.13506989534794894</c:v>
                </c:pt>
                <c:pt idx="7">
                  <c:v>-9.7202105486275558E-2</c:v>
                </c:pt>
                <c:pt idx="8">
                  <c:v>0.19421129176367771</c:v>
                </c:pt>
                <c:pt idx="9">
                  <c:v>0.12392415570798204</c:v>
                </c:pt>
                <c:pt idx="10">
                  <c:v>5.4095158500320741E-2</c:v>
                </c:pt>
                <c:pt idx="11">
                  <c:v>7.5376722274208524E-2</c:v>
                </c:pt>
                <c:pt idx="12">
                  <c:v>0.15625683165515747</c:v>
                </c:pt>
                <c:pt idx="13">
                  <c:v>-4.7237730868756135E-2</c:v>
                </c:pt>
                <c:pt idx="14">
                  <c:v>0.31517509727626458</c:v>
                </c:pt>
                <c:pt idx="15">
                  <c:v>0.25443786982248523</c:v>
                </c:pt>
                <c:pt idx="16">
                  <c:v>3.5377358490566037E-2</c:v>
                </c:pt>
                <c:pt idx="17">
                  <c:v>-6.6059225512528477E-2</c:v>
                </c:pt>
                <c:pt idx="18">
                  <c:v>-5.3658536585365853E-2</c:v>
                </c:pt>
                <c:pt idx="19">
                  <c:v>-8.505154639175258E-2</c:v>
                </c:pt>
                <c:pt idx="20">
                  <c:v>-5.0704225352112678E-2</c:v>
                </c:pt>
                <c:pt idx="21">
                  <c:v>0.12166172106824925</c:v>
                </c:pt>
                <c:pt idx="22">
                  <c:v>0.11375661375661375</c:v>
                </c:pt>
                <c:pt idx="23">
                  <c:v>5.6769596199524888E-2</c:v>
                </c:pt>
                <c:pt idx="24">
                  <c:v>4.8325466396943136E-2</c:v>
                </c:pt>
                <c:pt idx="25">
                  <c:v>0.10934819897084049</c:v>
                </c:pt>
                <c:pt idx="26">
                  <c:v>0.23115577889447242</c:v>
                </c:pt>
                <c:pt idx="27">
                  <c:v>5.1334379905808546E-2</c:v>
                </c:pt>
              </c:numCache>
            </c:numRef>
          </c:val>
          <c:smooth val="0"/>
          <c:extLst>
            <c:ext xmlns:c16="http://schemas.microsoft.com/office/drawing/2014/chart" uri="{C3380CC4-5D6E-409C-BE32-E72D297353CC}">
              <c16:uniqueId val="{00000001-3C8B-4926-BBF9-E8C860E85245}"/>
            </c:ext>
          </c:extLst>
        </c:ser>
        <c:dLbls>
          <c:showLegendKey val="0"/>
          <c:showVal val="0"/>
          <c:showCatName val="0"/>
          <c:showSerName val="0"/>
          <c:showPercent val="0"/>
          <c:showBubbleSize val="0"/>
        </c:dLbls>
        <c:marker val="1"/>
        <c:smooth val="0"/>
        <c:axId val="374442080"/>
        <c:axId val="374438720"/>
      </c:lineChart>
      <c:catAx>
        <c:axId val="3744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8240"/>
        <c:crosses val="autoZero"/>
        <c:auto val="1"/>
        <c:lblAlgn val="ctr"/>
        <c:lblOffset val="100"/>
        <c:noMultiLvlLbl val="0"/>
      </c:catAx>
      <c:valAx>
        <c:axId val="37443824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2960"/>
        <c:crosses val="autoZero"/>
        <c:crossBetween val="between"/>
      </c:valAx>
      <c:valAx>
        <c:axId val="3744387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42080"/>
        <c:crosses val="max"/>
        <c:crossBetween val="between"/>
      </c:valAx>
      <c:catAx>
        <c:axId val="374442080"/>
        <c:scaling>
          <c:orientation val="minMax"/>
        </c:scaling>
        <c:delete val="1"/>
        <c:axPos val="b"/>
        <c:numFmt formatCode="General" sourceLinked="1"/>
        <c:majorTickMark val="none"/>
        <c:minorTickMark val="none"/>
        <c:tickLblPos val="nextTo"/>
        <c:crossAx val="374438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data!$G$11</c:f>
              <c:strCache>
                <c:ptCount val="1"/>
                <c:pt idx="0">
                  <c:v>growth %</c:v>
                </c:pt>
              </c:strCache>
            </c:strRef>
          </c:tx>
          <c:spPr>
            <a:solidFill>
              <a:srgbClr val="00B050"/>
            </a:solidFill>
            <a:ln>
              <a:noFill/>
            </a:ln>
            <a:effectLst/>
          </c:spPr>
          <c:invertIfNegative val="0"/>
          <c:cat>
            <c:numRef>
              <c:f>data!$E$12:$E$39</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data!$G$12:$G$39</c:f>
              <c:numCache>
                <c:formatCode>0.0%</c:formatCode>
                <c:ptCount val="28"/>
                <c:pt idx="1">
                  <c:v>0.10751279914275517</c:v>
                </c:pt>
                <c:pt idx="2">
                  <c:v>5.6683802114892171E-2</c:v>
                </c:pt>
                <c:pt idx="3">
                  <c:v>-9.710789663528234E-2</c:v>
                </c:pt>
                <c:pt idx="4">
                  <c:v>6.1906835002176697E-2</c:v>
                </c:pt>
                <c:pt idx="5">
                  <c:v>-5.2895838558447247E-2</c:v>
                </c:pt>
                <c:pt idx="6">
                  <c:v>-0.13506989534794894</c:v>
                </c:pt>
                <c:pt idx="7">
                  <c:v>-9.7202105486275558E-2</c:v>
                </c:pt>
                <c:pt idx="8">
                  <c:v>0.19421129176367771</c:v>
                </c:pt>
                <c:pt idx="9">
                  <c:v>0.12392415570798204</c:v>
                </c:pt>
                <c:pt idx="10">
                  <c:v>5.4095158500320741E-2</c:v>
                </c:pt>
                <c:pt idx="11">
                  <c:v>7.5376722274208524E-2</c:v>
                </c:pt>
                <c:pt idx="12">
                  <c:v>0.15625683165515747</c:v>
                </c:pt>
                <c:pt idx="13">
                  <c:v>-4.7237730868756135E-2</c:v>
                </c:pt>
                <c:pt idx="14">
                  <c:v>0.31517509727626458</c:v>
                </c:pt>
                <c:pt idx="15">
                  <c:v>0.25443786982248523</c:v>
                </c:pt>
                <c:pt idx="16">
                  <c:v>3.5377358490566037E-2</c:v>
                </c:pt>
                <c:pt idx="17">
                  <c:v>-6.6059225512528477E-2</c:v>
                </c:pt>
                <c:pt idx="18">
                  <c:v>-5.3658536585365853E-2</c:v>
                </c:pt>
                <c:pt idx="19">
                  <c:v>-8.505154639175258E-2</c:v>
                </c:pt>
                <c:pt idx="20">
                  <c:v>-5.0704225352112678E-2</c:v>
                </c:pt>
                <c:pt idx="21">
                  <c:v>0.12166172106824925</c:v>
                </c:pt>
                <c:pt idx="22">
                  <c:v>0.11375661375661375</c:v>
                </c:pt>
                <c:pt idx="23">
                  <c:v>5.6769596199524888E-2</c:v>
                </c:pt>
                <c:pt idx="24">
                  <c:v>4.8325466396943136E-2</c:v>
                </c:pt>
                <c:pt idx="25">
                  <c:v>0.10934819897084049</c:v>
                </c:pt>
                <c:pt idx="26">
                  <c:v>0.23115577889447242</c:v>
                </c:pt>
                <c:pt idx="27">
                  <c:v>5.1334379905808546E-2</c:v>
                </c:pt>
              </c:numCache>
            </c:numRef>
          </c:val>
          <c:extLst>
            <c:ext xmlns:c16="http://schemas.microsoft.com/office/drawing/2014/chart" uri="{C3380CC4-5D6E-409C-BE32-E72D297353CC}">
              <c16:uniqueId val="{00000001-58C6-4C4E-BAAB-24523C65FBA9}"/>
            </c:ext>
          </c:extLst>
        </c:ser>
        <c:dLbls>
          <c:showLegendKey val="0"/>
          <c:showVal val="0"/>
          <c:showCatName val="0"/>
          <c:showSerName val="0"/>
          <c:showPercent val="0"/>
          <c:showBubbleSize val="0"/>
        </c:dLbls>
        <c:gapWidth val="219"/>
        <c:axId val="374432960"/>
        <c:axId val="374438240"/>
        <c:extLst>
          <c:ext xmlns:c15="http://schemas.microsoft.com/office/drawing/2012/chart" uri="{02D57815-91ED-43cb-92C2-25804820EDAC}">
            <c15:filteredBarSeries>
              <c15:ser>
                <c:idx val="0"/>
                <c:order val="0"/>
                <c:tx>
                  <c:strRef>
                    <c:extLst>
                      <c:ext uri="{02D57815-91ED-43cb-92C2-25804820EDAC}">
                        <c15:formulaRef>
                          <c15:sqref>data!$F$11</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data!$E$12:$E$39</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data!$F$12:$F$39</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0-58C6-4C4E-BAAB-24523C65FBA9}"/>
                  </c:ext>
                </c:extLst>
              </c15:ser>
            </c15:filteredBarSeries>
          </c:ext>
        </c:extLst>
      </c:barChart>
      <c:catAx>
        <c:axId val="3744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8240"/>
        <c:crosses val="autoZero"/>
        <c:auto val="1"/>
        <c:lblAlgn val="ctr"/>
        <c:lblOffset val="100"/>
        <c:noMultiLvlLbl val="0"/>
      </c:catAx>
      <c:valAx>
        <c:axId val="3744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ttm - 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analysis!$E$99</c:f>
              <c:strCache>
                <c:ptCount val="1"/>
                <c:pt idx="0">
                  <c:v>ttm</c:v>
                </c:pt>
              </c:strCache>
            </c:strRef>
          </c:tx>
          <c:spPr>
            <a:solidFill>
              <a:schemeClr val="accent2"/>
            </a:solidFill>
            <a:ln>
              <a:noFill/>
            </a:ln>
            <a:effectLst/>
          </c:spPr>
          <c:invertIfNegative val="0"/>
          <c:cat>
            <c:strRef>
              <c:f>analysis!$B$100:$B$118</c:f>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f>analysis!$E$100:$E$118</c:f>
              <c:numCache>
                <c:formatCode>_-[$$-409]* #,##0_ ;_-[$$-409]* \-#,##0\ ;_-[$$-409]* "-"??_ ;_-@_ </c:formatCode>
                <c:ptCount val="19"/>
                <c:pt idx="2">
                  <c:v>17299</c:v>
                </c:pt>
                <c:pt idx="3">
                  <c:v>19743</c:v>
                </c:pt>
                <c:pt idx="4">
                  <c:v>27103</c:v>
                </c:pt>
                <c:pt idx="5">
                  <c:v>26108</c:v>
                </c:pt>
                <c:pt idx="6">
                  <c:v>22797</c:v>
                </c:pt>
                <c:pt idx="7">
                  <c:v>18726</c:v>
                </c:pt>
                <c:pt idx="8">
                  <c:v>26771</c:v>
                </c:pt>
                <c:pt idx="9">
                  <c:v>28544</c:v>
                </c:pt>
                <c:pt idx="10">
                  <c:v>31954</c:v>
                </c:pt>
                <c:pt idx="11">
                  <c:v>34972</c:v>
                </c:pt>
                <c:pt idx="12">
                  <c:v>37911</c:v>
                </c:pt>
                <c:pt idx="13">
                  <c:v>42098</c:v>
                </c:pt>
                <c:pt idx="14">
                  <c:v>49796</c:v>
                </c:pt>
                <c:pt idx="15">
                  <c:v>58371</c:v>
                </c:pt>
                <c:pt idx="16">
                  <c:v>57028</c:v>
                </c:pt>
                <c:pt idx="17">
                  <c:v>41918</c:v>
                </c:pt>
                <c:pt idx="18">
                  <c:v>31057</c:v>
                </c:pt>
              </c:numCache>
            </c:numRef>
          </c:val>
          <c:extLst>
            <c:ext xmlns:c16="http://schemas.microsoft.com/office/drawing/2014/chart" uri="{C3380CC4-5D6E-409C-BE32-E72D297353CC}">
              <c16:uniqueId val="{00000001-248A-489B-80DD-AA31CC1ACD64}"/>
            </c:ext>
          </c:extLst>
        </c:ser>
        <c:dLbls>
          <c:showLegendKey val="0"/>
          <c:showVal val="0"/>
          <c:showCatName val="0"/>
          <c:showSerName val="0"/>
          <c:showPercent val="0"/>
          <c:showBubbleSize val="0"/>
        </c:dLbls>
        <c:gapWidth val="219"/>
        <c:overlap val="-27"/>
        <c:axId val="1716093023"/>
        <c:axId val="1716093503"/>
        <c:extLst>
          <c:ext xmlns:c15="http://schemas.microsoft.com/office/drawing/2012/chart" uri="{02D57815-91ED-43cb-92C2-25804820EDAC}">
            <c15:filteredBarSeries>
              <c15:ser>
                <c:idx val="0"/>
                <c:order val="0"/>
                <c:tx>
                  <c:strRef>
                    <c:extLst>
                      <c:ext uri="{02D57815-91ED-43cb-92C2-25804820EDAC}">
                        <c15:formulaRef>
                          <c15:sqref>analysis!$C$99</c15:sqref>
                        </c15:formulaRef>
                      </c:ext>
                    </c:extLst>
                    <c:strCache>
                      <c:ptCount val="1"/>
                      <c:pt idx="0">
                        <c:v>net income</c:v>
                      </c:pt>
                    </c:strCache>
                  </c:strRef>
                </c:tx>
                <c:spPr>
                  <a:solidFill>
                    <a:schemeClr val="accent1"/>
                  </a:solidFill>
                  <a:ln>
                    <a:noFill/>
                  </a:ln>
                  <a:effectLst/>
                </c:spPr>
                <c:invertIfNegative val="0"/>
                <c:cat>
                  <c:strRef>
                    <c:extLst>
                      <c:ext uri="{02D57815-91ED-43cb-92C2-25804820EDAC}">
                        <c15:formulaRef>
                          <c15:sqref>analysis!$B$100:$B$118</c15:sqref>
                        </c15:formulaRef>
                      </c:ext>
                    </c:extLst>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extLst>
                      <c:ext uri="{02D57815-91ED-43cb-92C2-25804820EDAC}">
                        <c15:formulaRef>
                          <c15:sqref>analysis!$C$100:$C$118</c15:sqref>
                        </c15:formulaRef>
                      </c:ext>
                    </c:extLst>
                    <c:numCache>
                      <c:formatCode>_-[$$-409]* #,##0_ ;_-[$$-409]* \-#,##0\ ;_-[$$-409]* "-"??_ ;_-@_ </c:formatCode>
                      <c:ptCount val="19"/>
                      <c:pt idx="0">
                        <c:v>8044</c:v>
                      </c:pt>
                      <c:pt idx="1">
                        <c:v>5602</c:v>
                      </c:pt>
                      <c:pt idx="2">
                        <c:v>3653</c:v>
                      </c:pt>
                      <c:pt idx="3">
                        <c:v>10488</c:v>
                      </c:pt>
                      <c:pt idx="4">
                        <c:v>12962</c:v>
                      </c:pt>
                      <c:pt idx="5">
                        <c:v>2658</c:v>
                      </c:pt>
                      <c:pt idx="6">
                        <c:v>7177</c:v>
                      </c:pt>
                      <c:pt idx="7">
                        <c:v>8891</c:v>
                      </c:pt>
                      <c:pt idx="8">
                        <c:v>10703</c:v>
                      </c:pt>
                      <c:pt idx="9">
                        <c:v>8950</c:v>
                      </c:pt>
                      <c:pt idx="10">
                        <c:v>12301</c:v>
                      </c:pt>
                      <c:pt idx="11">
                        <c:v>13721</c:v>
                      </c:pt>
                      <c:pt idx="12">
                        <c:v>11889</c:v>
                      </c:pt>
                      <c:pt idx="13">
                        <c:v>16488</c:v>
                      </c:pt>
                      <c:pt idx="14">
                        <c:v>21419</c:v>
                      </c:pt>
                      <c:pt idx="15">
                        <c:v>20464</c:v>
                      </c:pt>
                      <c:pt idx="16">
                        <c:v>15145</c:v>
                      </c:pt>
                      <c:pt idx="17">
                        <c:v>6309</c:v>
                      </c:pt>
                      <c:pt idx="18">
                        <c:v>9603</c:v>
                      </c:pt>
                    </c:numCache>
                  </c:numRef>
                </c:val>
                <c:extLst>
                  <c:ext xmlns:c16="http://schemas.microsoft.com/office/drawing/2014/chart" uri="{C3380CC4-5D6E-409C-BE32-E72D297353CC}">
                    <c16:uniqueId val="{00000000-248A-489B-80DD-AA31CC1ACD64}"/>
                  </c:ext>
                </c:extLst>
              </c15:ser>
            </c15:filteredBarSeries>
          </c:ext>
        </c:extLst>
      </c:barChart>
      <c:catAx>
        <c:axId val="171609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93503"/>
        <c:crosses val="autoZero"/>
        <c:auto val="1"/>
        <c:lblAlgn val="ctr"/>
        <c:lblOffset val="100"/>
        <c:noMultiLvlLbl val="0"/>
      </c:catAx>
      <c:valAx>
        <c:axId val="171609350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93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data!$H$43:$H$60</c:f>
              <c:numCache>
                <c:formatCode>0.0%</c:formatCode>
                <c:ptCount val="18"/>
                <c:pt idx="0">
                  <c:v>0.10751279914275517</c:v>
                </c:pt>
                <c:pt idx="1">
                  <c:v>5.6683802114892171E-2</c:v>
                </c:pt>
                <c:pt idx="2">
                  <c:v>6.1906835002176697E-2</c:v>
                </c:pt>
                <c:pt idx="3">
                  <c:v>0.19421129176367771</c:v>
                </c:pt>
                <c:pt idx="4">
                  <c:v>0.12392415570798204</c:v>
                </c:pt>
                <c:pt idx="5">
                  <c:v>5.4095158500320741E-2</c:v>
                </c:pt>
                <c:pt idx="6">
                  <c:v>7.5376722274208524E-2</c:v>
                </c:pt>
                <c:pt idx="7">
                  <c:v>0.15625683165515747</c:v>
                </c:pt>
                <c:pt idx="8">
                  <c:v>0.31517509727626458</c:v>
                </c:pt>
                <c:pt idx="9">
                  <c:v>0.25443786982248523</c:v>
                </c:pt>
                <c:pt idx="10">
                  <c:v>3.5377358490566037E-2</c:v>
                </c:pt>
                <c:pt idx="11">
                  <c:v>0.12166172106824925</c:v>
                </c:pt>
                <c:pt idx="12">
                  <c:v>0.11375661375661375</c:v>
                </c:pt>
                <c:pt idx="13">
                  <c:v>5.6769596199524888E-2</c:v>
                </c:pt>
                <c:pt idx="14">
                  <c:v>4.8325466396943136E-2</c:v>
                </c:pt>
                <c:pt idx="15">
                  <c:v>0.10934819897084049</c:v>
                </c:pt>
                <c:pt idx="16">
                  <c:v>0.23115577889447242</c:v>
                </c:pt>
                <c:pt idx="17">
                  <c:v>5.1334379905808546E-2</c:v>
                </c:pt>
              </c:numCache>
            </c:numRef>
          </c:val>
          <c:extLst>
            <c:ext xmlns:c16="http://schemas.microsoft.com/office/drawing/2014/chart" uri="{C3380CC4-5D6E-409C-BE32-E72D297353CC}">
              <c16:uniqueId val="{00000000-9DFA-4C8F-9BD7-1DDC546F969C}"/>
            </c:ext>
          </c:extLst>
        </c:ser>
        <c:dLbls>
          <c:showLegendKey val="0"/>
          <c:showVal val="0"/>
          <c:showCatName val="0"/>
          <c:showSerName val="0"/>
          <c:showPercent val="0"/>
          <c:showBubbleSize val="0"/>
        </c:dLbls>
        <c:gapWidth val="219"/>
        <c:overlap val="-27"/>
        <c:axId val="1501475296"/>
        <c:axId val="1501475776"/>
      </c:barChart>
      <c:catAx>
        <c:axId val="15014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75776"/>
        <c:crosses val="autoZero"/>
        <c:auto val="1"/>
        <c:lblAlgn val="ctr"/>
        <c:lblOffset val="100"/>
        <c:noMultiLvlLbl val="0"/>
      </c:catAx>
      <c:valAx>
        <c:axId val="1501475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7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data!$A$44:$A$59</c:f>
              <c:numCache>
                <c:formatCode>0.0%</c:formatCode>
                <c:ptCount val="16"/>
                <c:pt idx="0">
                  <c:v>0.10751279914275517</c:v>
                </c:pt>
                <c:pt idx="1">
                  <c:v>5.6683802114892171E-2</c:v>
                </c:pt>
                <c:pt idx="2">
                  <c:v>6.1906835002176697E-2</c:v>
                </c:pt>
                <c:pt idx="3">
                  <c:v>0.19421129176367771</c:v>
                </c:pt>
                <c:pt idx="4">
                  <c:v>0.12392415570798204</c:v>
                </c:pt>
                <c:pt idx="5">
                  <c:v>5.4095158500320741E-2</c:v>
                </c:pt>
                <c:pt idx="6">
                  <c:v>7.5376722274208524E-2</c:v>
                </c:pt>
                <c:pt idx="7">
                  <c:v>0.15625683165515747</c:v>
                </c:pt>
                <c:pt idx="8">
                  <c:v>3.5377358490566037E-2</c:v>
                </c:pt>
                <c:pt idx="9">
                  <c:v>0.12166172106824925</c:v>
                </c:pt>
                <c:pt idx="10">
                  <c:v>0.11375661375661375</c:v>
                </c:pt>
                <c:pt idx="11">
                  <c:v>5.6769596199524888E-2</c:v>
                </c:pt>
                <c:pt idx="12">
                  <c:v>4.8325466396943136E-2</c:v>
                </c:pt>
                <c:pt idx="13">
                  <c:v>0.10934819897084049</c:v>
                </c:pt>
                <c:pt idx="14">
                  <c:v>0.23115577889447242</c:v>
                </c:pt>
                <c:pt idx="15">
                  <c:v>5.1334379905808546E-2</c:v>
                </c:pt>
              </c:numCache>
            </c:numRef>
          </c:val>
          <c:extLst>
            <c:ext xmlns:c16="http://schemas.microsoft.com/office/drawing/2014/chart" uri="{C3380CC4-5D6E-409C-BE32-E72D297353CC}">
              <c16:uniqueId val="{00000000-565A-4D5F-ADE9-19A40809761E}"/>
            </c:ext>
          </c:extLst>
        </c:ser>
        <c:dLbls>
          <c:showLegendKey val="0"/>
          <c:showVal val="0"/>
          <c:showCatName val="0"/>
          <c:showSerName val="0"/>
          <c:showPercent val="0"/>
          <c:showBubbleSize val="0"/>
        </c:dLbls>
        <c:gapWidth val="219"/>
        <c:overlap val="-27"/>
        <c:axId val="1434734224"/>
        <c:axId val="1434729904"/>
      </c:barChart>
      <c:catAx>
        <c:axId val="14347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29904"/>
        <c:crosses val="autoZero"/>
        <c:auto val="1"/>
        <c:lblAlgn val="ctr"/>
        <c:lblOffset val="100"/>
        <c:noMultiLvlLbl val="0"/>
      </c:catAx>
      <c:valAx>
        <c:axId val="1434729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3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data!$D$63</c:f>
              <c:strCache>
                <c:ptCount val="1"/>
                <c:pt idx="0">
                  <c:v>capital ex</c:v>
                </c:pt>
              </c:strCache>
            </c:strRef>
          </c:tx>
          <c:spPr>
            <a:solidFill>
              <a:schemeClr val="accent2"/>
            </a:solidFill>
            <a:ln>
              <a:noFill/>
            </a:ln>
            <a:effectLst/>
          </c:spPr>
          <c:invertIfNegative val="0"/>
          <c:cat>
            <c:numRef>
              <c:f>data!$B$64:$B$91</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data!$D$64:$D$91</c:f>
              <c:numCache>
                <c:formatCode>_-[$$-409]* #,##0.000_ ;_-[$$-409]* \-#,##0.000\ ;_-[$$-409]* "-"??_ ;_-@_ </c:formatCode>
                <c:ptCount val="28"/>
                <c:pt idx="2">
                  <c:v>14.98</c:v>
                </c:pt>
                <c:pt idx="3">
                  <c:v>13.135999999999999</c:v>
                </c:pt>
                <c:pt idx="4">
                  <c:v>14.337999999999999</c:v>
                </c:pt>
                <c:pt idx="5">
                  <c:v>6.1959999999999997</c:v>
                </c:pt>
                <c:pt idx="6">
                  <c:v>4.7060000000000004</c:v>
                </c:pt>
                <c:pt idx="7">
                  <c:v>4.0179999999999998</c:v>
                </c:pt>
                <c:pt idx="8">
                  <c:v>6.1870000000000003</c:v>
                </c:pt>
                <c:pt idx="9">
                  <c:v>7.7370000000000001</c:v>
                </c:pt>
                <c:pt idx="10">
                  <c:v>10.198</c:v>
                </c:pt>
                <c:pt idx="11">
                  <c:v>9.6389999999999993</c:v>
                </c:pt>
                <c:pt idx="12">
                  <c:v>10.010999999999999</c:v>
                </c:pt>
                <c:pt idx="13">
                  <c:v>10.667</c:v>
                </c:pt>
                <c:pt idx="14">
                  <c:v>12.273999999999999</c:v>
                </c:pt>
                <c:pt idx="15">
                  <c:v>18.911999999999999</c:v>
                </c:pt>
                <c:pt idx="16">
                  <c:v>21.042999999999999</c:v>
                </c:pt>
                <c:pt idx="17">
                  <c:v>21.033999999999999</c:v>
                </c:pt>
                <c:pt idx="18">
                  <c:v>17.663</c:v>
                </c:pt>
                <c:pt idx="19" formatCode="_-[$$-409]* #,##0.00_ ;_-[$$-409]* \-#,##0.00\ ;_-[$$-409]* &quot;-&quot;??_ ;_-@_ ">
                  <c:v>10.754</c:v>
                </c:pt>
                <c:pt idx="20" formatCode="_-[$$-409]* #,##0.00_ ;_-[$$-409]* \-#,##0.00\ ;_-[$$-409]* &quot;-&quot;??_ ;_-@_ ">
                  <c:v>24.725000000000001</c:v>
                </c:pt>
                <c:pt idx="21">
                  <c:v>11.233000000000001</c:v>
                </c:pt>
                <c:pt idx="22">
                  <c:v>9.5280000000000005</c:v>
                </c:pt>
                <c:pt idx="23">
                  <c:v>29.466999999999999</c:v>
                </c:pt>
                <c:pt idx="24">
                  <c:v>24.568999999999999</c:v>
                </c:pt>
                <c:pt idx="25">
                  <c:v>18.384</c:v>
                </c:pt>
                <c:pt idx="26">
                  <c:v>40.597999999999999</c:v>
                </c:pt>
                <c:pt idx="27">
                  <c:v>35.332000000000001</c:v>
                </c:pt>
              </c:numCache>
            </c:numRef>
          </c:val>
          <c:extLst>
            <c:ext xmlns:c16="http://schemas.microsoft.com/office/drawing/2014/chart" uri="{C3380CC4-5D6E-409C-BE32-E72D297353CC}">
              <c16:uniqueId val="{00000001-670E-4207-8927-FD585AC991A1}"/>
            </c:ext>
          </c:extLst>
        </c:ser>
        <c:dLbls>
          <c:showLegendKey val="0"/>
          <c:showVal val="0"/>
          <c:showCatName val="0"/>
          <c:showSerName val="0"/>
          <c:showPercent val="0"/>
          <c:showBubbleSize val="0"/>
        </c:dLbls>
        <c:gapWidth val="219"/>
        <c:overlap val="-27"/>
        <c:axId val="1479472144"/>
        <c:axId val="1576943808"/>
        <c:extLst>
          <c:ext xmlns:c15="http://schemas.microsoft.com/office/drawing/2012/chart" uri="{02D57815-91ED-43cb-92C2-25804820EDAC}">
            <c15:filteredBarSeries>
              <c15:ser>
                <c:idx val="0"/>
                <c:order val="0"/>
                <c:tx>
                  <c:strRef>
                    <c:extLst>
                      <c:ext uri="{02D57815-91ED-43cb-92C2-25804820EDAC}">
                        <c15:formulaRef>
                          <c15:sqref>data!$C$63</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data!$C$64:$C$91</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0-670E-4207-8927-FD585AC991A1}"/>
                  </c:ext>
                </c:extLst>
              </c15:ser>
            </c15:filteredBarSeries>
          </c:ext>
        </c:extLst>
      </c:barChart>
      <c:catAx>
        <c:axId val="147947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943808"/>
        <c:crosses val="autoZero"/>
        <c:auto val="1"/>
        <c:lblAlgn val="ctr"/>
        <c:lblOffset val="100"/>
        <c:noMultiLvlLbl val="0"/>
      </c:catAx>
      <c:valAx>
        <c:axId val="1576943808"/>
        <c:scaling>
          <c:orientation val="minMax"/>
        </c:scaling>
        <c:delete val="0"/>
        <c:axPos val="l"/>
        <c:majorGridlines>
          <c:spPr>
            <a:ln w="9525" cap="flat" cmpd="sng" algn="ctr">
              <a:solidFill>
                <a:schemeClr val="tx1">
                  <a:lumMod val="15000"/>
                  <a:lumOff val="85000"/>
                </a:schemeClr>
              </a:solidFill>
              <a:round/>
            </a:ln>
            <a:effectLst/>
          </c:spPr>
        </c:majorGridlines>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7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c:v>
          </c:tx>
          <c:spPr>
            <a:ln w="19050" cap="rnd">
              <a:noFill/>
              <a:round/>
            </a:ln>
            <a:effectLst/>
          </c:spPr>
          <c:marker>
            <c:symbol val="circle"/>
            <c:size val="5"/>
            <c:spPr>
              <a:solidFill>
                <a:schemeClr val="accent1"/>
              </a:solidFill>
              <a:ln w="9525">
                <a:solidFill>
                  <a:schemeClr val="accent1"/>
                </a:solidFill>
              </a:ln>
              <a:effectLst/>
            </c:spPr>
          </c:marker>
          <c:xVal>
            <c:numRef>
              <c:f>data!$B$66:$B$91</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xVal>
          <c:yVal>
            <c:numRef>
              <c:f>data!$N$66:$N$91</c:f>
              <c:numCache>
                <c:formatCode>_-[$$-409]* #,##0.000_ ;_-[$$-409]* \-#,##0.000\ ;_-[$$-409]* "-"??_ ;_-@_ </c:formatCode>
                <c:ptCount val="26"/>
                <c:pt idx="0">
                  <c:v>-6.5250000000000012</c:v>
                </c:pt>
                <c:pt idx="1">
                  <c:v>-5.3539999999999992</c:v>
                </c:pt>
                <c:pt idx="2">
                  <c:v>1.7329999999999999</c:v>
                </c:pt>
                <c:pt idx="3">
                  <c:v>-9.6999999999999975E-2</c:v>
                </c:pt>
                <c:pt idx="4">
                  <c:v>5.7420000000000009</c:v>
                </c:pt>
                <c:pt idx="5">
                  <c:v>9.0359999999999996</c:v>
                </c:pt>
                <c:pt idx="6">
                  <c:v>-6.5349999999999993</c:v>
                </c:pt>
                <c:pt idx="7">
                  <c:v>2.4959999999999996</c:v>
                </c:pt>
                <c:pt idx="8">
                  <c:v>-5.4240000000000004</c:v>
                </c:pt>
                <c:pt idx="9">
                  <c:v>-8.8980000000000015</c:v>
                </c:pt>
                <c:pt idx="10">
                  <c:v>-9.6419999999999995</c:v>
                </c:pt>
                <c:pt idx="11">
                  <c:v>3.278</c:v>
                </c:pt>
                <c:pt idx="12">
                  <c:v>-6.7600000000000007</c:v>
                </c:pt>
                <c:pt idx="13">
                  <c:v>-29.318999999999999</c:v>
                </c:pt>
                <c:pt idx="14">
                  <c:v>6.7219999999999995</c:v>
                </c:pt>
                <c:pt idx="15">
                  <c:v>-17.056000000000001</c:v>
                </c:pt>
                <c:pt idx="16">
                  <c:v>-3.8059999999999992</c:v>
                </c:pt>
                <c:pt idx="17">
                  <c:v>-1.1700000000000004</c:v>
                </c:pt>
                <c:pt idx="18">
                  <c:v>-10.331</c:v>
                </c:pt>
                <c:pt idx="19">
                  <c:v>0.15500000000000042</c:v>
                </c:pt>
                <c:pt idx="20">
                  <c:v>-24.242999999999995</c:v>
                </c:pt>
                <c:pt idx="21">
                  <c:v>-16.705999999999996</c:v>
                </c:pt>
                <c:pt idx="22">
                  <c:v>-7.8679999999999968</c:v>
                </c:pt>
                <c:pt idx="23">
                  <c:v>-34.811</c:v>
                </c:pt>
                <c:pt idx="24">
                  <c:v>-53.149999999999984</c:v>
                </c:pt>
                <c:pt idx="25">
                  <c:v>13.196</c:v>
                </c:pt>
              </c:numCache>
            </c:numRef>
          </c:yVal>
          <c:smooth val="0"/>
          <c:extLst>
            <c:ext xmlns:c16="http://schemas.microsoft.com/office/drawing/2014/chart" uri="{C3380CC4-5D6E-409C-BE32-E72D297353CC}">
              <c16:uniqueId val="{00000000-32D0-4252-BA6C-E71E7C7DB333}"/>
            </c:ext>
          </c:extLst>
        </c:ser>
        <c:dLbls>
          <c:showLegendKey val="0"/>
          <c:showVal val="0"/>
          <c:showCatName val="0"/>
          <c:showSerName val="0"/>
          <c:showPercent val="0"/>
          <c:showBubbleSize val="0"/>
        </c:dLbls>
        <c:axId val="1453494255"/>
        <c:axId val="1453487535"/>
      </c:scatterChart>
      <c:valAx>
        <c:axId val="145349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87535"/>
        <c:crosses val="autoZero"/>
        <c:crossBetween val="midCat"/>
      </c:valAx>
      <c:valAx>
        <c:axId val="1453487535"/>
        <c:scaling>
          <c:orientation val="minMax"/>
        </c:scaling>
        <c:delete val="0"/>
        <c:axPos val="l"/>
        <c:majorGridlines>
          <c:spPr>
            <a:ln w="9525" cap="flat" cmpd="sng" algn="ctr">
              <a:solidFill>
                <a:schemeClr val="tx1">
                  <a:lumMod val="15000"/>
                  <a:lumOff val="85000"/>
                </a:schemeClr>
              </a:solidFill>
              <a:round/>
            </a:ln>
            <a:effectLst/>
          </c:spPr>
        </c:majorGridlines>
        <c:numFmt formatCode="_-[$$-409]* #,##0.000_ ;_-[$$-409]* \-#,##0.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9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data!$O$66:$O$91</c:f>
              <c:numCache>
                <c:formatCode>0.0%</c:formatCode>
                <c:ptCount val="26"/>
                <c:pt idx="0">
                  <c:v>-3.0174247609182227E-2</c:v>
                </c:pt>
                <c:pt idx="1">
                  <c:v>-2.7421957028348994E-2</c:v>
                </c:pt>
                <c:pt idx="2">
                  <c:v>8.3585746532132028E-3</c:v>
                </c:pt>
                <c:pt idx="3">
                  <c:v>-4.9397805107834886E-4</c:v>
                </c:pt>
                <c:pt idx="4">
                  <c:v>3.3807892040837957E-2</c:v>
                </c:pt>
                <c:pt idx="5">
                  <c:v>5.8930562892528023E-2</c:v>
                </c:pt>
                <c:pt idx="6">
                  <c:v>-3.568854034689152E-2</c:v>
                </c:pt>
                <c:pt idx="7">
                  <c:v>1.2128044158519754E-2</c:v>
                </c:pt>
                <c:pt idx="8">
                  <c:v>-2.5002650539096605E-2</c:v>
                </c:pt>
                <c:pt idx="9">
                  <c:v>-3.8141532605480762E-2</c:v>
                </c:pt>
                <c:pt idx="10">
                  <c:v>-3.5745267700246899E-2</c:v>
                </c:pt>
                <c:pt idx="11">
                  <c:v>1.2754863813229572E-2</c:v>
                </c:pt>
                <c:pt idx="12">
                  <c:v>-0.02</c:v>
                </c:pt>
                <c:pt idx="13">
                  <c:v>-6.9148584905660379E-2</c:v>
                </c:pt>
                <c:pt idx="14">
                  <c:v>1.5312072892938495E-2</c:v>
                </c:pt>
                <c:pt idx="15">
                  <c:v>-4.1600000000000005E-2</c:v>
                </c:pt>
                <c:pt idx="16">
                  <c:v>-9.8092783505154615E-3</c:v>
                </c:pt>
                <c:pt idx="17">
                  <c:v>-3.295774647887325E-3</c:v>
                </c:pt>
                <c:pt idx="18">
                  <c:v>-3.0655786350148366E-2</c:v>
                </c:pt>
                <c:pt idx="19">
                  <c:v>4.1005291005291117E-4</c:v>
                </c:pt>
                <c:pt idx="20">
                  <c:v>-5.7584323040380032E-2</c:v>
                </c:pt>
                <c:pt idx="21">
                  <c:v>-3.7550011238480549E-2</c:v>
                </c:pt>
                <c:pt idx="22">
                  <c:v>-1.6869639794168091E-2</c:v>
                </c:pt>
                <c:pt idx="23">
                  <c:v>-6.7280633938925402E-2</c:v>
                </c:pt>
                <c:pt idx="24">
                  <c:v>-8.3437990580847693E-2</c:v>
                </c:pt>
                <c:pt idx="25">
                  <c:v>1.9704345229207106E-2</c:v>
                </c:pt>
              </c:numCache>
            </c:numRef>
          </c:val>
          <c:extLst>
            <c:ext xmlns:c16="http://schemas.microsoft.com/office/drawing/2014/chart" uri="{C3380CC4-5D6E-409C-BE32-E72D297353CC}">
              <c16:uniqueId val="{00000000-150D-415D-947B-08D1CE1E7A84}"/>
            </c:ext>
          </c:extLst>
        </c:ser>
        <c:dLbls>
          <c:showLegendKey val="0"/>
          <c:showVal val="0"/>
          <c:showCatName val="0"/>
          <c:showSerName val="0"/>
          <c:showPercent val="0"/>
          <c:showBubbleSize val="0"/>
        </c:dLbls>
        <c:gapWidth val="219"/>
        <c:overlap val="-27"/>
        <c:axId val="1309309983"/>
        <c:axId val="1453492335"/>
      </c:barChart>
      <c:catAx>
        <c:axId val="130930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92335"/>
        <c:crosses val="autoZero"/>
        <c:auto val="1"/>
        <c:lblAlgn val="ctr"/>
        <c:lblOffset val="100"/>
        <c:noMultiLvlLbl val="0"/>
      </c:catAx>
      <c:valAx>
        <c:axId val="14534923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09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data!$E$66:$E$91</c:f>
              <c:numCache>
                <c:formatCode>_-[$$-409]* #,##0.000_ ;_-[$$-409]* \-#,##0.000\ ;_-[$$-409]* "-"??_ ;_-@_ </c:formatCode>
                <c:ptCount val="26"/>
                <c:pt idx="0">
                  <c:v>8.7539999999999996</c:v>
                </c:pt>
                <c:pt idx="1">
                  <c:v>9.7859999999999996</c:v>
                </c:pt>
                <c:pt idx="2">
                  <c:v>11.411</c:v>
                </c:pt>
                <c:pt idx="3">
                  <c:v>10.32</c:v>
                </c:pt>
                <c:pt idx="4">
                  <c:v>9.0180000000000007</c:v>
                </c:pt>
                <c:pt idx="5">
                  <c:v>8.3290000000000006</c:v>
                </c:pt>
                <c:pt idx="6">
                  <c:v>7.3849999999999998</c:v>
                </c:pt>
                <c:pt idx="7">
                  <c:v>7.2140000000000004</c:v>
                </c:pt>
                <c:pt idx="8">
                  <c:v>7.5339999999999998</c:v>
                </c:pt>
                <c:pt idx="9">
                  <c:v>8.0790000000000006</c:v>
                </c:pt>
                <c:pt idx="10">
                  <c:v>8.5489999999999995</c:v>
                </c:pt>
                <c:pt idx="11">
                  <c:v>7.2489999999999997</c:v>
                </c:pt>
                <c:pt idx="12">
                  <c:v>9.3940000000000001</c:v>
                </c:pt>
                <c:pt idx="13">
                  <c:v>10.525</c:v>
                </c:pt>
                <c:pt idx="14">
                  <c:v>11.564</c:v>
                </c:pt>
                <c:pt idx="15">
                  <c:v>12.087999999999999</c:v>
                </c:pt>
                <c:pt idx="16">
                  <c:v>12.856999999999999</c:v>
                </c:pt>
                <c:pt idx="17">
                  <c:v>11.532</c:v>
                </c:pt>
                <c:pt idx="18">
                  <c:v>11.996</c:v>
                </c:pt>
                <c:pt idx="19">
                  <c:v>12.79</c:v>
                </c:pt>
                <c:pt idx="20">
                  <c:v>12.444000000000001</c:v>
                </c:pt>
                <c:pt idx="21">
                  <c:v>13.747999999999999</c:v>
                </c:pt>
                <c:pt idx="22">
                  <c:v>13.837999999999999</c:v>
                </c:pt>
                <c:pt idx="23">
                  <c:v>15.564</c:v>
                </c:pt>
                <c:pt idx="24">
                  <c:v>16.43</c:v>
                </c:pt>
                <c:pt idx="25">
                  <c:v>18.914000000000001</c:v>
                </c:pt>
              </c:numCache>
            </c:numRef>
          </c:val>
          <c:extLst>
            <c:ext xmlns:c16="http://schemas.microsoft.com/office/drawing/2014/chart" uri="{C3380CC4-5D6E-409C-BE32-E72D297353CC}">
              <c16:uniqueId val="{00000000-851E-45EB-AE15-88D96B433C42}"/>
            </c:ext>
          </c:extLst>
        </c:ser>
        <c:dLbls>
          <c:showLegendKey val="0"/>
          <c:showVal val="0"/>
          <c:showCatName val="0"/>
          <c:showSerName val="0"/>
          <c:showPercent val="0"/>
          <c:showBubbleSize val="0"/>
        </c:dLbls>
        <c:gapWidth val="219"/>
        <c:overlap val="-27"/>
        <c:axId val="1468671007"/>
        <c:axId val="1468684447"/>
      </c:barChart>
      <c:catAx>
        <c:axId val="146867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84447"/>
        <c:crosses val="autoZero"/>
        <c:auto val="1"/>
        <c:lblAlgn val="ctr"/>
        <c:lblOffset val="100"/>
        <c:noMultiLvlLbl val="0"/>
      </c:catAx>
      <c:valAx>
        <c:axId val="1468684447"/>
        <c:scaling>
          <c:orientation val="minMax"/>
        </c:scaling>
        <c:delete val="0"/>
        <c:axPos val="l"/>
        <c:majorGridlines>
          <c:spPr>
            <a:ln w="9525" cap="flat" cmpd="sng" algn="ctr">
              <a:solidFill>
                <a:schemeClr val="tx1">
                  <a:lumMod val="15000"/>
                  <a:lumOff val="85000"/>
                </a:schemeClr>
              </a:solidFill>
              <a:round/>
            </a:ln>
            <a:effectLst/>
          </c:spPr>
        </c:majorGridlines>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71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data!$B$66:$B$91</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data!$F$66:$F$91</c:f>
              <c:numCache>
                <c:formatCode>_-[$$-409]* #,##0.000_ ;_-[$$-409]* \-#,##0.000\ ;_-[$$-409]* "-"??_ ;_-@_ </c:formatCode>
                <c:ptCount val="26"/>
                <c:pt idx="0">
                  <c:v>6.2260000000000009</c:v>
                </c:pt>
                <c:pt idx="1">
                  <c:v>3.3499999999999996</c:v>
                </c:pt>
                <c:pt idx="2">
                  <c:v>2.9269999999999996</c:v>
                </c:pt>
                <c:pt idx="3">
                  <c:v>-4.1240000000000006</c:v>
                </c:pt>
                <c:pt idx="4">
                  <c:v>-4.3120000000000003</c:v>
                </c:pt>
                <c:pt idx="5">
                  <c:v>-4.3110000000000008</c:v>
                </c:pt>
                <c:pt idx="6">
                  <c:v>-1.1979999999999995</c:v>
                </c:pt>
                <c:pt idx="7">
                  <c:v>0.52299999999999969</c:v>
                </c:pt>
                <c:pt idx="8">
                  <c:v>2.6640000000000006</c:v>
                </c:pt>
                <c:pt idx="9">
                  <c:v>1.5599999999999987</c:v>
                </c:pt>
                <c:pt idx="10">
                  <c:v>1.4619999999999997</c:v>
                </c:pt>
                <c:pt idx="11">
                  <c:v>3.4180000000000001</c:v>
                </c:pt>
                <c:pt idx="12">
                  <c:v>2.879999999999999</c:v>
                </c:pt>
                <c:pt idx="13">
                  <c:v>8.3869999999999987</c:v>
                </c:pt>
                <c:pt idx="14">
                  <c:v>9.4789999999999992</c:v>
                </c:pt>
                <c:pt idx="15">
                  <c:v>8.9459999999999997</c:v>
                </c:pt>
                <c:pt idx="16">
                  <c:v>4.8060000000000009</c:v>
                </c:pt>
                <c:pt idx="17">
                  <c:v>-0.77800000000000047</c:v>
                </c:pt>
                <c:pt idx="18">
                  <c:v>12.729000000000001</c:v>
                </c:pt>
                <c:pt idx="19">
                  <c:v>-1.5569999999999986</c:v>
                </c:pt>
                <c:pt idx="20">
                  <c:v>-2.9160000000000004</c:v>
                </c:pt>
                <c:pt idx="21">
                  <c:v>15.718999999999999</c:v>
                </c:pt>
                <c:pt idx="22">
                  <c:v>10.731</c:v>
                </c:pt>
                <c:pt idx="23">
                  <c:v>2.8200000000000003</c:v>
                </c:pt>
                <c:pt idx="24">
                  <c:v>24.167999999999999</c:v>
                </c:pt>
                <c:pt idx="25">
                  <c:v>16.417999999999999</c:v>
                </c:pt>
              </c:numCache>
            </c:numRef>
          </c:val>
          <c:extLst>
            <c:ext xmlns:c16="http://schemas.microsoft.com/office/drawing/2014/chart" uri="{C3380CC4-5D6E-409C-BE32-E72D297353CC}">
              <c16:uniqueId val="{00000000-EADC-4F6E-BC3C-86BCF9696EB8}"/>
            </c:ext>
          </c:extLst>
        </c:ser>
        <c:dLbls>
          <c:showLegendKey val="0"/>
          <c:showVal val="0"/>
          <c:showCatName val="0"/>
          <c:showSerName val="0"/>
          <c:showPercent val="0"/>
          <c:showBubbleSize val="0"/>
        </c:dLbls>
        <c:gapWidth val="219"/>
        <c:overlap val="-27"/>
        <c:axId val="1468670047"/>
        <c:axId val="1468685407"/>
      </c:barChart>
      <c:catAx>
        <c:axId val="146867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85407"/>
        <c:crosses val="autoZero"/>
        <c:auto val="1"/>
        <c:lblAlgn val="ctr"/>
        <c:lblOffset val="100"/>
        <c:noMultiLvlLbl val="0"/>
      </c:catAx>
      <c:valAx>
        <c:axId val="1468685407"/>
        <c:scaling>
          <c:orientation val="minMax"/>
        </c:scaling>
        <c:delete val="0"/>
        <c:axPos val="l"/>
        <c:majorGridlines>
          <c:spPr>
            <a:ln w="9525" cap="flat" cmpd="sng" algn="ctr">
              <a:solidFill>
                <a:schemeClr val="tx1">
                  <a:lumMod val="15000"/>
                  <a:lumOff val="85000"/>
                </a:schemeClr>
              </a:solidFill>
              <a:round/>
            </a:ln>
            <a:effectLst/>
          </c:spPr>
        </c:majorGridlines>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7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241812678136543E-2"/>
          <c:y val="0.10953935411063848"/>
          <c:w val="0.89203138150447392"/>
          <c:h val="0.78460866716041988"/>
        </c:manualLayout>
      </c:layout>
      <c:barChart>
        <c:barDir val="col"/>
        <c:grouping val="stacked"/>
        <c:varyColors val="0"/>
        <c:ser>
          <c:idx val="11"/>
          <c:order val="11"/>
          <c:tx>
            <c:strRef>
              <c:f>data!$N$63</c:f>
              <c:strCache>
                <c:ptCount val="1"/>
                <c:pt idx="0">
                  <c:v>chg in non cash wc</c:v>
                </c:pt>
              </c:strCache>
            </c:strRef>
          </c:tx>
          <c:spPr>
            <a:solidFill>
              <a:schemeClr val="accent6">
                <a:lumMod val="60000"/>
              </a:schemeClr>
            </a:solidFill>
            <a:ln>
              <a:noFill/>
            </a:ln>
            <a:effectLst/>
          </c:spPr>
          <c:invertIfNegative val="0"/>
          <c:cat>
            <c:numRef>
              <c:f>data!$B$64:$B$91</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data!$N$64:$N$91</c:f>
              <c:numCache>
                <c:formatCode>_-[$$-409]* #,##0.000_ ;_-[$$-409]* \-#,##0.000\ ;_-[$$-409]* "-"??_ ;_-@_ </c:formatCode>
                <c:ptCount val="28"/>
                <c:pt idx="0">
                  <c:v>0</c:v>
                </c:pt>
                <c:pt idx="1">
                  <c:v>0</c:v>
                </c:pt>
                <c:pt idx="2">
                  <c:v>-6.5250000000000012</c:v>
                </c:pt>
                <c:pt idx="3">
                  <c:v>-5.3539999999999992</c:v>
                </c:pt>
                <c:pt idx="4">
                  <c:v>1.7329999999999999</c:v>
                </c:pt>
                <c:pt idx="5">
                  <c:v>-9.6999999999999975E-2</c:v>
                </c:pt>
                <c:pt idx="6">
                  <c:v>5.7420000000000009</c:v>
                </c:pt>
                <c:pt idx="7">
                  <c:v>9.0359999999999996</c:v>
                </c:pt>
                <c:pt idx="8">
                  <c:v>-6.5349999999999993</c:v>
                </c:pt>
                <c:pt idx="9">
                  <c:v>2.4959999999999996</c:v>
                </c:pt>
                <c:pt idx="10">
                  <c:v>-5.4240000000000004</c:v>
                </c:pt>
                <c:pt idx="11">
                  <c:v>-8.8980000000000015</c:v>
                </c:pt>
                <c:pt idx="12">
                  <c:v>-9.6419999999999995</c:v>
                </c:pt>
                <c:pt idx="13">
                  <c:v>3.278</c:v>
                </c:pt>
                <c:pt idx="14">
                  <c:v>-6.7600000000000007</c:v>
                </c:pt>
                <c:pt idx="15">
                  <c:v>-29.318999999999999</c:v>
                </c:pt>
                <c:pt idx="16">
                  <c:v>6.7219999999999995</c:v>
                </c:pt>
                <c:pt idx="17">
                  <c:v>-17.056000000000001</c:v>
                </c:pt>
                <c:pt idx="18">
                  <c:v>-3.8059999999999992</c:v>
                </c:pt>
                <c:pt idx="19">
                  <c:v>-1.1700000000000004</c:v>
                </c:pt>
                <c:pt idx="20">
                  <c:v>-10.331</c:v>
                </c:pt>
                <c:pt idx="21">
                  <c:v>0.15500000000000042</c:v>
                </c:pt>
                <c:pt idx="22">
                  <c:v>-24.242999999999995</c:v>
                </c:pt>
                <c:pt idx="23">
                  <c:v>-16.705999999999996</c:v>
                </c:pt>
                <c:pt idx="24">
                  <c:v>-7.8679999999999968</c:v>
                </c:pt>
                <c:pt idx="25">
                  <c:v>-34.811</c:v>
                </c:pt>
                <c:pt idx="26">
                  <c:v>-53.149999999999984</c:v>
                </c:pt>
                <c:pt idx="27">
                  <c:v>13.196</c:v>
                </c:pt>
              </c:numCache>
            </c:numRef>
          </c:val>
          <c:extLst>
            <c:ext xmlns:c16="http://schemas.microsoft.com/office/drawing/2014/chart" uri="{C3380CC4-5D6E-409C-BE32-E72D297353CC}">
              <c16:uniqueId val="{0000000B-8E45-4628-B6B1-0C513A0D9CEC}"/>
            </c:ext>
          </c:extLst>
        </c:ser>
        <c:dLbls>
          <c:showLegendKey val="0"/>
          <c:showVal val="0"/>
          <c:showCatName val="0"/>
          <c:showSerName val="0"/>
          <c:showPercent val="0"/>
          <c:showBubbleSize val="0"/>
        </c:dLbls>
        <c:gapWidth val="53"/>
        <c:overlap val="100"/>
        <c:axId val="1094051888"/>
        <c:axId val="1094053808"/>
        <c:extLst>
          <c:ext xmlns:c15="http://schemas.microsoft.com/office/drawing/2012/chart" uri="{02D57815-91ED-43cb-92C2-25804820EDAC}">
            <c15:filteredBarSeries>
              <c15:ser>
                <c:idx val="0"/>
                <c:order val="0"/>
                <c:tx>
                  <c:strRef>
                    <c:extLst>
                      <c:ext uri="{02D57815-91ED-43cb-92C2-25804820EDAC}">
                        <c15:formulaRef>
                          <c15:sqref>data!$C$63</c15:sqref>
                        </c15:formulaRef>
                      </c:ext>
                    </c:extLst>
                    <c:strCache>
                      <c:ptCount val="1"/>
                      <c:pt idx="0">
                        <c:v>revenue</c:v>
                      </c:pt>
                    </c:strCache>
                  </c:strRef>
                </c:tx>
                <c:spPr>
                  <a:solidFill>
                    <a:schemeClr val="accent1"/>
                  </a:solidFill>
                  <a:ln>
                    <a:noFill/>
                  </a:ln>
                  <a:effectLst/>
                </c:spPr>
                <c:invertIfNegative val="0"/>
                <c:cat>
                  <c:numRef>
                    <c:extLst>
                      <c:ex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uri="{02D57815-91ED-43cb-92C2-25804820EDAC}">
                        <c15:formulaRef>
                          <c15:sqref>data!$C$64:$C$91</c15:sqref>
                        </c15:formulaRef>
                      </c:ext>
                    </c:extLst>
                    <c:numCache>
                      <c:formatCode>_-[$$-409]* #,##0.00_ ;_-[$$-409]* \-#,##0.00\ ;_-[$$-409]* "-"??_ ;_-@_ </c:formatCode>
                      <c:ptCount val="28"/>
                      <c:pt idx="0">
                        <c:v>184.77799999999999</c:v>
                      </c:pt>
                      <c:pt idx="1">
                        <c:v>204.64400000000001</c:v>
                      </c:pt>
                      <c:pt idx="2">
                        <c:v>216.244</c:v>
                      </c:pt>
                      <c:pt idx="3">
                        <c:v>195.245</c:v>
                      </c:pt>
                      <c:pt idx="4">
                        <c:v>207.33199999999999</c:v>
                      </c:pt>
                      <c:pt idx="5">
                        <c:v>196.36500000000001</c:v>
                      </c:pt>
                      <c:pt idx="6">
                        <c:v>169.84200000000001</c:v>
                      </c:pt>
                      <c:pt idx="7">
                        <c:v>153.333</c:v>
                      </c:pt>
                      <c:pt idx="8">
                        <c:v>183.11199999999999</c:v>
                      </c:pt>
                      <c:pt idx="9">
                        <c:v>205.804</c:v>
                      </c:pt>
                      <c:pt idx="10">
                        <c:v>216.93700000000001</c:v>
                      </c:pt>
                      <c:pt idx="11">
                        <c:v>233.28899999999999</c:v>
                      </c:pt>
                      <c:pt idx="12">
                        <c:v>269.74200000000002</c:v>
                      </c:pt>
                      <c:pt idx="13">
                        <c:v>257</c:v>
                      </c:pt>
                      <c:pt idx="14">
                        <c:v>338</c:v>
                      </c:pt>
                      <c:pt idx="15">
                        <c:v>424</c:v>
                      </c:pt>
                      <c:pt idx="16">
                        <c:v>439</c:v>
                      </c:pt>
                      <c:pt idx="17">
                        <c:v>410</c:v>
                      </c:pt>
                      <c:pt idx="18">
                        <c:v>388</c:v>
                      </c:pt>
                      <c:pt idx="19">
                        <c:v>355</c:v>
                      </c:pt>
                      <c:pt idx="20">
                        <c:v>337</c:v>
                      </c:pt>
                      <c:pt idx="21">
                        <c:v>378</c:v>
                      </c:pt>
                      <c:pt idx="22">
                        <c:v>421</c:v>
                      </c:pt>
                      <c:pt idx="23">
                        <c:v>444.9</c:v>
                      </c:pt>
                      <c:pt idx="24">
                        <c:v>466.4</c:v>
                      </c:pt>
                      <c:pt idx="25">
                        <c:v>517.4</c:v>
                      </c:pt>
                      <c:pt idx="26">
                        <c:v>637</c:v>
                      </c:pt>
                      <c:pt idx="27">
                        <c:v>669.7</c:v>
                      </c:pt>
                    </c:numCache>
                  </c:numRef>
                </c:val>
                <c:extLst>
                  <c:ext xmlns:c16="http://schemas.microsoft.com/office/drawing/2014/chart" uri="{C3380CC4-5D6E-409C-BE32-E72D297353CC}">
                    <c16:uniqueId val="{00000000-8E45-4628-B6B1-0C513A0D9CEC}"/>
                  </c:ext>
                </c:extLst>
              </c15:ser>
            </c15:filteredBarSeries>
            <c15:filteredBarSeries>
              <c15:ser>
                <c:idx val="1"/>
                <c:order val="1"/>
                <c:tx>
                  <c:strRef>
                    <c:extLst>
                      <c:ext xmlns:c15="http://schemas.microsoft.com/office/drawing/2012/chart" uri="{02D57815-91ED-43cb-92C2-25804820EDAC}">
                        <c15:formulaRef>
                          <c15:sqref>data!$D$63</c15:sqref>
                        </c15:formulaRef>
                      </c:ext>
                    </c:extLst>
                    <c:strCache>
                      <c:ptCount val="1"/>
                      <c:pt idx="0">
                        <c:v>capital ex</c:v>
                      </c:pt>
                    </c:strCache>
                  </c:strRef>
                </c:tx>
                <c:spPr>
                  <a:solidFill>
                    <a:schemeClr val="accent2"/>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data!$D$64:$D$91</c15:sqref>
                        </c15:formulaRef>
                      </c:ext>
                    </c:extLst>
                    <c:numCache>
                      <c:formatCode>_-[$$-409]* #,##0.000_ ;_-[$$-409]* \-#,##0.000\ ;_-[$$-409]* "-"??_ ;_-@_ </c:formatCode>
                      <c:ptCount val="28"/>
                      <c:pt idx="2">
                        <c:v>14.98</c:v>
                      </c:pt>
                      <c:pt idx="3">
                        <c:v>13.135999999999999</c:v>
                      </c:pt>
                      <c:pt idx="4">
                        <c:v>14.337999999999999</c:v>
                      </c:pt>
                      <c:pt idx="5">
                        <c:v>6.1959999999999997</c:v>
                      </c:pt>
                      <c:pt idx="6">
                        <c:v>4.7060000000000004</c:v>
                      </c:pt>
                      <c:pt idx="7">
                        <c:v>4.0179999999999998</c:v>
                      </c:pt>
                      <c:pt idx="8">
                        <c:v>6.1870000000000003</c:v>
                      </c:pt>
                      <c:pt idx="9">
                        <c:v>7.7370000000000001</c:v>
                      </c:pt>
                      <c:pt idx="10">
                        <c:v>10.198</c:v>
                      </c:pt>
                      <c:pt idx="11">
                        <c:v>9.6389999999999993</c:v>
                      </c:pt>
                      <c:pt idx="12">
                        <c:v>10.010999999999999</c:v>
                      </c:pt>
                      <c:pt idx="13">
                        <c:v>10.667</c:v>
                      </c:pt>
                      <c:pt idx="14">
                        <c:v>12.273999999999999</c:v>
                      </c:pt>
                      <c:pt idx="15">
                        <c:v>18.911999999999999</c:v>
                      </c:pt>
                      <c:pt idx="16">
                        <c:v>21.042999999999999</c:v>
                      </c:pt>
                      <c:pt idx="17">
                        <c:v>21.033999999999999</c:v>
                      </c:pt>
                      <c:pt idx="18">
                        <c:v>17.663</c:v>
                      </c:pt>
                      <c:pt idx="19" formatCode="_-[$$-409]* #,##0.00_ ;_-[$$-409]* \-#,##0.00\ ;_-[$$-409]* &quot;-&quot;??_ ;_-@_ ">
                        <c:v>10.754</c:v>
                      </c:pt>
                      <c:pt idx="20" formatCode="_-[$$-409]* #,##0.00_ ;_-[$$-409]* \-#,##0.00\ ;_-[$$-409]* &quot;-&quot;??_ ;_-@_ ">
                        <c:v>24.725000000000001</c:v>
                      </c:pt>
                      <c:pt idx="21">
                        <c:v>11.233000000000001</c:v>
                      </c:pt>
                      <c:pt idx="22">
                        <c:v>9.5280000000000005</c:v>
                      </c:pt>
                      <c:pt idx="23">
                        <c:v>29.466999999999999</c:v>
                      </c:pt>
                      <c:pt idx="24">
                        <c:v>24.568999999999999</c:v>
                      </c:pt>
                      <c:pt idx="25">
                        <c:v>18.384</c:v>
                      </c:pt>
                      <c:pt idx="26">
                        <c:v>40.597999999999999</c:v>
                      </c:pt>
                      <c:pt idx="27">
                        <c:v>35.332000000000001</c:v>
                      </c:pt>
                    </c:numCache>
                  </c:numRef>
                </c:val>
                <c:extLst>
                  <c:ext xmlns:c16="http://schemas.microsoft.com/office/drawing/2014/chart" uri="{C3380CC4-5D6E-409C-BE32-E72D297353CC}">
                    <c16:uniqueId val="{00000001-8E45-4628-B6B1-0C513A0D9CEC}"/>
                  </c:ext>
                </c:extLst>
              </c15:ser>
            </c15:filteredBarSeries>
            <c15:filteredBarSeries>
              <c15:ser>
                <c:idx val="2"/>
                <c:order val="2"/>
                <c:tx>
                  <c:strRef>
                    <c:extLst>
                      <c:ext xmlns:c15="http://schemas.microsoft.com/office/drawing/2012/chart" uri="{02D57815-91ED-43cb-92C2-25804820EDAC}">
                        <c15:formulaRef>
                          <c15:sqref>data!$E$63</c15:sqref>
                        </c15:formulaRef>
                      </c:ext>
                    </c:extLst>
                    <c:strCache>
                      <c:ptCount val="1"/>
                      <c:pt idx="0">
                        <c:v>depr&amp;amort</c:v>
                      </c:pt>
                    </c:strCache>
                  </c:strRef>
                </c:tx>
                <c:spPr>
                  <a:solidFill>
                    <a:schemeClr val="accent3"/>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data!$E$64:$E$91</c15:sqref>
                        </c15:formulaRef>
                      </c:ext>
                    </c:extLst>
                    <c:numCache>
                      <c:formatCode>_-[$$-409]* #,##0.000_ ;_-[$$-409]* \-#,##0.000\ ;_-[$$-409]* "-"??_ ;_-@_ </c:formatCode>
                      <c:ptCount val="28"/>
                      <c:pt idx="2">
                        <c:v>8.7539999999999996</c:v>
                      </c:pt>
                      <c:pt idx="3">
                        <c:v>9.7859999999999996</c:v>
                      </c:pt>
                      <c:pt idx="4">
                        <c:v>11.411</c:v>
                      </c:pt>
                      <c:pt idx="5">
                        <c:v>10.32</c:v>
                      </c:pt>
                      <c:pt idx="6">
                        <c:v>9.0180000000000007</c:v>
                      </c:pt>
                      <c:pt idx="7">
                        <c:v>8.3290000000000006</c:v>
                      </c:pt>
                      <c:pt idx="8">
                        <c:v>7.3849999999999998</c:v>
                      </c:pt>
                      <c:pt idx="9">
                        <c:v>7.2140000000000004</c:v>
                      </c:pt>
                      <c:pt idx="10">
                        <c:v>7.5339999999999998</c:v>
                      </c:pt>
                      <c:pt idx="11">
                        <c:v>8.0790000000000006</c:v>
                      </c:pt>
                      <c:pt idx="12">
                        <c:v>8.5489999999999995</c:v>
                      </c:pt>
                      <c:pt idx="13">
                        <c:v>7.2489999999999997</c:v>
                      </c:pt>
                      <c:pt idx="14">
                        <c:v>9.3940000000000001</c:v>
                      </c:pt>
                      <c:pt idx="15">
                        <c:v>10.525</c:v>
                      </c:pt>
                      <c:pt idx="16">
                        <c:v>11.564</c:v>
                      </c:pt>
                      <c:pt idx="17">
                        <c:v>12.087999999999999</c:v>
                      </c:pt>
                      <c:pt idx="18">
                        <c:v>12.856999999999999</c:v>
                      </c:pt>
                      <c:pt idx="19">
                        <c:v>11.532</c:v>
                      </c:pt>
                      <c:pt idx="20">
                        <c:v>11.996</c:v>
                      </c:pt>
                      <c:pt idx="21">
                        <c:v>12.79</c:v>
                      </c:pt>
                      <c:pt idx="22">
                        <c:v>12.444000000000001</c:v>
                      </c:pt>
                      <c:pt idx="23">
                        <c:v>13.747999999999999</c:v>
                      </c:pt>
                      <c:pt idx="24">
                        <c:v>13.837999999999999</c:v>
                      </c:pt>
                      <c:pt idx="25">
                        <c:v>15.564</c:v>
                      </c:pt>
                      <c:pt idx="26">
                        <c:v>16.43</c:v>
                      </c:pt>
                      <c:pt idx="27">
                        <c:v>18.914000000000001</c:v>
                      </c:pt>
                    </c:numCache>
                  </c:numRef>
                </c:val>
                <c:extLst>
                  <c:ext xmlns:c16="http://schemas.microsoft.com/office/drawing/2014/chart" uri="{C3380CC4-5D6E-409C-BE32-E72D297353CC}">
                    <c16:uniqueId val="{00000002-8E45-4628-B6B1-0C513A0D9CEC}"/>
                  </c:ext>
                </c:extLst>
              </c15:ser>
            </c15:filteredBarSeries>
            <c15:filteredBarSeries>
              <c15:ser>
                <c:idx val="3"/>
                <c:order val="3"/>
                <c:tx>
                  <c:strRef>
                    <c:extLst>
                      <c:ext xmlns:c15="http://schemas.microsoft.com/office/drawing/2012/chart" uri="{02D57815-91ED-43cb-92C2-25804820EDAC}">
                        <c15:formulaRef>
                          <c15:sqref>data!$F$63</c15:sqref>
                        </c15:formulaRef>
                      </c:ext>
                    </c:extLst>
                    <c:strCache>
                      <c:ptCount val="1"/>
                      <c:pt idx="0">
                        <c:v>net cap ex</c:v>
                      </c:pt>
                    </c:strCache>
                  </c:strRef>
                </c:tx>
                <c:spPr>
                  <a:solidFill>
                    <a:schemeClr val="accent4"/>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data!$F$64:$F$91</c15:sqref>
                        </c15:formulaRef>
                      </c:ext>
                    </c:extLst>
                    <c:numCache>
                      <c:formatCode>_-[$$-409]* #,##0.000_ ;_-[$$-409]* \-#,##0.000\ ;_-[$$-409]* "-"??_ ;_-@_ </c:formatCode>
                      <c:ptCount val="28"/>
                      <c:pt idx="0">
                        <c:v>0</c:v>
                      </c:pt>
                      <c:pt idx="1">
                        <c:v>0</c:v>
                      </c:pt>
                      <c:pt idx="2">
                        <c:v>6.2260000000000009</c:v>
                      </c:pt>
                      <c:pt idx="3">
                        <c:v>3.3499999999999996</c:v>
                      </c:pt>
                      <c:pt idx="4">
                        <c:v>2.9269999999999996</c:v>
                      </c:pt>
                      <c:pt idx="5">
                        <c:v>-4.1240000000000006</c:v>
                      </c:pt>
                      <c:pt idx="6">
                        <c:v>-4.3120000000000003</c:v>
                      </c:pt>
                      <c:pt idx="7">
                        <c:v>-4.3110000000000008</c:v>
                      </c:pt>
                      <c:pt idx="8">
                        <c:v>-1.1979999999999995</c:v>
                      </c:pt>
                      <c:pt idx="9">
                        <c:v>0.52299999999999969</c:v>
                      </c:pt>
                      <c:pt idx="10">
                        <c:v>2.6640000000000006</c:v>
                      </c:pt>
                      <c:pt idx="11">
                        <c:v>1.5599999999999987</c:v>
                      </c:pt>
                      <c:pt idx="12">
                        <c:v>1.4619999999999997</c:v>
                      </c:pt>
                      <c:pt idx="13">
                        <c:v>3.4180000000000001</c:v>
                      </c:pt>
                      <c:pt idx="14">
                        <c:v>2.879999999999999</c:v>
                      </c:pt>
                      <c:pt idx="15">
                        <c:v>8.3869999999999987</c:v>
                      </c:pt>
                      <c:pt idx="16">
                        <c:v>9.4789999999999992</c:v>
                      </c:pt>
                      <c:pt idx="17">
                        <c:v>8.9459999999999997</c:v>
                      </c:pt>
                      <c:pt idx="18">
                        <c:v>4.8060000000000009</c:v>
                      </c:pt>
                      <c:pt idx="19">
                        <c:v>-0.77800000000000047</c:v>
                      </c:pt>
                      <c:pt idx="20">
                        <c:v>12.729000000000001</c:v>
                      </c:pt>
                      <c:pt idx="21">
                        <c:v>-1.5569999999999986</c:v>
                      </c:pt>
                      <c:pt idx="22">
                        <c:v>-2.9160000000000004</c:v>
                      </c:pt>
                      <c:pt idx="23">
                        <c:v>15.718999999999999</c:v>
                      </c:pt>
                      <c:pt idx="24">
                        <c:v>10.731</c:v>
                      </c:pt>
                      <c:pt idx="25">
                        <c:v>2.8200000000000003</c:v>
                      </c:pt>
                      <c:pt idx="26">
                        <c:v>24.167999999999999</c:v>
                      </c:pt>
                      <c:pt idx="27">
                        <c:v>16.417999999999999</c:v>
                      </c:pt>
                    </c:numCache>
                  </c:numRef>
                </c:val>
                <c:extLst>
                  <c:ext xmlns:c16="http://schemas.microsoft.com/office/drawing/2014/chart" uri="{C3380CC4-5D6E-409C-BE32-E72D297353CC}">
                    <c16:uniqueId val="{00000003-8E45-4628-B6B1-0C513A0D9CEC}"/>
                  </c:ext>
                </c:extLst>
              </c15:ser>
            </c15:filteredBarSeries>
            <c15:filteredBarSeries>
              <c15:ser>
                <c:idx val="4"/>
                <c:order val="4"/>
                <c:tx>
                  <c:strRef>
                    <c:extLst>
                      <c:ext xmlns:c15="http://schemas.microsoft.com/office/drawing/2012/chart" uri="{02D57815-91ED-43cb-92C2-25804820EDAC}">
                        <c15:formulaRef>
                          <c15:sqref>data!$G$63</c15:sqref>
                        </c15:formulaRef>
                      </c:ext>
                    </c:extLst>
                    <c:strCache>
                      <c:ptCount val="1"/>
                      <c:pt idx="0">
                        <c:v>account rec</c:v>
                      </c:pt>
                    </c:strCache>
                  </c:strRef>
                </c:tx>
                <c:spPr>
                  <a:solidFill>
                    <a:schemeClr val="accent5"/>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data!$G$64:$G$91</c15:sqref>
                        </c15:formulaRef>
                      </c:ext>
                    </c:extLst>
                    <c:numCache>
                      <c:formatCode>_-[$$-409]* #,##0.000_ ;_-[$$-409]* \-#,##0.000\ ;_-[$$-409]* "-"??_ ;_-@_ </c:formatCode>
                      <c:ptCount val="28"/>
                      <c:pt idx="2">
                        <c:v>-1.1319999999999999</c:v>
                      </c:pt>
                      <c:pt idx="3">
                        <c:v>0.58899999999999997</c:v>
                      </c:pt>
                      <c:pt idx="4">
                        <c:v>-1.87</c:v>
                      </c:pt>
                      <c:pt idx="5">
                        <c:v>1.5880000000000001</c:v>
                      </c:pt>
                      <c:pt idx="6">
                        <c:v>3.91</c:v>
                      </c:pt>
                      <c:pt idx="7">
                        <c:v>2.9990000000000001</c:v>
                      </c:pt>
                      <c:pt idx="8">
                        <c:v>-4.5030000000000001</c:v>
                      </c:pt>
                      <c:pt idx="9">
                        <c:v>2.1859999999999999</c:v>
                      </c:pt>
                      <c:pt idx="10">
                        <c:v>-3.6320000000000001</c:v>
                      </c:pt>
                      <c:pt idx="11">
                        <c:v>-6.3650000000000002</c:v>
                      </c:pt>
                      <c:pt idx="12">
                        <c:v>-4.6029999999999998</c:v>
                      </c:pt>
                      <c:pt idx="13">
                        <c:v>-0.59399999999999997</c:v>
                      </c:pt>
                      <c:pt idx="14">
                        <c:v>-4.9770000000000003</c:v>
                      </c:pt>
                      <c:pt idx="15">
                        <c:v>-16.061</c:v>
                      </c:pt>
                      <c:pt idx="16">
                        <c:v>5.0469999999999997</c:v>
                      </c:pt>
                      <c:pt idx="17">
                        <c:v>-10.273</c:v>
                      </c:pt>
                      <c:pt idx="18">
                        <c:v>-2.4350000000000001</c:v>
                      </c:pt>
                      <c:pt idx="19">
                        <c:v>-2.9649999999999999</c:v>
                      </c:pt>
                      <c:pt idx="20">
                        <c:v>-2.2919999999999998</c:v>
                      </c:pt>
                      <c:pt idx="21">
                        <c:v>-9.2050000000000001</c:v>
                      </c:pt>
                      <c:pt idx="22">
                        <c:v>-4.4989999999999997</c:v>
                      </c:pt>
                      <c:pt idx="23">
                        <c:v>-9.7769999999999992</c:v>
                      </c:pt>
                      <c:pt idx="24">
                        <c:v>-10.539</c:v>
                      </c:pt>
                      <c:pt idx="25">
                        <c:v>-11.574</c:v>
                      </c:pt>
                      <c:pt idx="26">
                        <c:v>-28.048999999999999</c:v>
                      </c:pt>
                      <c:pt idx="27">
                        <c:v>16.969000000000001</c:v>
                      </c:pt>
                    </c:numCache>
                  </c:numRef>
                </c:val>
                <c:extLst>
                  <c:ext xmlns:c16="http://schemas.microsoft.com/office/drawing/2014/chart" uri="{C3380CC4-5D6E-409C-BE32-E72D297353CC}">
                    <c16:uniqueId val="{00000004-8E45-4628-B6B1-0C513A0D9CEC}"/>
                  </c:ext>
                </c:extLst>
              </c15:ser>
            </c15:filteredBarSeries>
            <c15:filteredBarSeries>
              <c15:ser>
                <c:idx val="5"/>
                <c:order val="5"/>
                <c:tx>
                  <c:strRef>
                    <c:extLst>
                      <c:ext xmlns:c15="http://schemas.microsoft.com/office/drawing/2012/chart" uri="{02D57815-91ED-43cb-92C2-25804820EDAC}">
                        <c15:formulaRef>
                          <c15:sqref>data!$H$63</c15:sqref>
                        </c15:formulaRef>
                      </c:ext>
                    </c:extLst>
                    <c:strCache>
                      <c:ptCount val="1"/>
                      <c:pt idx="0">
                        <c:v>inventories</c:v>
                      </c:pt>
                    </c:strCache>
                  </c:strRef>
                </c:tx>
                <c:spPr>
                  <a:solidFill>
                    <a:schemeClr val="accent6"/>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data!$H$64:$H$91</c15:sqref>
                        </c15:formulaRef>
                      </c:ext>
                    </c:extLst>
                    <c:numCache>
                      <c:formatCode>_-[$$-409]* #,##0.000_ ;_-[$$-409]* \-#,##0.000\ ;_-[$$-409]* "-"??_ ;_-@_ </c:formatCode>
                      <c:ptCount val="28"/>
                      <c:pt idx="2">
                        <c:v>-6.7430000000000003</c:v>
                      </c:pt>
                      <c:pt idx="3">
                        <c:v>-5.0640000000000001</c:v>
                      </c:pt>
                      <c:pt idx="4">
                        <c:v>0.56100000000000005</c:v>
                      </c:pt>
                      <c:pt idx="5">
                        <c:v>3.0230000000000001</c:v>
                      </c:pt>
                      <c:pt idx="6">
                        <c:v>2.4020000000000001</c:v>
                      </c:pt>
                      <c:pt idx="7">
                        <c:v>4.4829999999999997</c:v>
                      </c:pt>
                      <c:pt idx="8">
                        <c:v>-3.7029999999999998</c:v>
                      </c:pt>
                      <c:pt idx="9">
                        <c:v>-1.728</c:v>
                      </c:pt>
                      <c:pt idx="10">
                        <c:v>-1.6879999999999999</c:v>
                      </c:pt>
                      <c:pt idx="11">
                        <c:v>-4.952</c:v>
                      </c:pt>
                      <c:pt idx="12">
                        <c:v>-9.4990000000000006</c:v>
                      </c:pt>
                      <c:pt idx="13">
                        <c:v>0.92200000000000004</c:v>
                      </c:pt>
                      <c:pt idx="14">
                        <c:v>-8.2680000000000007</c:v>
                      </c:pt>
                      <c:pt idx="15">
                        <c:v>-21.196999999999999</c:v>
                      </c:pt>
                      <c:pt idx="16">
                        <c:v>1.29</c:v>
                      </c:pt>
                      <c:pt idx="17">
                        <c:v>3.04</c:v>
                      </c:pt>
                      <c:pt idx="18">
                        <c:v>-5.7039999999999997</c:v>
                      </c:pt>
                      <c:pt idx="19">
                        <c:v>-2.2970000000000002</c:v>
                      </c:pt>
                      <c:pt idx="20">
                        <c:v>-6.3540000000000001</c:v>
                      </c:pt>
                      <c:pt idx="21">
                        <c:v>-2.2080000000000002</c:v>
                      </c:pt>
                      <c:pt idx="22">
                        <c:v>-13.702999999999999</c:v>
                      </c:pt>
                      <c:pt idx="23">
                        <c:v>-9.4550000000000001</c:v>
                      </c:pt>
                      <c:pt idx="24">
                        <c:v>0.08</c:v>
                      </c:pt>
                      <c:pt idx="25">
                        <c:v>-24.154</c:v>
                      </c:pt>
                      <c:pt idx="26">
                        <c:v>-36.978999999999999</c:v>
                      </c:pt>
                      <c:pt idx="27">
                        <c:v>-4.952</c:v>
                      </c:pt>
                    </c:numCache>
                  </c:numRef>
                </c:val>
                <c:extLst>
                  <c:ext xmlns:c16="http://schemas.microsoft.com/office/drawing/2014/chart" uri="{C3380CC4-5D6E-409C-BE32-E72D297353CC}">
                    <c16:uniqueId val="{00000005-8E45-4628-B6B1-0C513A0D9CEC}"/>
                  </c:ext>
                </c:extLst>
              </c15:ser>
            </c15:filteredBarSeries>
            <c15:filteredBarSeries>
              <c15:ser>
                <c:idx val="6"/>
                <c:order val="6"/>
                <c:tx>
                  <c:strRef>
                    <c:extLst>
                      <c:ext xmlns:c15="http://schemas.microsoft.com/office/drawing/2012/chart" uri="{02D57815-91ED-43cb-92C2-25804820EDAC}">
                        <c15:formulaRef>
                          <c15:sqref>data!$I$63</c15:sqref>
                        </c15:formulaRef>
                      </c:ext>
                    </c:extLst>
                    <c:strCache>
                      <c:ptCount val="1"/>
                      <c:pt idx="0">
                        <c:v>prepaid ex</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data!$I$64:$I$91</c15:sqref>
                        </c15:formulaRef>
                      </c:ext>
                    </c:extLst>
                    <c:numCache>
                      <c:formatCode>_-[$$-409]* #,##0.000_ ;_-[$$-409]* \-#,##0.000\ ;_-[$$-409]* "-"??_ ;_-@_ </c:formatCode>
                      <c:ptCount val="28"/>
                      <c:pt idx="22">
                        <c:v>-3.7229999999999999</c:v>
                      </c:pt>
                      <c:pt idx="23">
                        <c:v>-0.93200000000000005</c:v>
                      </c:pt>
                      <c:pt idx="24">
                        <c:v>-8.7859999999999996</c:v>
                      </c:pt>
                      <c:pt idx="25">
                        <c:v>-2.9740000000000002</c:v>
                      </c:pt>
                      <c:pt idx="26">
                        <c:v>5.0510000000000002</c:v>
                      </c:pt>
                      <c:pt idx="27">
                        <c:v>5.9610000000000003</c:v>
                      </c:pt>
                    </c:numCache>
                  </c:numRef>
                </c:val>
                <c:extLst>
                  <c:ext xmlns:c16="http://schemas.microsoft.com/office/drawing/2014/chart" uri="{C3380CC4-5D6E-409C-BE32-E72D297353CC}">
                    <c16:uniqueId val="{00000006-8E45-4628-B6B1-0C513A0D9CEC}"/>
                  </c:ext>
                </c:extLst>
              </c15:ser>
            </c15:filteredBarSeries>
            <c15:filteredBarSeries>
              <c15:ser>
                <c:idx val="7"/>
                <c:order val="7"/>
                <c:tx>
                  <c:strRef>
                    <c:extLst>
                      <c:ext xmlns:c15="http://schemas.microsoft.com/office/drawing/2012/chart" uri="{02D57815-91ED-43cb-92C2-25804820EDAC}">
                        <c15:formulaRef>
                          <c15:sqref>data!$J$63</c15:sqref>
                        </c15:formulaRef>
                      </c:ext>
                    </c:extLst>
                    <c:strCache>
                      <c:ptCount val="1"/>
                      <c:pt idx="0">
                        <c:v>trade acc payable </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data!$J$64:$J$91</c15:sqref>
                        </c15:formulaRef>
                      </c:ext>
                    </c:extLst>
                    <c:numCache>
                      <c:formatCode>_-[$$-409]* #,##0.000_ ;_-[$$-409]* \-#,##0.000\ ;_-[$$-409]* "-"??_ ;_-@_ </c:formatCode>
                      <c:ptCount val="28"/>
                      <c:pt idx="2">
                        <c:v>-1.329</c:v>
                      </c:pt>
                      <c:pt idx="3">
                        <c:v>0.95899999999999996</c:v>
                      </c:pt>
                      <c:pt idx="4">
                        <c:v>2.681</c:v>
                      </c:pt>
                      <c:pt idx="5">
                        <c:v>0.29699999999999999</c:v>
                      </c:pt>
                      <c:pt idx="6">
                        <c:v>-2.0830000000000002</c:v>
                      </c:pt>
                      <c:pt idx="7">
                        <c:v>-1.294</c:v>
                      </c:pt>
                      <c:pt idx="8">
                        <c:v>3.036</c:v>
                      </c:pt>
                      <c:pt idx="9">
                        <c:v>2.528</c:v>
                      </c:pt>
                      <c:pt idx="10">
                        <c:v>-0.751</c:v>
                      </c:pt>
                      <c:pt idx="11">
                        <c:v>3.6280000000000001</c:v>
                      </c:pt>
                      <c:pt idx="12">
                        <c:v>5.6630000000000003</c:v>
                      </c:pt>
                      <c:pt idx="13">
                        <c:v>3.75</c:v>
                      </c:pt>
                      <c:pt idx="14">
                        <c:v>8.4290000000000003</c:v>
                      </c:pt>
                      <c:pt idx="15">
                        <c:v>8.5739999999999998</c:v>
                      </c:pt>
                      <c:pt idx="16">
                        <c:v>-3.1960000000000002</c:v>
                      </c:pt>
                      <c:pt idx="17">
                        <c:v>-3.9060000000000001</c:v>
                      </c:pt>
                      <c:pt idx="18">
                        <c:v>6.7160000000000002</c:v>
                      </c:pt>
                      <c:pt idx="19">
                        <c:v>5.6520000000000001</c:v>
                      </c:pt>
                      <c:pt idx="20">
                        <c:v>3.2789999999999999</c:v>
                      </c:pt>
                      <c:pt idx="21">
                        <c:v>4.7350000000000003</c:v>
                      </c:pt>
                      <c:pt idx="22">
                        <c:v>3.048</c:v>
                      </c:pt>
                      <c:pt idx="23">
                        <c:v>6.0869999999999997</c:v>
                      </c:pt>
                      <c:pt idx="24">
                        <c:v>6.952</c:v>
                      </c:pt>
                      <c:pt idx="25">
                        <c:v>11.558</c:v>
                      </c:pt>
                      <c:pt idx="26">
                        <c:v>6.7069999999999999</c:v>
                      </c:pt>
                      <c:pt idx="27">
                        <c:v>2.302</c:v>
                      </c:pt>
                    </c:numCache>
                  </c:numRef>
                </c:val>
                <c:extLst>
                  <c:ext xmlns:c16="http://schemas.microsoft.com/office/drawing/2014/chart" uri="{C3380CC4-5D6E-409C-BE32-E72D297353CC}">
                    <c16:uniqueId val="{00000007-8E45-4628-B6B1-0C513A0D9CEC}"/>
                  </c:ext>
                </c:extLst>
              </c15:ser>
            </c15:filteredBarSeries>
            <c15:filteredBarSeries>
              <c15:ser>
                <c:idx val="8"/>
                <c:order val="8"/>
                <c:tx>
                  <c:strRef>
                    <c:extLst>
                      <c:ext xmlns:c15="http://schemas.microsoft.com/office/drawing/2012/chart" uri="{02D57815-91ED-43cb-92C2-25804820EDAC}">
                        <c15:formulaRef>
                          <c15:sqref>data!$K$63</c15:sqref>
                        </c15:formulaRef>
                      </c:ext>
                    </c:extLst>
                    <c:strCache>
                      <c:ptCount val="1"/>
                      <c:pt idx="0">
                        <c:v>income taxes</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data!$K$64:$K$91</c15:sqref>
                        </c15:formulaRef>
                      </c:ext>
                    </c:extLst>
                    <c:numCache>
                      <c:formatCode>_-[$$-409]* #,##0.000_ ;_-[$$-409]* \-#,##0.000\ ;_-[$$-409]* "-"??_ ;_-@_ </c:formatCode>
                      <c:ptCount val="28"/>
                      <c:pt idx="2">
                        <c:v>1.9590000000000001</c:v>
                      </c:pt>
                      <c:pt idx="3">
                        <c:v>0.16600000000000001</c:v>
                      </c:pt>
                      <c:pt idx="4">
                        <c:v>0.30399999999999999</c:v>
                      </c:pt>
                      <c:pt idx="5">
                        <c:v>-2.9460000000000002</c:v>
                      </c:pt>
                      <c:pt idx="6">
                        <c:v>0.307</c:v>
                      </c:pt>
                      <c:pt idx="7">
                        <c:v>2.8140000000000001</c:v>
                      </c:pt>
                      <c:pt idx="8">
                        <c:v>-1.597</c:v>
                      </c:pt>
                      <c:pt idx="9">
                        <c:v>-0.19700000000000001</c:v>
                      </c:pt>
                      <c:pt idx="10">
                        <c:v>0.93600000000000005</c:v>
                      </c:pt>
                      <c:pt idx="11">
                        <c:v>-0.58499999999999996</c:v>
                      </c:pt>
                      <c:pt idx="12">
                        <c:v>-2.2509999999999999</c:v>
                      </c:pt>
                      <c:pt idx="13">
                        <c:v>0.78100000000000003</c:v>
                      </c:pt>
                      <c:pt idx="14">
                        <c:v>0.38300000000000001</c:v>
                      </c:pt>
                      <c:pt idx="15">
                        <c:v>-0.81499999999999995</c:v>
                      </c:pt>
                      <c:pt idx="16">
                        <c:v>3.3809999999999998</c:v>
                      </c:pt>
                      <c:pt idx="17">
                        <c:v>-4.67</c:v>
                      </c:pt>
                      <c:pt idx="18">
                        <c:v>-0.88200000000000001</c:v>
                      </c:pt>
                      <c:pt idx="19">
                        <c:v>-4.0380000000000003</c:v>
                      </c:pt>
                      <c:pt idx="20">
                        <c:v>-4.9989999999999997</c:v>
                      </c:pt>
                      <c:pt idx="21">
                        <c:v>7.1340000000000003</c:v>
                      </c:pt>
                      <c:pt idx="22">
                        <c:v>-1.8959999999999999</c:v>
                      </c:pt>
                      <c:pt idx="23">
                        <c:v>0.63400000000000001</c:v>
                      </c:pt>
                      <c:pt idx="24">
                        <c:v>3.47</c:v>
                      </c:pt>
                      <c:pt idx="25">
                        <c:v>-4.3319999999999999</c:v>
                      </c:pt>
                      <c:pt idx="26">
                        <c:v>2.0049999999999999</c:v>
                      </c:pt>
                      <c:pt idx="27">
                        <c:v>-0.93700000000000006</c:v>
                      </c:pt>
                    </c:numCache>
                  </c:numRef>
                </c:val>
                <c:extLst>
                  <c:ext xmlns:c16="http://schemas.microsoft.com/office/drawing/2014/chart" uri="{C3380CC4-5D6E-409C-BE32-E72D297353CC}">
                    <c16:uniqueId val="{00000008-8E45-4628-B6B1-0C513A0D9CEC}"/>
                  </c:ext>
                </c:extLst>
              </c15:ser>
            </c15:filteredBarSeries>
            <c15:filteredBarSeries>
              <c15:ser>
                <c:idx val="9"/>
                <c:order val="9"/>
                <c:tx>
                  <c:strRef>
                    <c:extLst>
                      <c:ext xmlns:c15="http://schemas.microsoft.com/office/drawing/2012/chart" uri="{02D57815-91ED-43cb-92C2-25804820EDAC}">
                        <c15:formulaRef>
                          <c15:sqref>data!$L$63</c15:sqref>
                        </c15:formulaRef>
                      </c:ext>
                    </c:extLst>
                    <c:strCache>
                      <c:ptCount val="1"/>
                      <c:pt idx="0">
                        <c:v>pension</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data!$L$64:$L$91</c15:sqref>
                        </c15:formulaRef>
                      </c:ext>
                    </c:extLst>
                    <c:numCache>
                      <c:formatCode>_-[$$-409]* #,##0.000_ ;_-[$$-409]* \-#,##0.000\ ;_-[$$-409]* "-"??_ ;_-@_ </c:formatCode>
                      <c:ptCount val="28"/>
                      <c:pt idx="22">
                        <c:v>-5.34</c:v>
                      </c:pt>
                      <c:pt idx="23">
                        <c:v>0</c:v>
                      </c:pt>
                      <c:pt idx="24">
                        <c:v>-0.33</c:v>
                      </c:pt>
                      <c:pt idx="25">
                        <c:v>0</c:v>
                      </c:pt>
                      <c:pt idx="26">
                        <c:v>-2.1320000000000001</c:v>
                      </c:pt>
                      <c:pt idx="27">
                        <c:v>-1.5</c:v>
                      </c:pt>
                    </c:numCache>
                  </c:numRef>
                </c:val>
                <c:extLst>
                  <c:ext xmlns:c16="http://schemas.microsoft.com/office/drawing/2014/chart" uri="{C3380CC4-5D6E-409C-BE32-E72D297353CC}">
                    <c16:uniqueId val="{00000009-8E45-4628-B6B1-0C513A0D9CEC}"/>
                  </c:ext>
                </c:extLst>
              </c15:ser>
            </c15:filteredBarSeries>
            <c15:filteredBarSeries>
              <c15:ser>
                <c:idx val="10"/>
                <c:order val="10"/>
                <c:tx>
                  <c:strRef>
                    <c:extLst>
                      <c:ext xmlns:c15="http://schemas.microsoft.com/office/drawing/2012/chart" uri="{02D57815-91ED-43cb-92C2-25804820EDAC}">
                        <c15:formulaRef>
                          <c15:sqref>data!$M$63</c15:sqref>
                        </c15:formulaRef>
                      </c:ext>
                    </c:extLst>
                    <c:strCache>
                      <c:ptCount val="1"/>
                      <c:pt idx="0">
                        <c:v>other</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ormulaRef>
                          <c15:sqref>data!$B$64:$B$91</c15:sqref>
                        </c15:formulaRef>
                      </c:ext>
                    </c:extLst>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extLst>
                      <c:ext xmlns:c15="http://schemas.microsoft.com/office/drawing/2012/chart" uri="{02D57815-91ED-43cb-92C2-25804820EDAC}">
                        <c15:formulaRef>
                          <c15:sqref>data!$M$64:$M$91</c15:sqref>
                        </c15:formulaRef>
                      </c:ext>
                    </c:extLst>
                    <c:numCache>
                      <c:formatCode>_-[$$-409]* #,##0.000_ ;_-[$$-409]* \-#,##0.000\ ;_-[$$-409]* "-"??_ ;_-@_ </c:formatCode>
                      <c:ptCount val="28"/>
                      <c:pt idx="2">
                        <c:v>0.72</c:v>
                      </c:pt>
                      <c:pt idx="3">
                        <c:v>-2.004</c:v>
                      </c:pt>
                      <c:pt idx="4">
                        <c:v>5.7000000000000002E-2</c:v>
                      </c:pt>
                      <c:pt idx="5">
                        <c:v>-2.0590000000000002</c:v>
                      </c:pt>
                      <c:pt idx="6">
                        <c:v>1.206</c:v>
                      </c:pt>
                      <c:pt idx="7">
                        <c:v>3.4000000000000002E-2</c:v>
                      </c:pt>
                      <c:pt idx="8">
                        <c:v>0.23200000000000001</c:v>
                      </c:pt>
                      <c:pt idx="9">
                        <c:v>-0.29299999999999998</c:v>
                      </c:pt>
                      <c:pt idx="10">
                        <c:v>-0.28899999999999998</c:v>
                      </c:pt>
                      <c:pt idx="11">
                        <c:v>-0.624</c:v>
                      </c:pt>
                      <c:pt idx="12">
                        <c:v>1.048</c:v>
                      </c:pt>
                      <c:pt idx="13">
                        <c:v>-1.581</c:v>
                      </c:pt>
                      <c:pt idx="14">
                        <c:v>-2.327</c:v>
                      </c:pt>
                      <c:pt idx="15">
                        <c:v>0.18</c:v>
                      </c:pt>
                      <c:pt idx="16">
                        <c:v>0.2</c:v>
                      </c:pt>
                      <c:pt idx="17">
                        <c:v>-1.2470000000000001</c:v>
                      </c:pt>
                      <c:pt idx="18">
                        <c:v>-1.5009999999999999</c:v>
                      </c:pt>
                      <c:pt idx="19">
                        <c:v>2.4780000000000002</c:v>
                      </c:pt>
                      <c:pt idx="20">
                        <c:v>3.5000000000000003E-2</c:v>
                      </c:pt>
                      <c:pt idx="21">
                        <c:v>-0.30099999999999999</c:v>
                      </c:pt>
                      <c:pt idx="22">
                        <c:v>1.87</c:v>
                      </c:pt>
                      <c:pt idx="23">
                        <c:v>-3.2629999999999999</c:v>
                      </c:pt>
                      <c:pt idx="24">
                        <c:v>1.2849999999999999</c:v>
                      </c:pt>
                      <c:pt idx="25">
                        <c:v>-3.335</c:v>
                      </c:pt>
                      <c:pt idx="26">
                        <c:v>-0.247</c:v>
                      </c:pt>
                      <c:pt idx="27">
                        <c:v>-4.6470000000000002</c:v>
                      </c:pt>
                    </c:numCache>
                  </c:numRef>
                </c:val>
                <c:extLst>
                  <c:ext xmlns:c16="http://schemas.microsoft.com/office/drawing/2014/chart" uri="{C3380CC4-5D6E-409C-BE32-E72D297353CC}">
                    <c16:uniqueId val="{0000000A-8E45-4628-B6B1-0C513A0D9CEC}"/>
                  </c:ext>
                </c:extLst>
              </c15:ser>
            </c15:filteredBarSeries>
          </c:ext>
        </c:extLst>
      </c:barChart>
      <c:catAx>
        <c:axId val="109405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53808"/>
        <c:crosses val="autoZero"/>
        <c:auto val="1"/>
        <c:lblAlgn val="ctr"/>
        <c:lblOffset val="100"/>
        <c:noMultiLvlLbl val="0"/>
      </c:catAx>
      <c:valAx>
        <c:axId val="1094053808"/>
        <c:scaling>
          <c:orientation val="minMax"/>
        </c:scaling>
        <c:delete val="0"/>
        <c:axPos val="l"/>
        <c:numFmt formatCode="_-[$$-409]* #,##0.000_ ;_-[$$-409]* \-#,##0.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51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data!$J$150:$J$164</c:f>
              <c:numCache>
                <c:formatCode>0%</c:formatCode>
                <c:ptCount val="15"/>
                <c:pt idx="0">
                  <c:v>9.3837973099781136E-3</c:v>
                </c:pt>
                <c:pt idx="1">
                  <c:v>0.44149975574010758</c:v>
                </c:pt>
                <c:pt idx="2">
                  <c:v>1.2336472793949247</c:v>
                </c:pt>
                <c:pt idx="3">
                  <c:v>9.696077803082051E-2</c:v>
                </c:pt>
                <c:pt idx="4">
                  <c:v>1.2720590483528715</c:v>
                </c:pt>
                <c:pt idx="5">
                  <c:v>0.7096242584047463</c:v>
                </c:pt>
                <c:pt idx="6">
                  <c:v>5.4417361729694705E-2</c:v>
                </c:pt>
                <c:pt idx="7">
                  <c:v>1.5030494901997302</c:v>
                </c:pt>
                <c:pt idx="8">
                  <c:v>-0.13114754098360648</c:v>
                </c:pt>
                <c:pt idx="9">
                  <c:v>0.79147183255399689</c:v>
                </c:pt>
                <c:pt idx="10">
                  <c:v>1.3394814377529412</c:v>
                </c:pt>
                <c:pt idx="11">
                  <c:v>0.63219422820238591</c:v>
                </c:pt>
                <c:pt idx="12">
                  <c:v>1.0772039837267289</c:v>
                </c:pt>
                <c:pt idx="13">
                  <c:v>1.499803269062651</c:v>
                </c:pt>
                <c:pt idx="14">
                  <c:v>4.9833808086535231E-2</c:v>
                </c:pt>
              </c:numCache>
            </c:numRef>
          </c:val>
          <c:extLst>
            <c:ext xmlns:c16="http://schemas.microsoft.com/office/drawing/2014/chart" uri="{C3380CC4-5D6E-409C-BE32-E72D297353CC}">
              <c16:uniqueId val="{00000000-02F2-4A8C-A6D1-DC31D7403D30}"/>
            </c:ext>
          </c:extLst>
        </c:ser>
        <c:dLbls>
          <c:showLegendKey val="0"/>
          <c:showVal val="0"/>
          <c:showCatName val="0"/>
          <c:showSerName val="0"/>
          <c:showPercent val="0"/>
          <c:showBubbleSize val="0"/>
        </c:dLbls>
        <c:gapWidth val="219"/>
        <c:overlap val="-27"/>
        <c:axId val="1094113808"/>
        <c:axId val="1094113328"/>
      </c:barChart>
      <c:catAx>
        <c:axId val="10941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13328"/>
        <c:crosses val="autoZero"/>
        <c:auto val="1"/>
        <c:lblAlgn val="ctr"/>
        <c:lblOffset val="100"/>
        <c:noMultiLvlLbl val="0"/>
      </c:catAx>
      <c:valAx>
        <c:axId val="1094113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13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 first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analysis!$C$121</c:f>
              <c:strCache>
                <c:ptCount val="1"/>
                <c:pt idx="0">
                  <c:v>net income</c:v>
                </c:pt>
              </c:strCache>
            </c:strRef>
          </c:tx>
          <c:spPr>
            <a:solidFill>
              <a:schemeClr val="accent1"/>
            </a:solidFill>
            <a:ln>
              <a:noFill/>
            </a:ln>
            <a:effectLst/>
          </c:spPr>
          <c:invertIfNegative val="0"/>
          <c:cat>
            <c:strRef>
              <c:f>analysis!$B$122:$B$126</c:f>
              <c:strCache>
                <c:ptCount val="5"/>
                <c:pt idx="0">
                  <c:v>2020 Q1</c:v>
                </c:pt>
                <c:pt idx="1">
                  <c:v>2021 Q1</c:v>
                </c:pt>
                <c:pt idx="2">
                  <c:v>2022 Q1</c:v>
                </c:pt>
                <c:pt idx="3">
                  <c:v>2023 Q1</c:v>
                </c:pt>
                <c:pt idx="4">
                  <c:v>2024 Q1</c:v>
                </c:pt>
              </c:strCache>
            </c:strRef>
          </c:cat>
          <c:val>
            <c:numRef>
              <c:f>analysis!$C$122:$C$126</c:f>
              <c:numCache>
                <c:formatCode>_-[$$-409]* #,##0_ ;_-[$$-409]* \-#,##0\ ;_-[$$-409]* "-"??_ ;_-@_ </c:formatCode>
                <c:ptCount val="5"/>
                <c:pt idx="0">
                  <c:v>3653</c:v>
                </c:pt>
                <c:pt idx="1">
                  <c:v>7177</c:v>
                </c:pt>
                <c:pt idx="2">
                  <c:v>12301</c:v>
                </c:pt>
                <c:pt idx="3">
                  <c:v>21419</c:v>
                </c:pt>
                <c:pt idx="4">
                  <c:v>9603</c:v>
                </c:pt>
              </c:numCache>
            </c:numRef>
          </c:val>
          <c:extLst>
            <c:ext xmlns:c16="http://schemas.microsoft.com/office/drawing/2014/chart" uri="{C3380CC4-5D6E-409C-BE32-E72D297353CC}">
              <c16:uniqueId val="{00000000-7ECD-4D91-BBD5-9E0FF2C66002}"/>
            </c:ext>
          </c:extLst>
        </c:ser>
        <c:dLbls>
          <c:showLegendKey val="0"/>
          <c:showVal val="0"/>
          <c:showCatName val="0"/>
          <c:showSerName val="0"/>
          <c:showPercent val="0"/>
          <c:showBubbleSize val="0"/>
        </c:dLbls>
        <c:gapWidth val="219"/>
        <c:overlap val="-27"/>
        <c:axId val="1709904303"/>
        <c:axId val="1709917263"/>
      </c:barChart>
      <c:catAx>
        <c:axId val="17099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17263"/>
        <c:crosses val="autoZero"/>
        <c:auto val="1"/>
        <c:lblAlgn val="ctr"/>
        <c:lblOffset val="100"/>
        <c:noMultiLvlLbl val="0"/>
      </c:catAx>
      <c:valAx>
        <c:axId val="170991726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4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analysis!$C$128</c:f>
              <c:strCache>
                <c:ptCount val="1"/>
                <c:pt idx="0">
                  <c:v>net income</c:v>
                </c:pt>
              </c:strCache>
            </c:strRef>
          </c:tx>
          <c:spPr>
            <a:solidFill>
              <a:schemeClr val="accent1"/>
            </a:solidFill>
            <a:ln>
              <a:noFill/>
            </a:ln>
            <a:effectLst/>
          </c:spPr>
          <c:invertIfNegative val="0"/>
          <c:cat>
            <c:strRef>
              <c:f>analysis!$B$129:$B$133</c:f>
              <c:strCache>
                <c:ptCount val="5"/>
                <c:pt idx="0">
                  <c:v>2019 Q4</c:v>
                </c:pt>
                <c:pt idx="1">
                  <c:v>2020 Q4</c:v>
                </c:pt>
                <c:pt idx="2">
                  <c:v>2021 Q4</c:v>
                </c:pt>
                <c:pt idx="3">
                  <c:v>2022 Q4</c:v>
                </c:pt>
                <c:pt idx="4">
                  <c:v>2023 Q4</c:v>
                </c:pt>
              </c:strCache>
            </c:strRef>
          </c:cat>
          <c:val>
            <c:numRef>
              <c:f>analysis!$C$129:$C$133</c:f>
              <c:numCache>
                <c:formatCode>_-[$$-409]* #,##0_ ;_-[$$-409]* \-#,##0\ ;_-[$$-409]* "-"??_ ;_-@_ </c:formatCode>
                <c:ptCount val="5"/>
                <c:pt idx="0">
                  <c:v>5602</c:v>
                </c:pt>
                <c:pt idx="1">
                  <c:v>2658</c:v>
                </c:pt>
                <c:pt idx="2">
                  <c:v>8950</c:v>
                </c:pt>
                <c:pt idx="3">
                  <c:v>16488</c:v>
                </c:pt>
                <c:pt idx="4">
                  <c:v>6309</c:v>
                </c:pt>
              </c:numCache>
            </c:numRef>
          </c:val>
          <c:extLst>
            <c:ext xmlns:c16="http://schemas.microsoft.com/office/drawing/2014/chart" uri="{C3380CC4-5D6E-409C-BE32-E72D297353CC}">
              <c16:uniqueId val="{00000000-C9F2-4E7A-B3FD-7825180DBC9C}"/>
            </c:ext>
          </c:extLst>
        </c:ser>
        <c:dLbls>
          <c:showLegendKey val="0"/>
          <c:showVal val="0"/>
          <c:showCatName val="0"/>
          <c:showSerName val="0"/>
          <c:showPercent val="0"/>
          <c:showBubbleSize val="0"/>
        </c:dLbls>
        <c:gapWidth val="219"/>
        <c:overlap val="-27"/>
        <c:axId val="709998576"/>
        <c:axId val="710007216"/>
      </c:barChart>
      <c:catAx>
        <c:axId val="7099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07216"/>
        <c:crosses val="autoZero"/>
        <c:auto val="1"/>
        <c:lblAlgn val="ctr"/>
        <c:lblOffset val="100"/>
        <c:noMultiLvlLbl val="0"/>
      </c:catAx>
      <c:valAx>
        <c:axId val="71000721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98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 </a:t>
            </a:r>
            <a:r>
              <a:rPr lang="en-US"/>
              <a:t>%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analysis!$D$99</c:f>
              <c:strCache>
                <c:ptCount val="1"/>
                <c:pt idx="0">
                  <c:v>% growth</c:v>
                </c:pt>
              </c:strCache>
            </c:strRef>
          </c:tx>
          <c:spPr>
            <a:solidFill>
              <a:schemeClr val="accent2"/>
            </a:solidFill>
            <a:ln>
              <a:noFill/>
            </a:ln>
            <a:effectLst/>
          </c:spPr>
          <c:invertIfNegative val="0"/>
          <c:dLbls>
            <c:dLbl>
              <c:idx val="10"/>
              <c:layout>
                <c:manualLayout>
                  <c:x val="0"/>
                  <c:y val="-1.36986301369863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28-43B2-953C-D4F117CCC88C}"/>
                </c:ext>
              </c:extLst>
            </c:dLbl>
            <c:dLbl>
              <c:idx val="12"/>
              <c:layout>
                <c:manualLayout>
                  <c:x val="-1.4064696051397493E-3"/>
                  <c:y val="-4.10958904109589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28-43B2-953C-D4F117CCC8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analysis!$B$100:$B$118</c:f>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f>analysis!$D$100:$D$118</c:f>
              <c:numCache>
                <c:formatCode>0.0%</c:formatCode>
                <c:ptCount val="19"/>
                <c:pt idx="1">
                  <c:v>-0.3035803083043262</c:v>
                </c:pt>
                <c:pt idx="2">
                  <c:v>-0.34791146019278829</c:v>
                </c:pt>
                <c:pt idx="3">
                  <c:v>1.8710648781823158</c:v>
                </c:pt>
                <c:pt idx="4">
                  <c:v>0.23588863463005338</c:v>
                </c:pt>
                <c:pt idx="5">
                  <c:v>-0.79493905261533715</c:v>
                </c:pt>
                <c:pt idx="6">
                  <c:v>1.7001504890895409</c:v>
                </c:pt>
                <c:pt idx="7">
                  <c:v>0.23881844781942316</c:v>
                </c:pt>
                <c:pt idx="8">
                  <c:v>0.20380159712068383</c:v>
                </c:pt>
                <c:pt idx="9">
                  <c:v>-0.16378585443333646</c:v>
                </c:pt>
                <c:pt idx="10">
                  <c:v>0.37441340782122906</c:v>
                </c:pt>
                <c:pt idx="11">
                  <c:v>0.11543776928704984</c:v>
                </c:pt>
                <c:pt idx="12">
                  <c:v>-0.133517965162889</c:v>
                </c:pt>
                <c:pt idx="13">
                  <c:v>0.38682816048448143</c:v>
                </c:pt>
                <c:pt idx="14">
                  <c:v>0.2990659873847647</c:v>
                </c:pt>
                <c:pt idx="15">
                  <c:v>-4.4586582006629627E-2</c:v>
                </c:pt>
                <c:pt idx="16">
                  <c:v>-0.25991985926505085</c:v>
                </c:pt>
                <c:pt idx="17">
                  <c:v>-0.58342687355562894</c:v>
                </c:pt>
                <c:pt idx="18">
                  <c:v>0.52211126961483589</c:v>
                </c:pt>
              </c:numCache>
            </c:numRef>
          </c:val>
          <c:extLst>
            <c:ext xmlns:c16="http://schemas.microsoft.com/office/drawing/2014/chart" uri="{C3380CC4-5D6E-409C-BE32-E72D297353CC}">
              <c16:uniqueId val="{00000001-8F28-43B2-953C-D4F117CCC88C}"/>
            </c:ext>
          </c:extLst>
        </c:ser>
        <c:dLbls>
          <c:dLblPos val="outEnd"/>
          <c:showLegendKey val="0"/>
          <c:showVal val="1"/>
          <c:showCatName val="0"/>
          <c:showSerName val="0"/>
          <c:showPercent val="0"/>
          <c:showBubbleSize val="0"/>
        </c:dLbls>
        <c:gapWidth val="95"/>
        <c:overlap val="-27"/>
        <c:axId val="1455686431"/>
        <c:axId val="1455691231"/>
        <c:extLst>
          <c:ext xmlns:c15="http://schemas.microsoft.com/office/drawing/2012/chart" uri="{02D57815-91ED-43cb-92C2-25804820EDAC}">
            <c15:filteredBarSeries>
              <c15:ser>
                <c:idx val="0"/>
                <c:order val="0"/>
                <c:tx>
                  <c:strRef>
                    <c:extLst>
                      <c:ext uri="{02D57815-91ED-43cb-92C2-25804820EDAC}">
                        <c15:formulaRef>
                          <c15:sqref>analysis!$C$99</c15:sqref>
                        </c15:formulaRef>
                      </c:ext>
                    </c:extLst>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analysis!$B$100:$B$118</c15:sqref>
                        </c15:formulaRef>
                      </c:ext>
                    </c:extLst>
                    <c:strCache>
                      <c:ptCount val="19"/>
                      <c:pt idx="0">
                        <c:v>2019 Q3</c:v>
                      </c:pt>
                      <c:pt idx="1">
                        <c:v>2019 Q4</c:v>
                      </c:pt>
                      <c:pt idx="2">
                        <c:v>2020 Q1</c:v>
                      </c:pt>
                      <c:pt idx="3">
                        <c:v>2020 Q2</c:v>
                      </c:pt>
                      <c:pt idx="4">
                        <c:v>2020 Q3</c:v>
                      </c:pt>
                      <c:pt idx="5">
                        <c:v>2020 Q4</c:v>
                      </c:pt>
                      <c:pt idx="6">
                        <c:v>2021 Q1</c:v>
                      </c:pt>
                      <c:pt idx="7">
                        <c:v>2021 Q2</c:v>
                      </c:pt>
                      <c:pt idx="8">
                        <c:v>2021 Q3</c:v>
                      </c:pt>
                      <c:pt idx="9">
                        <c:v>2021 Q4</c:v>
                      </c:pt>
                      <c:pt idx="10">
                        <c:v>2022 Q1</c:v>
                      </c:pt>
                      <c:pt idx="11">
                        <c:v>2022 Q2</c:v>
                      </c:pt>
                      <c:pt idx="12">
                        <c:v>2022 Q3</c:v>
                      </c:pt>
                      <c:pt idx="13">
                        <c:v>2022 Q4</c:v>
                      </c:pt>
                      <c:pt idx="14">
                        <c:v>2023 Q1</c:v>
                      </c:pt>
                      <c:pt idx="15">
                        <c:v>2023 Q2</c:v>
                      </c:pt>
                      <c:pt idx="16">
                        <c:v>2023 Q3</c:v>
                      </c:pt>
                      <c:pt idx="17">
                        <c:v>2023 Q4</c:v>
                      </c:pt>
                      <c:pt idx="18">
                        <c:v>2024 Q1</c:v>
                      </c:pt>
                    </c:strCache>
                  </c:strRef>
                </c:cat>
                <c:val>
                  <c:numRef>
                    <c:extLst>
                      <c:ext uri="{02D57815-91ED-43cb-92C2-25804820EDAC}">
                        <c15:formulaRef>
                          <c15:sqref>analysis!$C$100:$C$118</c15:sqref>
                        </c15:formulaRef>
                      </c:ext>
                    </c:extLst>
                    <c:numCache>
                      <c:formatCode>_-[$$-409]* #,##0_ ;_-[$$-409]* \-#,##0\ ;_-[$$-409]* "-"??_ ;_-@_ </c:formatCode>
                      <c:ptCount val="19"/>
                      <c:pt idx="0">
                        <c:v>8044</c:v>
                      </c:pt>
                      <c:pt idx="1">
                        <c:v>5602</c:v>
                      </c:pt>
                      <c:pt idx="2">
                        <c:v>3653</c:v>
                      </c:pt>
                      <c:pt idx="3">
                        <c:v>10488</c:v>
                      </c:pt>
                      <c:pt idx="4">
                        <c:v>12962</c:v>
                      </c:pt>
                      <c:pt idx="5">
                        <c:v>2658</c:v>
                      </c:pt>
                      <c:pt idx="6">
                        <c:v>7177</c:v>
                      </c:pt>
                      <c:pt idx="7">
                        <c:v>8891</c:v>
                      </c:pt>
                      <c:pt idx="8">
                        <c:v>10703</c:v>
                      </c:pt>
                      <c:pt idx="9">
                        <c:v>8950</c:v>
                      </c:pt>
                      <c:pt idx="10">
                        <c:v>12301</c:v>
                      </c:pt>
                      <c:pt idx="11">
                        <c:v>13721</c:v>
                      </c:pt>
                      <c:pt idx="12">
                        <c:v>11889</c:v>
                      </c:pt>
                      <c:pt idx="13">
                        <c:v>16488</c:v>
                      </c:pt>
                      <c:pt idx="14">
                        <c:v>21419</c:v>
                      </c:pt>
                      <c:pt idx="15">
                        <c:v>20464</c:v>
                      </c:pt>
                      <c:pt idx="16">
                        <c:v>15145</c:v>
                      </c:pt>
                      <c:pt idx="17">
                        <c:v>6309</c:v>
                      </c:pt>
                      <c:pt idx="18">
                        <c:v>9603</c:v>
                      </c:pt>
                    </c:numCache>
                  </c:numRef>
                </c:val>
                <c:extLst>
                  <c:ext xmlns:c16="http://schemas.microsoft.com/office/drawing/2014/chart" uri="{C3380CC4-5D6E-409C-BE32-E72D297353CC}">
                    <c16:uniqueId val="{00000000-8F28-43B2-953C-D4F117CCC88C}"/>
                  </c:ext>
                </c:extLst>
              </c15:ser>
            </c15:filteredBarSeries>
          </c:ext>
        </c:extLst>
      </c:barChart>
      <c:catAx>
        <c:axId val="145568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91231"/>
        <c:crosses val="autoZero"/>
        <c:auto val="1"/>
        <c:lblAlgn val="ctr"/>
        <c:lblOffset val="100"/>
        <c:noMultiLvlLbl val="0"/>
      </c:catAx>
      <c:valAx>
        <c:axId val="14556912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8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analysis!$C$153</c:f>
              <c:strCache>
                <c:ptCount val="1"/>
                <c:pt idx="0">
                  <c:v>% growth</c:v>
                </c:pt>
              </c:strCache>
            </c:strRef>
          </c:tx>
          <c:spPr>
            <a:solidFill>
              <a:schemeClr val="accent2"/>
            </a:solidFill>
            <a:ln>
              <a:noFill/>
            </a:ln>
            <a:effectLst/>
          </c:spPr>
          <c:invertIfNegative val="0"/>
          <c:cat>
            <c:strRef>
              <c:f>analysis!$A$154:$A$162</c:f>
              <c:strCache>
                <c:ptCount val="9"/>
                <c:pt idx="0">
                  <c:v>2021 Q2</c:v>
                </c:pt>
                <c:pt idx="1">
                  <c:v>2021 Q3</c:v>
                </c:pt>
                <c:pt idx="2">
                  <c:v>2021 Q4</c:v>
                </c:pt>
                <c:pt idx="3">
                  <c:v>2022 Q1</c:v>
                </c:pt>
                <c:pt idx="4">
                  <c:v>2022 Q2</c:v>
                </c:pt>
                <c:pt idx="5">
                  <c:v>2022 Q3</c:v>
                </c:pt>
                <c:pt idx="6">
                  <c:v>2022 Q4</c:v>
                </c:pt>
                <c:pt idx="7">
                  <c:v>2023 Q1</c:v>
                </c:pt>
                <c:pt idx="8">
                  <c:v>2023 Q2</c:v>
                </c:pt>
              </c:strCache>
            </c:strRef>
          </c:cat>
          <c:val>
            <c:numRef>
              <c:f>analysis!$C$154:$C$162</c:f>
              <c:numCache>
                <c:formatCode>0.0%</c:formatCode>
                <c:ptCount val="9"/>
                <c:pt idx="0">
                  <c:v>0.23881844781942316</c:v>
                </c:pt>
                <c:pt idx="1">
                  <c:v>0.20380159712068383</c:v>
                </c:pt>
                <c:pt idx="2">
                  <c:v>-0.16378585443333646</c:v>
                </c:pt>
                <c:pt idx="3">
                  <c:v>0.37441340782122906</c:v>
                </c:pt>
                <c:pt idx="4">
                  <c:v>0.11543776928704984</c:v>
                </c:pt>
                <c:pt idx="5">
                  <c:v>-0.133517965162889</c:v>
                </c:pt>
                <c:pt idx="6">
                  <c:v>0.38682816048448143</c:v>
                </c:pt>
                <c:pt idx="7">
                  <c:v>0.2990659873847647</c:v>
                </c:pt>
                <c:pt idx="8">
                  <c:v>-4.4586582006629627E-2</c:v>
                </c:pt>
              </c:numCache>
            </c:numRef>
          </c:val>
          <c:extLst>
            <c:ext xmlns:c16="http://schemas.microsoft.com/office/drawing/2014/chart" uri="{C3380CC4-5D6E-409C-BE32-E72D297353CC}">
              <c16:uniqueId val="{00000001-C70D-4F36-A059-98D24B55FF38}"/>
            </c:ext>
          </c:extLst>
        </c:ser>
        <c:dLbls>
          <c:showLegendKey val="0"/>
          <c:showVal val="0"/>
          <c:showCatName val="0"/>
          <c:showSerName val="0"/>
          <c:showPercent val="0"/>
          <c:showBubbleSize val="0"/>
        </c:dLbls>
        <c:gapWidth val="219"/>
        <c:overlap val="-27"/>
        <c:axId val="1714031775"/>
        <c:axId val="1714052415"/>
        <c:extLst>
          <c:ext xmlns:c15="http://schemas.microsoft.com/office/drawing/2012/chart" uri="{02D57815-91ED-43cb-92C2-25804820EDAC}">
            <c15:filteredBarSeries>
              <c15:ser>
                <c:idx val="0"/>
                <c:order val="0"/>
                <c:tx>
                  <c:strRef>
                    <c:extLst>
                      <c:ext uri="{02D57815-91ED-43cb-92C2-25804820EDAC}">
                        <c15:formulaRef>
                          <c15:sqref>analysis!$B$153</c15:sqref>
                        </c15:formulaRef>
                      </c:ext>
                    </c:extLst>
                    <c:strCache>
                      <c:ptCount val="1"/>
                      <c:pt idx="0">
                        <c:v>net income</c:v>
                      </c:pt>
                    </c:strCache>
                  </c:strRef>
                </c:tx>
                <c:spPr>
                  <a:solidFill>
                    <a:schemeClr val="accent1"/>
                  </a:solidFill>
                  <a:ln>
                    <a:noFill/>
                  </a:ln>
                  <a:effectLst/>
                </c:spPr>
                <c:invertIfNegative val="0"/>
                <c:cat>
                  <c:strRef>
                    <c:extLst>
                      <c:ext uri="{02D57815-91ED-43cb-92C2-25804820EDAC}">
                        <c15:formulaRef>
                          <c15:sqref>analysis!$A$154:$A$162</c15:sqref>
                        </c15:formulaRef>
                      </c:ext>
                    </c:extLst>
                    <c:strCache>
                      <c:ptCount val="9"/>
                      <c:pt idx="0">
                        <c:v>2021 Q2</c:v>
                      </c:pt>
                      <c:pt idx="1">
                        <c:v>2021 Q3</c:v>
                      </c:pt>
                      <c:pt idx="2">
                        <c:v>2021 Q4</c:v>
                      </c:pt>
                      <c:pt idx="3">
                        <c:v>2022 Q1</c:v>
                      </c:pt>
                      <c:pt idx="4">
                        <c:v>2022 Q2</c:v>
                      </c:pt>
                      <c:pt idx="5">
                        <c:v>2022 Q3</c:v>
                      </c:pt>
                      <c:pt idx="6">
                        <c:v>2022 Q4</c:v>
                      </c:pt>
                      <c:pt idx="7">
                        <c:v>2023 Q1</c:v>
                      </c:pt>
                      <c:pt idx="8">
                        <c:v>2023 Q2</c:v>
                      </c:pt>
                    </c:strCache>
                  </c:strRef>
                </c:cat>
                <c:val>
                  <c:numRef>
                    <c:extLst>
                      <c:ext uri="{02D57815-91ED-43cb-92C2-25804820EDAC}">
                        <c15:formulaRef>
                          <c15:sqref>analysis!$B$154:$B$162</c15:sqref>
                        </c15:formulaRef>
                      </c:ext>
                    </c:extLst>
                    <c:numCache>
                      <c:formatCode>_-[$$-409]* #,##0_ ;_-[$$-409]* \-#,##0\ ;_-[$$-409]* "-"??_ ;_-@_ </c:formatCode>
                      <c:ptCount val="9"/>
                      <c:pt idx="0">
                        <c:v>8891</c:v>
                      </c:pt>
                      <c:pt idx="1">
                        <c:v>10703</c:v>
                      </c:pt>
                      <c:pt idx="2">
                        <c:v>8950</c:v>
                      </c:pt>
                      <c:pt idx="3">
                        <c:v>12301</c:v>
                      </c:pt>
                      <c:pt idx="4">
                        <c:v>13721</c:v>
                      </c:pt>
                      <c:pt idx="5">
                        <c:v>11889</c:v>
                      </c:pt>
                      <c:pt idx="6">
                        <c:v>16488</c:v>
                      </c:pt>
                      <c:pt idx="7">
                        <c:v>21419</c:v>
                      </c:pt>
                      <c:pt idx="8">
                        <c:v>20464</c:v>
                      </c:pt>
                    </c:numCache>
                  </c:numRef>
                </c:val>
                <c:extLst>
                  <c:ext xmlns:c16="http://schemas.microsoft.com/office/drawing/2014/chart" uri="{C3380CC4-5D6E-409C-BE32-E72D297353CC}">
                    <c16:uniqueId val="{00000000-C70D-4F36-A059-98D24B55FF3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analysis!$D$153</c15:sqref>
                        </c15:formulaRef>
                      </c:ext>
                    </c:extLst>
                    <c:strCache>
                      <c:ptCount val="1"/>
                      <c:pt idx="0">
                        <c:v>ttm</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analysis!$A$154:$A$162</c15:sqref>
                        </c15:formulaRef>
                      </c:ext>
                    </c:extLst>
                    <c:strCache>
                      <c:ptCount val="9"/>
                      <c:pt idx="0">
                        <c:v>2021 Q2</c:v>
                      </c:pt>
                      <c:pt idx="1">
                        <c:v>2021 Q3</c:v>
                      </c:pt>
                      <c:pt idx="2">
                        <c:v>2021 Q4</c:v>
                      </c:pt>
                      <c:pt idx="3">
                        <c:v>2022 Q1</c:v>
                      </c:pt>
                      <c:pt idx="4">
                        <c:v>2022 Q2</c:v>
                      </c:pt>
                      <c:pt idx="5">
                        <c:v>2022 Q3</c:v>
                      </c:pt>
                      <c:pt idx="6">
                        <c:v>2022 Q4</c:v>
                      </c:pt>
                      <c:pt idx="7">
                        <c:v>2023 Q1</c:v>
                      </c:pt>
                      <c:pt idx="8">
                        <c:v>2023 Q2</c:v>
                      </c:pt>
                    </c:strCache>
                  </c:strRef>
                </c:cat>
                <c:val>
                  <c:numRef>
                    <c:extLst xmlns:c15="http://schemas.microsoft.com/office/drawing/2012/chart">
                      <c:ext xmlns:c15="http://schemas.microsoft.com/office/drawing/2012/chart" uri="{02D57815-91ED-43cb-92C2-25804820EDAC}">
                        <c15:formulaRef>
                          <c15:sqref>analysis!$D$154:$D$162</c15:sqref>
                        </c15:formulaRef>
                      </c:ext>
                    </c:extLst>
                    <c:numCache>
                      <c:formatCode>_-[$$-409]* #,##0_ ;_-[$$-409]* \-#,##0\ ;_-[$$-409]* "-"??_ ;_-@_ </c:formatCode>
                      <c:ptCount val="9"/>
                      <c:pt idx="0">
                        <c:v>18726</c:v>
                      </c:pt>
                      <c:pt idx="1">
                        <c:v>26771</c:v>
                      </c:pt>
                      <c:pt idx="2">
                        <c:v>28544</c:v>
                      </c:pt>
                      <c:pt idx="3">
                        <c:v>31954</c:v>
                      </c:pt>
                      <c:pt idx="4">
                        <c:v>34972</c:v>
                      </c:pt>
                      <c:pt idx="5">
                        <c:v>37911</c:v>
                      </c:pt>
                      <c:pt idx="6">
                        <c:v>42098</c:v>
                      </c:pt>
                      <c:pt idx="7">
                        <c:v>49796</c:v>
                      </c:pt>
                      <c:pt idx="8">
                        <c:v>58371</c:v>
                      </c:pt>
                    </c:numCache>
                  </c:numRef>
                </c:val>
                <c:extLst xmlns:c15="http://schemas.microsoft.com/office/drawing/2012/chart">
                  <c:ext xmlns:c16="http://schemas.microsoft.com/office/drawing/2014/chart" uri="{C3380CC4-5D6E-409C-BE32-E72D297353CC}">
                    <c16:uniqueId val="{00000002-C70D-4F36-A059-98D24B55FF38}"/>
                  </c:ext>
                </c:extLst>
              </c15:ser>
            </c15:filteredBarSeries>
          </c:ext>
        </c:extLst>
      </c:barChart>
      <c:catAx>
        <c:axId val="17140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52415"/>
        <c:crosses val="autoZero"/>
        <c:auto val="1"/>
        <c:lblAlgn val="ctr"/>
        <c:lblOffset val="100"/>
        <c:noMultiLvlLbl val="0"/>
      </c:catAx>
      <c:valAx>
        <c:axId val="1714052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analysis!$B$153</c:f>
              <c:strCache>
                <c:ptCount val="1"/>
                <c:pt idx="0">
                  <c:v>net income</c:v>
                </c:pt>
              </c:strCache>
              <c:extLst xmlns:c15="http://schemas.microsoft.com/office/drawing/2012/chart"/>
            </c:strRef>
          </c:tx>
          <c:spPr>
            <a:solidFill>
              <a:schemeClr val="accent1"/>
            </a:solidFill>
            <a:ln>
              <a:noFill/>
            </a:ln>
            <a:effectLst/>
          </c:spPr>
          <c:invertIfNegative val="0"/>
          <c:cat>
            <c:strRef>
              <c:f>analysis!$A$154:$A$162</c:f>
              <c:strCache>
                <c:ptCount val="9"/>
                <c:pt idx="0">
                  <c:v>2021 Q2</c:v>
                </c:pt>
                <c:pt idx="1">
                  <c:v>2021 Q3</c:v>
                </c:pt>
                <c:pt idx="2">
                  <c:v>2021 Q4</c:v>
                </c:pt>
                <c:pt idx="3">
                  <c:v>2022 Q1</c:v>
                </c:pt>
                <c:pt idx="4">
                  <c:v>2022 Q2</c:v>
                </c:pt>
                <c:pt idx="5">
                  <c:v>2022 Q3</c:v>
                </c:pt>
                <c:pt idx="6">
                  <c:v>2022 Q4</c:v>
                </c:pt>
                <c:pt idx="7">
                  <c:v>2023 Q1</c:v>
                </c:pt>
                <c:pt idx="8">
                  <c:v>2023 Q2</c:v>
                </c:pt>
              </c:strCache>
              <c:extLst xmlns:c15="http://schemas.microsoft.com/office/drawing/2012/chart"/>
            </c:strRef>
          </c:cat>
          <c:val>
            <c:numRef>
              <c:f>analysis!$B$154:$B$162</c:f>
              <c:numCache>
                <c:formatCode>_-[$$-409]* #,##0_ ;_-[$$-409]* \-#,##0\ ;_-[$$-409]* "-"??_ ;_-@_ </c:formatCode>
                <c:ptCount val="9"/>
                <c:pt idx="0">
                  <c:v>8891</c:v>
                </c:pt>
                <c:pt idx="1">
                  <c:v>10703</c:v>
                </c:pt>
                <c:pt idx="2">
                  <c:v>8950</c:v>
                </c:pt>
                <c:pt idx="3">
                  <c:v>12301</c:v>
                </c:pt>
                <c:pt idx="4">
                  <c:v>13721</c:v>
                </c:pt>
                <c:pt idx="5">
                  <c:v>11889</c:v>
                </c:pt>
                <c:pt idx="6">
                  <c:v>16488</c:v>
                </c:pt>
                <c:pt idx="7">
                  <c:v>21419</c:v>
                </c:pt>
                <c:pt idx="8">
                  <c:v>20464</c:v>
                </c:pt>
              </c:numCache>
              <c:extLst xmlns:c15="http://schemas.microsoft.com/office/drawing/2012/chart"/>
            </c:numRef>
          </c:val>
          <c:extLst>
            <c:ext xmlns:c16="http://schemas.microsoft.com/office/drawing/2014/chart" uri="{C3380CC4-5D6E-409C-BE32-E72D297353CC}">
              <c16:uniqueId val="{00000001-3A73-4C71-9F3E-C64049A177EA}"/>
            </c:ext>
          </c:extLst>
        </c:ser>
        <c:dLbls>
          <c:showLegendKey val="0"/>
          <c:showVal val="0"/>
          <c:showCatName val="0"/>
          <c:showSerName val="0"/>
          <c:showPercent val="0"/>
          <c:showBubbleSize val="0"/>
        </c:dLbls>
        <c:gapWidth val="219"/>
        <c:overlap val="-27"/>
        <c:axId val="1714031775"/>
        <c:axId val="1714052415"/>
        <c:extLst>
          <c:ext xmlns:c15="http://schemas.microsoft.com/office/drawing/2012/chart" uri="{02D57815-91ED-43cb-92C2-25804820EDAC}">
            <c15:filteredBarSeries>
              <c15:ser>
                <c:idx val="1"/>
                <c:order val="1"/>
                <c:tx>
                  <c:strRef>
                    <c:extLst>
                      <c:ext uri="{02D57815-91ED-43cb-92C2-25804820EDAC}">
                        <c15:formulaRef>
                          <c15:sqref>analysis!$C$153</c15:sqref>
                        </c15:formulaRef>
                      </c:ext>
                    </c:extLst>
                    <c:strCache>
                      <c:ptCount val="1"/>
                      <c:pt idx="0">
                        <c:v>% growth</c:v>
                      </c:pt>
                    </c:strCache>
                  </c:strRef>
                </c:tx>
                <c:spPr>
                  <a:solidFill>
                    <a:schemeClr val="accent2"/>
                  </a:solidFill>
                  <a:ln>
                    <a:noFill/>
                  </a:ln>
                  <a:effectLst/>
                </c:spPr>
                <c:invertIfNegative val="0"/>
                <c:cat>
                  <c:strRef>
                    <c:extLst>
                      <c:ext uri="{02D57815-91ED-43cb-92C2-25804820EDAC}">
                        <c15:formulaRef>
                          <c15:sqref>analysis!$A$154:$A$162</c15:sqref>
                        </c15:formulaRef>
                      </c:ext>
                    </c:extLst>
                    <c:strCache>
                      <c:ptCount val="9"/>
                      <c:pt idx="0">
                        <c:v>2021 Q2</c:v>
                      </c:pt>
                      <c:pt idx="1">
                        <c:v>2021 Q3</c:v>
                      </c:pt>
                      <c:pt idx="2">
                        <c:v>2021 Q4</c:v>
                      </c:pt>
                      <c:pt idx="3">
                        <c:v>2022 Q1</c:v>
                      </c:pt>
                      <c:pt idx="4">
                        <c:v>2022 Q2</c:v>
                      </c:pt>
                      <c:pt idx="5">
                        <c:v>2022 Q3</c:v>
                      </c:pt>
                      <c:pt idx="6">
                        <c:v>2022 Q4</c:v>
                      </c:pt>
                      <c:pt idx="7">
                        <c:v>2023 Q1</c:v>
                      </c:pt>
                      <c:pt idx="8">
                        <c:v>2023 Q2</c:v>
                      </c:pt>
                    </c:strCache>
                  </c:strRef>
                </c:cat>
                <c:val>
                  <c:numRef>
                    <c:extLst>
                      <c:ext uri="{02D57815-91ED-43cb-92C2-25804820EDAC}">
                        <c15:formulaRef>
                          <c15:sqref>analysis!$C$154:$C$162</c15:sqref>
                        </c15:formulaRef>
                      </c:ext>
                    </c:extLst>
                    <c:numCache>
                      <c:formatCode>0.0%</c:formatCode>
                      <c:ptCount val="9"/>
                      <c:pt idx="0">
                        <c:v>0.23881844781942316</c:v>
                      </c:pt>
                      <c:pt idx="1">
                        <c:v>0.20380159712068383</c:v>
                      </c:pt>
                      <c:pt idx="2">
                        <c:v>-0.16378585443333646</c:v>
                      </c:pt>
                      <c:pt idx="3">
                        <c:v>0.37441340782122906</c:v>
                      </c:pt>
                      <c:pt idx="4">
                        <c:v>0.11543776928704984</c:v>
                      </c:pt>
                      <c:pt idx="5">
                        <c:v>-0.133517965162889</c:v>
                      </c:pt>
                      <c:pt idx="6">
                        <c:v>0.38682816048448143</c:v>
                      </c:pt>
                      <c:pt idx="7">
                        <c:v>0.2990659873847647</c:v>
                      </c:pt>
                      <c:pt idx="8">
                        <c:v>-4.4586582006629627E-2</c:v>
                      </c:pt>
                    </c:numCache>
                  </c:numRef>
                </c:val>
                <c:extLst>
                  <c:ext xmlns:c16="http://schemas.microsoft.com/office/drawing/2014/chart" uri="{C3380CC4-5D6E-409C-BE32-E72D297353CC}">
                    <c16:uniqueId val="{00000000-3A73-4C71-9F3E-C64049A177E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analysis!$D$153</c15:sqref>
                        </c15:formulaRef>
                      </c:ext>
                    </c:extLst>
                    <c:strCache>
                      <c:ptCount val="1"/>
                      <c:pt idx="0">
                        <c:v>ttm</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analysis!$A$154:$A$162</c15:sqref>
                        </c15:formulaRef>
                      </c:ext>
                    </c:extLst>
                    <c:strCache>
                      <c:ptCount val="9"/>
                      <c:pt idx="0">
                        <c:v>2021 Q2</c:v>
                      </c:pt>
                      <c:pt idx="1">
                        <c:v>2021 Q3</c:v>
                      </c:pt>
                      <c:pt idx="2">
                        <c:v>2021 Q4</c:v>
                      </c:pt>
                      <c:pt idx="3">
                        <c:v>2022 Q1</c:v>
                      </c:pt>
                      <c:pt idx="4">
                        <c:v>2022 Q2</c:v>
                      </c:pt>
                      <c:pt idx="5">
                        <c:v>2022 Q3</c:v>
                      </c:pt>
                      <c:pt idx="6">
                        <c:v>2022 Q4</c:v>
                      </c:pt>
                      <c:pt idx="7">
                        <c:v>2023 Q1</c:v>
                      </c:pt>
                      <c:pt idx="8">
                        <c:v>2023 Q2</c:v>
                      </c:pt>
                    </c:strCache>
                  </c:strRef>
                </c:cat>
                <c:val>
                  <c:numRef>
                    <c:extLst xmlns:c15="http://schemas.microsoft.com/office/drawing/2012/chart">
                      <c:ext xmlns:c15="http://schemas.microsoft.com/office/drawing/2012/chart" uri="{02D57815-91ED-43cb-92C2-25804820EDAC}">
                        <c15:formulaRef>
                          <c15:sqref>analysis!$D$154:$D$162</c15:sqref>
                        </c15:formulaRef>
                      </c:ext>
                    </c:extLst>
                    <c:numCache>
                      <c:formatCode>_-[$$-409]* #,##0_ ;_-[$$-409]* \-#,##0\ ;_-[$$-409]* "-"??_ ;_-@_ </c:formatCode>
                      <c:ptCount val="9"/>
                      <c:pt idx="0">
                        <c:v>18726</c:v>
                      </c:pt>
                      <c:pt idx="1">
                        <c:v>26771</c:v>
                      </c:pt>
                      <c:pt idx="2">
                        <c:v>28544</c:v>
                      </c:pt>
                      <c:pt idx="3">
                        <c:v>31954</c:v>
                      </c:pt>
                      <c:pt idx="4">
                        <c:v>34972</c:v>
                      </c:pt>
                      <c:pt idx="5">
                        <c:v>37911</c:v>
                      </c:pt>
                      <c:pt idx="6">
                        <c:v>42098</c:v>
                      </c:pt>
                      <c:pt idx="7">
                        <c:v>49796</c:v>
                      </c:pt>
                      <c:pt idx="8">
                        <c:v>58371</c:v>
                      </c:pt>
                    </c:numCache>
                  </c:numRef>
                </c:val>
                <c:extLst xmlns:c15="http://schemas.microsoft.com/office/drawing/2012/chart">
                  <c:ext xmlns:c16="http://schemas.microsoft.com/office/drawing/2014/chart" uri="{C3380CC4-5D6E-409C-BE32-E72D297353CC}">
                    <c16:uniqueId val="{00000002-3A73-4C71-9F3E-C64049A177EA}"/>
                  </c:ext>
                </c:extLst>
              </c15:ser>
            </c15:filteredBarSeries>
          </c:ext>
        </c:extLst>
      </c:barChart>
      <c:catAx>
        <c:axId val="17140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52415"/>
        <c:crosses val="autoZero"/>
        <c:auto val="1"/>
        <c:lblAlgn val="ctr"/>
        <c:lblOffset val="100"/>
        <c:noMultiLvlLbl val="0"/>
      </c:catAx>
      <c:valAx>
        <c:axId val="171405241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image" Target="../media/image21.pn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chart" Target="../charts/chart20.xml"/><Relationship Id="rId3" Type="http://schemas.openxmlformats.org/officeDocument/2006/relationships/image" Target="../media/image11.png"/><Relationship Id="rId7" Type="http://schemas.openxmlformats.org/officeDocument/2006/relationships/image" Target="../media/image26.png"/><Relationship Id="rId12" Type="http://schemas.openxmlformats.org/officeDocument/2006/relationships/image" Target="../media/image31.png"/><Relationship Id="rId2" Type="http://schemas.openxmlformats.org/officeDocument/2006/relationships/image" Target="../media/image22.png"/><Relationship Id="rId1" Type="http://schemas.openxmlformats.org/officeDocument/2006/relationships/chart" Target="../charts/chart19.xml"/><Relationship Id="rId6" Type="http://schemas.openxmlformats.org/officeDocument/2006/relationships/image" Target="../media/image25.png"/><Relationship Id="rId11" Type="http://schemas.openxmlformats.org/officeDocument/2006/relationships/image" Target="../media/image30.png"/><Relationship Id="rId5" Type="http://schemas.openxmlformats.org/officeDocument/2006/relationships/image" Target="../media/image24.png"/><Relationship Id="rId10" Type="http://schemas.openxmlformats.org/officeDocument/2006/relationships/image" Target="../media/image29.png"/><Relationship Id="rId4" Type="http://schemas.openxmlformats.org/officeDocument/2006/relationships/image" Target="../media/image23.png"/><Relationship Id="rId9" Type="http://schemas.openxmlformats.org/officeDocument/2006/relationships/image" Target="../media/image28.png"/></Relationships>
</file>

<file path=xl/drawings/_rels/drawing5.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image" Target="../media/image12.png"/><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image" Target="../media/image32.png"/><Relationship Id="rId11" Type="http://schemas.openxmlformats.org/officeDocument/2006/relationships/chart" Target="../charts/chart29.xml"/><Relationship Id="rId5" Type="http://schemas.openxmlformats.org/officeDocument/2006/relationships/chart" Target="../charts/chart24.xml"/><Relationship Id="rId10" Type="http://schemas.openxmlformats.org/officeDocument/2006/relationships/chart" Target="../charts/chart28.xml"/><Relationship Id="rId4" Type="http://schemas.openxmlformats.org/officeDocument/2006/relationships/chart" Target="../charts/chart23.xml"/><Relationship Id="rId9"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0" Type="http://schemas.openxmlformats.org/officeDocument/2006/relationships/chart" Target="../charts/chart47.xml"/><Relationship Id="rId4" Type="http://schemas.openxmlformats.org/officeDocument/2006/relationships/chart" Target="../charts/chart41.xml"/><Relationship Id="rId9" Type="http://schemas.openxmlformats.org/officeDocument/2006/relationships/chart" Target="../charts/chart4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314325</xdr:colOff>
      <xdr:row>6</xdr:row>
      <xdr:rowOff>142875</xdr:rowOff>
    </xdr:to>
    <xdr:pic>
      <xdr:nvPicPr>
        <xdr:cNvPr id="2" name="Picture 1" descr="Preformed Line Products (PLP)">
          <a:extLst>
            <a:ext uri="{FF2B5EF4-FFF2-40B4-BE49-F238E27FC236}">
              <a16:creationId xmlns:a16="http://schemas.microsoft.com/office/drawing/2014/main" id="{98270BD2-483A-84C8-E70B-3E2A904D2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43125"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138339</xdr:colOff>
      <xdr:row>1</xdr:row>
      <xdr:rowOff>314886</xdr:rowOff>
    </xdr:from>
    <xdr:to>
      <xdr:col>29</xdr:col>
      <xdr:colOff>195089</xdr:colOff>
      <xdr:row>17</xdr:row>
      <xdr:rowOff>73960</xdr:rowOff>
    </xdr:to>
    <xdr:pic>
      <xdr:nvPicPr>
        <xdr:cNvPr id="4" name="Picture 3">
          <a:extLst>
            <a:ext uri="{FF2B5EF4-FFF2-40B4-BE49-F238E27FC236}">
              <a16:creationId xmlns:a16="http://schemas.microsoft.com/office/drawing/2014/main" id="{A2610350-EEE9-9F2C-B975-87358ACF49D7}"/>
            </a:ext>
          </a:extLst>
        </xdr:cNvPr>
        <xdr:cNvPicPr>
          <a:picLocks noChangeAspect="1"/>
        </xdr:cNvPicPr>
      </xdr:nvPicPr>
      <xdr:blipFill>
        <a:blip xmlns:r="http://schemas.openxmlformats.org/officeDocument/2006/relationships" r:embed="rId2"/>
        <a:stretch>
          <a:fillRect/>
        </a:stretch>
      </xdr:blipFill>
      <xdr:spPr>
        <a:xfrm>
          <a:off x="12845810" y="651062"/>
          <a:ext cx="4897691" cy="5137898"/>
        </a:xfrm>
        <a:prstGeom prst="rect">
          <a:avLst/>
        </a:prstGeom>
      </xdr:spPr>
    </xdr:pic>
    <xdr:clientData/>
  </xdr:twoCellAnchor>
  <xdr:twoCellAnchor editAs="oneCell">
    <xdr:from>
      <xdr:col>13</xdr:col>
      <xdr:colOff>345702</xdr:colOff>
      <xdr:row>3</xdr:row>
      <xdr:rowOff>12620</xdr:rowOff>
    </xdr:from>
    <xdr:to>
      <xdr:col>20</xdr:col>
      <xdr:colOff>420832</xdr:colOff>
      <xdr:row>15</xdr:row>
      <xdr:rowOff>98166</xdr:rowOff>
    </xdr:to>
    <xdr:pic>
      <xdr:nvPicPr>
        <xdr:cNvPr id="5" name="Picture 4">
          <a:extLst>
            <a:ext uri="{FF2B5EF4-FFF2-40B4-BE49-F238E27FC236}">
              <a16:creationId xmlns:a16="http://schemas.microsoft.com/office/drawing/2014/main" id="{39F3E6CD-19A0-E4AA-C881-F9BDF21326F3}"/>
            </a:ext>
          </a:extLst>
        </xdr:cNvPr>
        <xdr:cNvPicPr>
          <a:picLocks noChangeAspect="1"/>
        </xdr:cNvPicPr>
      </xdr:nvPicPr>
      <xdr:blipFill>
        <a:blip xmlns:r="http://schemas.openxmlformats.org/officeDocument/2006/relationships" r:embed="rId3"/>
        <a:stretch>
          <a:fillRect/>
        </a:stretch>
      </xdr:blipFill>
      <xdr:spPr>
        <a:xfrm>
          <a:off x="8212231" y="1021149"/>
          <a:ext cx="4310954" cy="4119664"/>
        </a:xfrm>
        <a:prstGeom prst="rect">
          <a:avLst/>
        </a:prstGeom>
      </xdr:spPr>
    </xdr:pic>
    <xdr:clientData/>
  </xdr:twoCellAnchor>
  <xdr:twoCellAnchor editAs="oneCell">
    <xdr:from>
      <xdr:col>4</xdr:col>
      <xdr:colOff>345357</xdr:colOff>
      <xdr:row>1</xdr:row>
      <xdr:rowOff>215712</xdr:rowOff>
    </xdr:from>
    <xdr:to>
      <xdr:col>13</xdr:col>
      <xdr:colOff>218441</xdr:colOff>
      <xdr:row>15</xdr:row>
      <xdr:rowOff>135687</xdr:rowOff>
    </xdr:to>
    <xdr:pic>
      <xdr:nvPicPr>
        <xdr:cNvPr id="6" name="Picture 5">
          <a:extLst>
            <a:ext uri="{FF2B5EF4-FFF2-40B4-BE49-F238E27FC236}">
              <a16:creationId xmlns:a16="http://schemas.microsoft.com/office/drawing/2014/main" id="{62A22FF6-A97A-D3B8-4641-0D6A9C5A2526}"/>
            </a:ext>
          </a:extLst>
        </xdr:cNvPr>
        <xdr:cNvPicPr>
          <a:picLocks noChangeAspect="1"/>
        </xdr:cNvPicPr>
      </xdr:nvPicPr>
      <xdr:blipFill>
        <a:blip xmlns:r="http://schemas.openxmlformats.org/officeDocument/2006/relationships" r:embed="rId4"/>
        <a:stretch>
          <a:fillRect/>
        </a:stretch>
      </xdr:blipFill>
      <xdr:spPr>
        <a:xfrm>
          <a:off x="2765828" y="551888"/>
          <a:ext cx="5319142" cy="4626446"/>
        </a:xfrm>
        <a:prstGeom prst="rect">
          <a:avLst/>
        </a:prstGeom>
      </xdr:spPr>
    </xdr:pic>
    <xdr:clientData/>
  </xdr:twoCellAnchor>
  <xdr:twoCellAnchor editAs="oneCell">
    <xdr:from>
      <xdr:col>8</xdr:col>
      <xdr:colOff>180975</xdr:colOff>
      <xdr:row>17</xdr:row>
      <xdr:rowOff>219075</xdr:rowOff>
    </xdr:from>
    <xdr:to>
      <xdr:col>22</xdr:col>
      <xdr:colOff>180975</xdr:colOff>
      <xdr:row>32</xdr:row>
      <xdr:rowOff>255145</xdr:rowOff>
    </xdr:to>
    <xdr:pic>
      <xdr:nvPicPr>
        <xdr:cNvPr id="3" name="Picture 2">
          <a:extLst>
            <a:ext uri="{FF2B5EF4-FFF2-40B4-BE49-F238E27FC236}">
              <a16:creationId xmlns:a16="http://schemas.microsoft.com/office/drawing/2014/main" id="{CA44899E-CE9F-DD2A-3571-85F35A0A1B9D}"/>
            </a:ext>
          </a:extLst>
        </xdr:cNvPr>
        <xdr:cNvPicPr>
          <a:picLocks noChangeAspect="1"/>
        </xdr:cNvPicPr>
      </xdr:nvPicPr>
      <xdr:blipFill>
        <a:blip xmlns:r="http://schemas.openxmlformats.org/officeDocument/2006/relationships" r:embed="rId5"/>
        <a:stretch>
          <a:fillRect/>
        </a:stretch>
      </xdr:blipFill>
      <xdr:spPr>
        <a:xfrm>
          <a:off x="5057775" y="5886450"/>
          <a:ext cx="8534400" cy="5036695"/>
        </a:xfrm>
        <a:prstGeom prst="rect">
          <a:avLst/>
        </a:prstGeom>
      </xdr:spPr>
    </xdr:pic>
    <xdr:clientData/>
  </xdr:twoCellAnchor>
  <xdr:twoCellAnchor editAs="oneCell">
    <xdr:from>
      <xdr:col>0</xdr:col>
      <xdr:colOff>295275</xdr:colOff>
      <xdr:row>38</xdr:row>
      <xdr:rowOff>9525</xdr:rowOff>
    </xdr:from>
    <xdr:to>
      <xdr:col>9</xdr:col>
      <xdr:colOff>8875</xdr:colOff>
      <xdr:row>43</xdr:row>
      <xdr:rowOff>85507</xdr:rowOff>
    </xdr:to>
    <xdr:pic>
      <xdr:nvPicPr>
        <xdr:cNvPr id="7" name="Picture 6">
          <a:extLst>
            <a:ext uri="{FF2B5EF4-FFF2-40B4-BE49-F238E27FC236}">
              <a16:creationId xmlns:a16="http://schemas.microsoft.com/office/drawing/2014/main" id="{C49DCABB-E3FF-01DA-AD14-3EF24F8E1765}"/>
            </a:ext>
          </a:extLst>
        </xdr:cNvPr>
        <xdr:cNvPicPr>
          <a:picLocks noChangeAspect="1"/>
        </xdr:cNvPicPr>
      </xdr:nvPicPr>
      <xdr:blipFill>
        <a:blip xmlns:r="http://schemas.openxmlformats.org/officeDocument/2006/relationships" r:embed="rId6"/>
        <a:stretch>
          <a:fillRect/>
        </a:stretch>
      </xdr:blipFill>
      <xdr:spPr>
        <a:xfrm>
          <a:off x="295275" y="12677775"/>
          <a:ext cx="5200000" cy="1742857"/>
        </a:xfrm>
        <a:prstGeom prst="rect">
          <a:avLst/>
        </a:prstGeom>
      </xdr:spPr>
    </xdr:pic>
    <xdr:clientData/>
  </xdr:twoCellAnchor>
  <xdr:twoCellAnchor editAs="oneCell">
    <xdr:from>
      <xdr:col>9</xdr:col>
      <xdr:colOff>514350</xdr:colOff>
      <xdr:row>37</xdr:row>
      <xdr:rowOff>190500</xdr:rowOff>
    </xdr:from>
    <xdr:to>
      <xdr:col>18</xdr:col>
      <xdr:colOff>227950</xdr:colOff>
      <xdr:row>44</xdr:row>
      <xdr:rowOff>275923</xdr:rowOff>
    </xdr:to>
    <xdr:pic>
      <xdr:nvPicPr>
        <xdr:cNvPr id="8" name="Picture 7">
          <a:extLst>
            <a:ext uri="{FF2B5EF4-FFF2-40B4-BE49-F238E27FC236}">
              <a16:creationId xmlns:a16="http://schemas.microsoft.com/office/drawing/2014/main" id="{444BED0F-3502-A9E6-4597-2D1AED736769}"/>
            </a:ext>
          </a:extLst>
        </xdr:cNvPr>
        <xdr:cNvPicPr>
          <a:picLocks noChangeAspect="1"/>
        </xdr:cNvPicPr>
      </xdr:nvPicPr>
      <xdr:blipFill>
        <a:blip xmlns:r="http://schemas.openxmlformats.org/officeDocument/2006/relationships" r:embed="rId7"/>
        <a:stretch>
          <a:fillRect/>
        </a:stretch>
      </xdr:blipFill>
      <xdr:spPr>
        <a:xfrm>
          <a:off x="6000750" y="12525375"/>
          <a:ext cx="5200000" cy="2419048"/>
        </a:xfrm>
        <a:prstGeom prst="rect">
          <a:avLst/>
        </a:prstGeom>
      </xdr:spPr>
    </xdr:pic>
    <xdr:clientData/>
  </xdr:twoCellAnchor>
  <xdr:twoCellAnchor editAs="oneCell">
    <xdr:from>
      <xdr:col>1</xdr:col>
      <xdr:colOff>251733</xdr:colOff>
      <xdr:row>43</xdr:row>
      <xdr:rowOff>87026</xdr:rowOff>
    </xdr:from>
    <xdr:to>
      <xdr:col>24</xdr:col>
      <xdr:colOff>598715</xdr:colOff>
      <xdr:row>52</xdr:row>
      <xdr:rowOff>193923</xdr:rowOff>
    </xdr:to>
    <xdr:pic>
      <xdr:nvPicPr>
        <xdr:cNvPr id="9" name="Picture 8">
          <a:extLst>
            <a:ext uri="{FF2B5EF4-FFF2-40B4-BE49-F238E27FC236}">
              <a16:creationId xmlns:a16="http://schemas.microsoft.com/office/drawing/2014/main" id="{21003BD7-44DD-A728-10E3-CEEEE94DF151}"/>
            </a:ext>
          </a:extLst>
        </xdr:cNvPr>
        <xdr:cNvPicPr>
          <a:picLocks noChangeAspect="1"/>
        </xdr:cNvPicPr>
      </xdr:nvPicPr>
      <xdr:blipFill>
        <a:blip xmlns:r="http://schemas.openxmlformats.org/officeDocument/2006/relationships" r:embed="rId8"/>
        <a:stretch>
          <a:fillRect/>
        </a:stretch>
      </xdr:blipFill>
      <xdr:spPr>
        <a:xfrm>
          <a:off x="864054" y="14714705"/>
          <a:ext cx="14430375" cy="3168504"/>
        </a:xfrm>
        <a:prstGeom prst="rect">
          <a:avLst/>
        </a:prstGeom>
      </xdr:spPr>
    </xdr:pic>
    <xdr:clientData/>
  </xdr:twoCellAnchor>
  <xdr:twoCellAnchor editAs="oneCell">
    <xdr:from>
      <xdr:col>0</xdr:col>
      <xdr:colOff>323850</xdr:colOff>
      <xdr:row>54</xdr:row>
      <xdr:rowOff>209549</xdr:rowOff>
    </xdr:from>
    <xdr:to>
      <xdr:col>10</xdr:col>
      <xdr:colOff>606338</xdr:colOff>
      <xdr:row>60</xdr:row>
      <xdr:rowOff>285749</xdr:rowOff>
    </xdr:to>
    <xdr:pic>
      <xdr:nvPicPr>
        <xdr:cNvPr id="10" name="Picture 9">
          <a:extLst>
            <a:ext uri="{FF2B5EF4-FFF2-40B4-BE49-F238E27FC236}">
              <a16:creationId xmlns:a16="http://schemas.microsoft.com/office/drawing/2014/main" id="{D848D23A-C70A-D3D2-F780-120526120C74}"/>
            </a:ext>
          </a:extLst>
        </xdr:cNvPr>
        <xdr:cNvPicPr>
          <a:picLocks noChangeAspect="1"/>
        </xdr:cNvPicPr>
      </xdr:nvPicPr>
      <xdr:blipFill>
        <a:blip xmlns:r="http://schemas.openxmlformats.org/officeDocument/2006/relationships" r:embed="rId9"/>
        <a:stretch>
          <a:fillRect/>
        </a:stretch>
      </xdr:blipFill>
      <xdr:spPr>
        <a:xfrm>
          <a:off x="323850" y="18579192"/>
          <a:ext cx="6405702" cy="2117271"/>
        </a:xfrm>
        <a:prstGeom prst="rect">
          <a:avLst/>
        </a:prstGeom>
      </xdr:spPr>
    </xdr:pic>
    <xdr:clientData/>
  </xdr:twoCellAnchor>
  <xdr:twoCellAnchor editAs="oneCell">
    <xdr:from>
      <xdr:col>12</xdr:col>
      <xdr:colOff>19050</xdr:colOff>
      <xdr:row>52</xdr:row>
      <xdr:rowOff>133350</xdr:rowOff>
    </xdr:from>
    <xdr:to>
      <xdr:col>27</xdr:col>
      <xdr:colOff>284370</xdr:colOff>
      <xdr:row>65</xdr:row>
      <xdr:rowOff>215929</xdr:rowOff>
    </xdr:to>
    <xdr:pic>
      <xdr:nvPicPr>
        <xdr:cNvPr id="11" name="Picture 10">
          <a:extLst>
            <a:ext uri="{FF2B5EF4-FFF2-40B4-BE49-F238E27FC236}">
              <a16:creationId xmlns:a16="http://schemas.microsoft.com/office/drawing/2014/main" id="{29524E8B-59C6-AF42-F57A-064A396A66A0}"/>
            </a:ext>
          </a:extLst>
        </xdr:cNvPr>
        <xdr:cNvPicPr>
          <a:picLocks noChangeAspect="1"/>
        </xdr:cNvPicPr>
      </xdr:nvPicPr>
      <xdr:blipFill>
        <a:blip xmlns:r="http://schemas.openxmlformats.org/officeDocument/2006/relationships" r:embed="rId10"/>
        <a:stretch>
          <a:fillRect/>
        </a:stretch>
      </xdr:blipFill>
      <xdr:spPr>
        <a:xfrm>
          <a:off x="7334250" y="17468850"/>
          <a:ext cx="9409320" cy="4416454"/>
        </a:xfrm>
        <a:prstGeom prst="rect">
          <a:avLst/>
        </a:prstGeom>
      </xdr:spPr>
    </xdr:pic>
    <xdr:clientData/>
  </xdr:twoCellAnchor>
  <xdr:twoCellAnchor editAs="oneCell">
    <xdr:from>
      <xdr:col>2</xdr:col>
      <xdr:colOff>266700</xdr:colOff>
      <xdr:row>62</xdr:row>
      <xdr:rowOff>152400</xdr:rowOff>
    </xdr:from>
    <xdr:to>
      <xdr:col>9</xdr:col>
      <xdr:colOff>332833</xdr:colOff>
      <xdr:row>68</xdr:row>
      <xdr:rowOff>314055</xdr:rowOff>
    </xdr:to>
    <xdr:pic>
      <xdr:nvPicPr>
        <xdr:cNvPr id="12" name="Picture 11">
          <a:extLst>
            <a:ext uri="{FF2B5EF4-FFF2-40B4-BE49-F238E27FC236}">
              <a16:creationId xmlns:a16="http://schemas.microsoft.com/office/drawing/2014/main" id="{470FA6E9-8D5F-8C9F-FCD6-9C21320F09FF}"/>
            </a:ext>
          </a:extLst>
        </xdr:cNvPr>
        <xdr:cNvPicPr>
          <a:picLocks noChangeAspect="1"/>
        </xdr:cNvPicPr>
      </xdr:nvPicPr>
      <xdr:blipFill>
        <a:blip xmlns:r="http://schemas.openxmlformats.org/officeDocument/2006/relationships" r:embed="rId11"/>
        <a:stretch>
          <a:fillRect/>
        </a:stretch>
      </xdr:blipFill>
      <xdr:spPr>
        <a:xfrm>
          <a:off x="1485900" y="20821650"/>
          <a:ext cx="4333333" cy="2161905"/>
        </a:xfrm>
        <a:prstGeom prst="rect">
          <a:avLst/>
        </a:prstGeom>
      </xdr:spPr>
    </xdr:pic>
    <xdr:clientData/>
  </xdr:twoCellAnchor>
  <xdr:twoCellAnchor editAs="oneCell">
    <xdr:from>
      <xdr:col>0</xdr:col>
      <xdr:colOff>588869</xdr:colOff>
      <xdr:row>69</xdr:row>
      <xdr:rowOff>334496</xdr:rowOff>
    </xdr:from>
    <xdr:to>
      <xdr:col>19</xdr:col>
      <xdr:colOff>235040</xdr:colOff>
      <xdr:row>73</xdr:row>
      <xdr:rowOff>322005</xdr:rowOff>
    </xdr:to>
    <xdr:pic>
      <xdr:nvPicPr>
        <xdr:cNvPr id="13" name="Picture 12">
          <a:extLst>
            <a:ext uri="{FF2B5EF4-FFF2-40B4-BE49-F238E27FC236}">
              <a16:creationId xmlns:a16="http://schemas.microsoft.com/office/drawing/2014/main" id="{32A6631E-8F7E-4CD7-A623-1E4C9BD60879}"/>
            </a:ext>
          </a:extLst>
        </xdr:cNvPr>
        <xdr:cNvPicPr>
          <a:picLocks noChangeAspect="1"/>
        </xdr:cNvPicPr>
      </xdr:nvPicPr>
      <xdr:blipFill>
        <a:blip xmlns:r="http://schemas.openxmlformats.org/officeDocument/2006/relationships" r:embed="rId12"/>
        <a:stretch>
          <a:fillRect/>
        </a:stretch>
      </xdr:blipFill>
      <xdr:spPr>
        <a:xfrm>
          <a:off x="588869" y="23530672"/>
          <a:ext cx="11143406" cy="1332215"/>
        </a:xfrm>
        <a:prstGeom prst="rect">
          <a:avLst/>
        </a:prstGeom>
      </xdr:spPr>
    </xdr:pic>
    <xdr:clientData/>
  </xdr:twoCellAnchor>
  <xdr:twoCellAnchor editAs="oneCell">
    <xdr:from>
      <xdr:col>1</xdr:col>
      <xdr:colOff>56028</xdr:colOff>
      <xdr:row>75</xdr:row>
      <xdr:rowOff>168089</xdr:rowOff>
    </xdr:from>
    <xdr:to>
      <xdr:col>19</xdr:col>
      <xdr:colOff>221054</xdr:colOff>
      <xdr:row>98</xdr:row>
      <xdr:rowOff>302697</xdr:rowOff>
    </xdr:to>
    <xdr:pic>
      <xdr:nvPicPr>
        <xdr:cNvPr id="14" name="Picture 13">
          <a:extLst>
            <a:ext uri="{FF2B5EF4-FFF2-40B4-BE49-F238E27FC236}">
              <a16:creationId xmlns:a16="http://schemas.microsoft.com/office/drawing/2014/main" id="{18E9B277-EAAD-5FE1-C3AB-19E0822C15CA}"/>
            </a:ext>
          </a:extLst>
        </xdr:cNvPr>
        <xdr:cNvPicPr>
          <a:picLocks noChangeAspect="1"/>
        </xdr:cNvPicPr>
      </xdr:nvPicPr>
      <xdr:blipFill>
        <a:blip xmlns:r="http://schemas.openxmlformats.org/officeDocument/2006/relationships" r:embed="rId13"/>
        <a:stretch>
          <a:fillRect/>
        </a:stretch>
      </xdr:blipFill>
      <xdr:spPr>
        <a:xfrm>
          <a:off x="661146" y="25381324"/>
          <a:ext cx="11057143" cy="7866667"/>
        </a:xfrm>
        <a:prstGeom prst="rect">
          <a:avLst/>
        </a:prstGeom>
      </xdr:spPr>
    </xdr:pic>
    <xdr:clientData/>
  </xdr:twoCellAnchor>
  <xdr:twoCellAnchor editAs="oneCell">
    <xdr:from>
      <xdr:col>1</xdr:col>
      <xdr:colOff>504265</xdr:colOff>
      <xdr:row>101</xdr:row>
      <xdr:rowOff>246529</xdr:rowOff>
    </xdr:from>
    <xdr:to>
      <xdr:col>16</xdr:col>
      <xdr:colOff>503691</xdr:colOff>
      <xdr:row>119</xdr:row>
      <xdr:rowOff>62020</xdr:rowOff>
    </xdr:to>
    <xdr:pic>
      <xdr:nvPicPr>
        <xdr:cNvPr id="15" name="Picture 14">
          <a:extLst>
            <a:ext uri="{FF2B5EF4-FFF2-40B4-BE49-F238E27FC236}">
              <a16:creationId xmlns:a16="http://schemas.microsoft.com/office/drawing/2014/main" id="{2339915E-E075-E693-2A4E-AA40110A11EA}"/>
            </a:ext>
          </a:extLst>
        </xdr:cNvPr>
        <xdr:cNvPicPr>
          <a:picLocks noChangeAspect="1"/>
        </xdr:cNvPicPr>
      </xdr:nvPicPr>
      <xdr:blipFill>
        <a:blip xmlns:r="http://schemas.openxmlformats.org/officeDocument/2006/relationships" r:embed="rId14"/>
        <a:stretch>
          <a:fillRect/>
        </a:stretch>
      </xdr:blipFill>
      <xdr:spPr>
        <a:xfrm>
          <a:off x="1109383" y="34200353"/>
          <a:ext cx="9076190" cy="5866667"/>
        </a:xfrm>
        <a:prstGeom prst="rect">
          <a:avLst/>
        </a:prstGeom>
      </xdr:spPr>
    </xdr:pic>
    <xdr:clientData/>
  </xdr:twoCellAnchor>
  <xdr:twoCellAnchor editAs="oneCell">
    <xdr:from>
      <xdr:col>2</xdr:col>
      <xdr:colOff>27214</xdr:colOff>
      <xdr:row>124</xdr:row>
      <xdr:rowOff>68037</xdr:rowOff>
    </xdr:from>
    <xdr:to>
      <xdr:col>19</xdr:col>
      <xdr:colOff>370131</xdr:colOff>
      <xdr:row>133</xdr:row>
      <xdr:rowOff>196906</xdr:rowOff>
    </xdr:to>
    <xdr:pic>
      <xdr:nvPicPr>
        <xdr:cNvPr id="16" name="Picture 15">
          <a:extLst>
            <a:ext uri="{FF2B5EF4-FFF2-40B4-BE49-F238E27FC236}">
              <a16:creationId xmlns:a16="http://schemas.microsoft.com/office/drawing/2014/main" id="{24C6AC2C-EF09-71E3-C0A6-4C56CCA83C9B}"/>
            </a:ext>
          </a:extLst>
        </xdr:cNvPr>
        <xdr:cNvPicPr>
          <a:picLocks noChangeAspect="1"/>
        </xdr:cNvPicPr>
      </xdr:nvPicPr>
      <xdr:blipFill>
        <a:blip xmlns:r="http://schemas.openxmlformats.org/officeDocument/2006/relationships" r:embed="rId15"/>
        <a:stretch>
          <a:fillRect/>
        </a:stretch>
      </xdr:blipFill>
      <xdr:spPr>
        <a:xfrm>
          <a:off x="1251857" y="42250180"/>
          <a:ext cx="10752381" cy="3190476"/>
        </a:xfrm>
        <a:prstGeom prst="rect">
          <a:avLst/>
        </a:prstGeom>
      </xdr:spPr>
    </xdr:pic>
    <xdr:clientData/>
  </xdr:twoCellAnchor>
  <xdr:twoCellAnchor editAs="oneCell">
    <xdr:from>
      <xdr:col>1</xdr:col>
      <xdr:colOff>27215</xdr:colOff>
      <xdr:row>135</xdr:row>
      <xdr:rowOff>54429</xdr:rowOff>
    </xdr:from>
    <xdr:to>
      <xdr:col>21</xdr:col>
      <xdr:colOff>199833</xdr:colOff>
      <xdr:row>146</xdr:row>
      <xdr:rowOff>226751</xdr:rowOff>
    </xdr:to>
    <xdr:pic>
      <xdr:nvPicPr>
        <xdr:cNvPr id="17" name="Picture 16">
          <a:extLst>
            <a:ext uri="{FF2B5EF4-FFF2-40B4-BE49-F238E27FC236}">
              <a16:creationId xmlns:a16="http://schemas.microsoft.com/office/drawing/2014/main" id="{B8133F93-7E67-9557-49FE-148D60930369}"/>
            </a:ext>
          </a:extLst>
        </xdr:cNvPr>
        <xdr:cNvPicPr>
          <a:picLocks noChangeAspect="1"/>
        </xdr:cNvPicPr>
      </xdr:nvPicPr>
      <xdr:blipFill>
        <a:blip xmlns:r="http://schemas.openxmlformats.org/officeDocument/2006/relationships" r:embed="rId16"/>
        <a:stretch>
          <a:fillRect/>
        </a:stretch>
      </xdr:blipFill>
      <xdr:spPr>
        <a:xfrm>
          <a:off x="639536" y="45978536"/>
          <a:ext cx="12419047" cy="3914286"/>
        </a:xfrm>
        <a:prstGeom prst="rect">
          <a:avLst/>
        </a:prstGeom>
      </xdr:spPr>
    </xdr:pic>
    <xdr:clientData/>
  </xdr:twoCellAnchor>
  <xdr:twoCellAnchor editAs="oneCell">
    <xdr:from>
      <xdr:col>2</xdr:col>
      <xdr:colOff>394607</xdr:colOff>
      <xdr:row>158</xdr:row>
      <xdr:rowOff>285750</xdr:rowOff>
    </xdr:from>
    <xdr:to>
      <xdr:col>23</xdr:col>
      <xdr:colOff>59666</xdr:colOff>
      <xdr:row>175</xdr:row>
      <xdr:rowOff>74143</xdr:rowOff>
    </xdr:to>
    <xdr:pic>
      <xdr:nvPicPr>
        <xdr:cNvPr id="18" name="Picture 17">
          <a:extLst>
            <a:ext uri="{FF2B5EF4-FFF2-40B4-BE49-F238E27FC236}">
              <a16:creationId xmlns:a16="http://schemas.microsoft.com/office/drawing/2014/main" id="{7DCA2C19-D58C-D5A0-E378-E06B08DDD9E7}"/>
            </a:ext>
          </a:extLst>
        </xdr:cNvPr>
        <xdr:cNvPicPr>
          <a:picLocks noChangeAspect="1"/>
        </xdr:cNvPicPr>
      </xdr:nvPicPr>
      <xdr:blipFill>
        <a:blip xmlns:r="http://schemas.openxmlformats.org/officeDocument/2006/relationships" r:embed="rId17"/>
        <a:stretch>
          <a:fillRect/>
        </a:stretch>
      </xdr:blipFill>
      <xdr:spPr>
        <a:xfrm>
          <a:off x="1619250" y="54033964"/>
          <a:ext cx="12523809" cy="5571429"/>
        </a:xfrm>
        <a:prstGeom prst="rect">
          <a:avLst/>
        </a:prstGeom>
      </xdr:spPr>
    </xdr:pic>
    <xdr:clientData/>
  </xdr:twoCellAnchor>
  <xdr:twoCellAnchor editAs="oneCell">
    <xdr:from>
      <xdr:col>2</xdr:col>
      <xdr:colOff>136071</xdr:colOff>
      <xdr:row>175</xdr:row>
      <xdr:rowOff>68036</xdr:rowOff>
    </xdr:from>
    <xdr:to>
      <xdr:col>23</xdr:col>
      <xdr:colOff>182083</xdr:colOff>
      <xdr:row>184</xdr:row>
      <xdr:rowOff>301666</xdr:rowOff>
    </xdr:to>
    <xdr:pic>
      <xdr:nvPicPr>
        <xdr:cNvPr id="19" name="Picture 18">
          <a:extLst>
            <a:ext uri="{FF2B5EF4-FFF2-40B4-BE49-F238E27FC236}">
              <a16:creationId xmlns:a16="http://schemas.microsoft.com/office/drawing/2014/main" id="{DB6A24F3-8E5F-46EC-738F-9BDC6A9FE744}"/>
            </a:ext>
          </a:extLst>
        </xdr:cNvPr>
        <xdr:cNvPicPr>
          <a:picLocks noChangeAspect="1"/>
        </xdr:cNvPicPr>
      </xdr:nvPicPr>
      <xdr:blipFill>
        <a:blip xmlns:r="http://schemas.openxmlformats.org/officeDocument/2006/relationships" r:embed="rId18"/>
        <a:stretch>
          <a:fillRect/>
        </a:stretch>
      </xdr:blipFill>
      <xdr:spPr>
        <a:xfrm>
          <a:off x="1360714" y="59599286"/>
          <a:ext cx="12904762" cy="3295237"/>
        </a:xfrm>
        <a:prstGeom prst="rect">
          <a:avLst/>
        </a:prstGeom>
      </xdr:spPr>
    </xdr:pic>
    <xdr:clientData/>
  </xdr:twoCellAnchor>
  <xdr:twoCellAnchor editAs="oneCell">
    <xdr:from>
      <xdr:col>0</xdr:col>
      <xdr:colOff>312964</xdr:colOff>
      <xdr:row>147</xdr:row>
      <xdr:rowOff>27215</xdr:rowOff>
    </xdr:from>
    <xdr:to>
      <xdr:col>21</xdr:col>
      <xdr:colOff>530404</xdr:colOff>
      <xdr:row>156</xdr:row>
      <xdr:rowOff>156084</xdr:rowOff>
    </xdr:to>
    <xdr:pic>
      <xdr:nvPicPr>
        <xdr:cNvPr id="20" name="Picture 19">
          <a:extLst>
            <a:ext uri="{FF2B5EF4-FFF2-40B4-BE49-F238E27FC236}">
              <a16:creationId xmlns:a16="http://schemas.microsoft.com/office/drawing/2014/main" id="{1F5733B4-FF92-1EE5-9CEA-BDCEC987ED82}"/>
            </a:ext>
          </a:extLst>
        </xdr:cNvPr>
        <xdr:cNvPicPr>
          <a:picLocks noChangeAspect="1"/>
        </xdr:cNvPicPr>
      </xdr:nvPicPr>
      <xdr:blipFill>
        <a:blip xmlns:r="http://schemas.openxmlformats.org/officeDocument/2006/relationships" r:embed="rId19"/>
        <a:stretch>
          <a:fillRect/>
        </a:stretch>
      </xdr:blipFill>
      <xdr:spPr>
        <a:xfrm>
          <a:off x="312964" y="50033465"/>
          <a:ext cx="13076190" cy="3190476"/>
        </a:xfrm>
        <a:prstGeom prst="rect">
          <a:avLst/>
        </a:prstGeom>
      </xdr:spPr>
    </xdr:pic>
    <xdr:clientData/>
  </xdr:twoCellAnchor>
  <xdr:twoCellAnchor editAs="oneCell">
    <xdr:from>
      <xdr:col>1</xdr:col>
      <xdr:colOff>598715</xdr:colOff>
      <xdr:row>185</xdr:row>
      <xdr:rowOff>54427</xdr:rowOff>
    </xdr:from>
    <xdr:to>
      <xdr:col>24</xdr:col>
      <xdr:colOff>334369</xdr:colOff>
      <xdr:row>209</xdr:row>
      <xdr:rowOff>232999</xdr:rowOff>
    </xdr:to>
    <xdr:pic>
      <xdr:nvPicPr>
        <xdr:cNvPr id="21" name="Picture 20">
          <a:extLst>
            <a:ext uri="{FF2B5EF4-FFF2-40B4-BE49-F238E27FC236}">
              <a16:creationId xmlns:a16="http://schemas.microsoft.com/office/drawing/2014/main" id="{8800CDD4-D29B-FB65-0CCF-A1154E095802}"/>
            </a:ext>
          </a:extLst>
        </xdr:cNvPr>
        <xdr:cNvPicPr>
          <a:picLocks noChangeAspect="1"/>
        </xdr:cNvPicPr>
      </xdr:nvPicPr>
      <xdr:blipFill>
        <a:blip xmlns:r="http://schemas.openxmlformats.org/officeDocument/2006/relationships" r:embed="rId20"/>
        <a:stretch>
          <a:fillRect/>
        </a:stretch>
      </xdr:blipFill>
      <xdr:spPr>
        <a:xfrm>
          <a:off x="1211036" y="62987463"/>
          <a:ext cx="13819047" cy="8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1</xdr:row>
      <xdr:rowOff>0</xdr:rowOff>
    </xdr:from>
    <xdr:to>
      <xdr:col>13</xdr:col>
      <xdr:colOff>514349</xdr:colOff>
      <xdr:row>16</xdr:row>
      <xdr:rowOff>152400</xdr:rowOff>
    </xdr:to>
    <xdr:graphicFrame macro="">
      <xdr:nvGraphicFramePr>
        <xdr:cNvPr id="2" name="Chart 1">
          <a:extLst>
            <a:ext uri="{FF2B5EF4-FFF2-40B4-BE49-F238E27FC236}">
              <a16:creationId xmlns:a16="http://schemas.microsoft.com/office/drawing/2014/main" id="{87A53250-590F-FCAE-755D-9A5722E66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501463</xdr:colOff>
      <xdr:row>31</xdr:row>
      <xdr:rowOff>82923</xdr:rowOff>
    </xdr:from>
    <xdr:to>
      <xdr:col>24</xdr:col>
      <xdr:colOff>119521</xdr:colOff>
      <xdr:row>71</xdr:row>
      <xdr:rowOff>120066</xdr:rowOff>
    </xdr:to>
    <xdr:pic>
      <xdr:nvPicPr>
        <xdr:cNvPr id="4" name="Picture 3">
          <a:extLst>
            <a:ext uri="{FF2B5EF4-FFF2-40B4-BE49-F238E27FC236}">
              <a16:creationId xmlns:a16="http://schemas.microsoft.com/office/drawing/2014/main" id="{2BFE79D1-ABBD-E450-BB55-C36A518862C3}"/>
            </a:ext>
          </a:extLst>
        </xdr:cNvPr>
        <xdr:cNvPicPr>
          <a:picLocks noChangeAspect="1"/>
        </xdr:cNvPicPr>
      </xdr:nvPicPr>
      <xdr:blipFill>
        <a:blip xmlns:r="http://schemas.openxmlformats.org/officeDocument/2006/relationships" r:embed="rId2"/>
        <a:stretch>
          <a:fillRect/>
        </a:stretch>
      </xdr:blipFill>
      <xdr:spPr>
        <a:xfrm>
          <a:off x="7437904" y="5988423"/>
          <a:ext cx="7484587" cy="7657143"/>
        </a:xfrm>
        <a:prstGeom prst="rect">
          <a:avLst/>
        </a:prstGeom>
      </xdr:spPr>
    </xdr:pic>
    <xdr:clientData/>
  </xdr:twoCellAnchor>
  <xdr:twoCellAnchor>
    <xdr:from>
      <xdr:col>4</xdr:col>
      <xdr:colOff>513228</xdr:colOff>
      <xdr:row>77</xdr:row>
      <xdr:rowOff>121586</xdr:rowOff>
    </xdr:from>
    <xdr:to>
      <xdr:col>18</xdr:col>
      <xdr:colOff>235322</xdr:colOff>
      <xdr:row>95</xdr:row>
      <xdr:rowOff>179295</xdr:rowOff>
    </xdr:to>
    <xdr:graphicFrame macro="">
      <xdr:nvGraphicFramePr>
        <xdr:cNvPr id="5" name="Chart 4">
          <a:extLst>
            <a:ext uri="{FF2B5EF4-FFF2-40B4-BE49-F238E27FC236}">
              <a16:creationId xmlns:a16="http://schemas.microsoft.com/office/drawing/2014/main" id="{25C26DAD-9658-0A9F-95C6-2CCD1A9C2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504824</xdr:colOff>
      <xdr:row>98</xdr:row>
      <xdr:rowOff>19049</xdr:rowOff>
    </xdr:from>
    <xdr:to>
      <xdr:col>17</xdr:col>
      <xdr:colOff>266699</xdr:colOff>
      <xdr:row>116</xdr:row>
      <xdr:rowOff>171450</xdr:rowOff>
    </xdr:to>
    <xdr:graphicFrame macro="">
      <xdr:nvGraphicFramePr>
        <xdr:cNvPr id="6" name="Chart 5">
          <a:extLst>
            <a:ext uri="{FF2B5EF4-FFF2-40B4-BE49-F238E27FC236}">
              <a16:creationId xmlns:a16="http://schemas.microsoft.com/office/drawing/2014/main" id="{F2627302-DC6D-EEEB-25AF-D698ECFF8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381000</xdr:colOff>
      <xdr:row>98</xdr:row>
      <xdr:rowOff>28574</xdr:rowOff>
    </xdr:from>
    <xdr:to>
      <xdr:col>27</xdr:col>
      <xdr:colOff>276224</xdr:colOff>
      <xdr:row>116</xdr:row>
      <xdr:rowOff>152399</xdr:rowOff>
    </xdr:to>
    <xdr:graphicFrame macro="">
      <xdr:nvGraphicFramePr>
        <xdr:cNvPr id="7" name="Chart 6">
          <a:extLst>
            <a:ext uri="{FF2B5EF4-FFF2-40B4-BE49-F238E27FC236}">
              <a16:creationId xmlns:a16="http://schemas.microsoft.com/office/drawing/2014/main" id="{97778170-8C6E-E362-9601-864A9216E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514350</xdr:colOff>
      <xdr:row>117</xdr:row>
      <xdr:rowOff>142875</xdr:rowOff>
    </xdr:from>
    <xdr:to>
      <xdr:col>13</xdr:col>
      <xdr:colOff>152400</xdr:colOff>
      <xdr:row>132</xdr:row>
      <xdr:rowOff>28575</xdr:rowOff>
    </xdr:to>
    <xdr:graphicFrame macro="">
      <xdr:nvGraphicFramePr>
        <xdr:cNvPr id="8" name="Chart 7">
          <a:extLst>
            <a:ext uri="{FF2B5EF4-FFF2-40B4-BE49-F238E27FC236}">
              <a16:creationId xmlns:a16="http://schemas.microsoft.com/office/drawing/2014/main" id="{B3596290-6784-413C-0D2E-5EC0892EC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409575</xdr:colOff>
      <xdr:row>117</xdr:row>
      <xdr:rowOff>142875</xdr:rowOff>
    </xdr:from>
    <xdr:to>
      <xdr:col>21</xdr:col>
      <xdr:colOff>104775</xdr:colOff>
      <xdr:row>132</xdr:row>
      <xdr:rowOff>28575</xdr:rowOff>
    </xdr:to>
    <xdr:graphicFrame macro="">
      <xdr:nvGraphicFramePr>
        <xdr:cNvPr id="9" name="Chart 8">
          <a:extLst>
            <a:ext uri="{FF2B5EF4-FFF2-40B4-BE49-F238E27FC236}">
              <a16:creationId xmlns:a16="http://schemas.microsoft.com/office/drawing/2014/main" id="{3E002FF4-B6C7-5F04-1734-BD3118CD8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561974</xdr:colOff>
      <xdr:row>133</xdr:row>
      <xdr:rowOff>0</xdr:rowOff>
    </xdr:from>
    <xdr:to>
      <xdr:col>20</xdr:col>
      <xdr:colOff>390525</xdr:colOff>
      <xdr:row>147</xdr:row>
      <xdr:rowOff>114300</xdr:rowOff>
    </xdr:to>
    <xdr:graphicFrame macro="">
      <xdr:nvGraphicFramePr>
        <xdr:cNvPr id="12" name="Chart 11">
          <a:extLst>
            <a:ext uri="{FF2B5EF4-FFF2-40B4-BE49-F238E27FC236}">
              <a16:creationId xmlns:a16="http://schemas.microsoft.com/office/drawing/2014/main" id="{68EB5981-1FA8-0D60-E15A-ED66376EF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95250</xdr:colOff>
      <xdr:row>150</xdr:row>
      <xdr:rowOff>0</xdr:rowOff>
    </xdr:from>
    <xdr:to>
      <xdr:col>19</xdr:col>
      <xdr:colOff>400050</xdr:colOff>
      <xdr:row>164</xdr:row>
      <xdr:rowOff>76200</xdr:rowOff>
    </xdr:to>
    <xdr:graphicFrame macro="">
      <xdr:nvGraphicFramePr>
        <xdr:cNvPr id="13" name="Chart 12">
          <a:extLst>
            <a:ext uri="{FF2B5EF4-FFF2-40B4-BE49-F238E27FC236}">
              <a16:creationId xmlns:a16="http://schemas.microsoft.com/office/drawing/2014/main" id="{F2FB5889-5C49-A130-84BD-5879CE03B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295275</xdr:colOff>
      <xdr:row>149</xdr:row>
      <xdr:rowOff>152400</xdr:rowOff>
    </xdr:from>
    <xdr:to>
      <xdr:col>11</xdr:col>
      <xdr:colOff>542925</xdr:colOff>
      <xdr:row>164</xdr:row>
      <xdr:rowOff>38100</xdr:rowOff>
    </xdr:to>
    <xdr:graphicFrame macro="">
      <xdr:nvGraphicFramePr>
        <xdr:cNvPr id="14" name="Chart 13">
          <a:extLst>
            <a:ext uri="{FF2B5EF4-FFF2-40B4-BE49-F238E27FC236}">
              <a16:creationId xmlns:a16="http://schemas.microsoft.com/office/drawing/2014/main" id="{47AC4FE7-E4E4-4791-857C-E8915E6E2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168</xdr:row>
      <xdr:rowOff>57150</xdr:rowOff>
    </xdr:from>
    <xdr:to>
      <xdr:col>15</xdr:col>
      <xdr:colOff>304800</xdr:colOff>
      <xdr:row>186</xdr:row>
      <xdr:rowOff>171450</xdr:rowOff>
    </xdr:to>
    <xdr:graphicFrame macro="">
      <xdr:nvGraphicFramePr>
        <xdr:cNvPr id="15" name="Chart 14">
          <a:extLst>
            <a:ext uri="{FF2B5EF4-FFF2-40B4-BE49-F238E27FC236}">
              <a16:creationId xmlns:a16="http://schemas.microsoft.com/office/drawing/2014/main" id="{04CBB5A2-7446-1AB9-A38E-FFC84FC46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209550</xdr:colOff>
      <xdr:row>196</xdr:row>
      <xdr:rowOff>190499</xdr:rowOff>
    </xdr:from>
    <xdr:to>
      <xdr:col>12</xdr:col>
      <xdr:colOff>76200</xdr:colOff>
      <xdr:row>213</xdr:row>
      <xdr:rowOff>47624</xdr:rowOff>
    </xdr:to>
    <xdr:graphicFrame macro="">
      <xdr:nvGraphicFramePr>
        <xdr:cNvPr id="16" name="Chart 15">
          <a:extLst>
            <a:ext uri="{FF2B5EF4-FFF2-40B4-BE49-F238E27FC236}">
              <a16:creationId xmlns:a16="http://schemas.microsoft.com/office/drawing/2014/main" id="{65EA644D-095D-9BEE-B1AD-D598D4732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600074</xdr:colOff>
      <xdr:row>223</xdr:row>
      <xdr:rowOff>57150</xdr:rowOff>
    </xdr:from>
    <xdr:to>
      <xdr:col>15</xdr:col>
      <xdr:colOff>495299</xdr:colOff>
      <xdr:row>237</xdr:row>
      <xdr:rowOff>133350</xdr:rowOff>
    </xdr:to>
    <xdr:graphicFrame macro="">
      <xdr:nvGraphicFramePr>
        <xdr:cNvPr id="10" name="Chart 9">
          <a:extLst>
            <a:ext uri="{FF2B5EF4-FFF2-40B4-BE49-F238E27FC236}">
              <a16:creationId xmlns:a16="http://schemas.microsoft.com/office/drawing/2014/main" id="{5F2DCD9D-01CA-627E-5E1B-E0EDCA5E7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600075</xdr:colOff>
      <xdr:row>238</xdr:row>
      <xdr:rowOff>142875</xdr:rowOff>
    </xdr:from>
    <xdr:to>
      <xdr:col>13</xdr:col>
      <xdr:colOff>238125</xdr:colOff>
      <xdr:row>253</xdr:row>
      <xdr:rowOff>28575</xdr:rowOff>
    </xdr:to>
    <xdr:graphicFrame macro="">
      <xdr:nvGraphicFramePr>
        <xdr:cNvPr id="11" name="Chart 10">
          <a:extLst>
            <a:ext uri="{FF2B5EF4-FFF2-40B4-BE49-F238E27FC236}">
              <a16:creationId xmlns:a16="http://schemas.microsoft.com/office/drawing/2014/main" id="{BFD78FAC-094F-54B5-5774-584801536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533400</xdr:colOff>
      <xdr:row>238</xdr:row>
      <xdr:rowOff>171450</xdr:rowOff>
    </xdr:from>
    <xdr:to>
      <xdr:col>21</xdr:col>
      <xdr:colOff>228600</xdr:colOff>
      <xdr:row>253</xdr:row>
      <xdr:rowOff>57150</xdr:rowOff>
    </xdr:to>
    <xdr:graphicFrame macro="">
      <xdr:nvGraphicFramePr>
        <xdr:cNvPr id="17" name="Chart 16">
          <a:extLst>
            <a:ext uri="{FF2B5EF4-FFF2-40B4-BE49-F238E27FC236}">
              <a16:creationId xmlns:a16="http://schemas.microsoft.com/office/drawing/2014/main" id="{1B71116C-2011-4EF2-AF8E-1FF89639A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254</xdr:row>
      <xdr:rowOff>123824</xdr:rowOff>
    </xdr:from>
    <xdr:to>
      <xdr:col>18</xdr:col>
      <xdr:colOff>361950</xdr:colOff>
      <xdr:row>271</xdr:row>
      <xdr:rowOff>57149</xdr:rowOff>
    </xdr:to>
    <xdr:graphicFrame macro="">
      <xdr:nvGraphicFramePr>
        <xdr:cNvPr id="18" name="Chart 17">
          <a:extLst>
            <a:ext uri="{FF2B5EF4-FFF2-40B4-BE49-F238E27FC236}">
              <a16:creationId xmlns:a16="http://schemas.microsoft.com/office/drawing/2014/main" id="{AA387499-CDB1-0155-0AE3-87F422D29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361949</xdr:colOff>
      <xdr:row>254</xdr:row>
      <xdr:rowOff>161924</xdr:rowOff>
    </xdr:from>
    <xdr:to>
      <xdr:col>8</xdr:col>
      <xdr:colOff>352424</xdr:colOff>
      <xdr:row>270</xdr:row>
      <xdr:rowOff>171449</xdr:rowOff>
    </xdr:to>
    <xdr:graphicFrame macro="">
      <xdr:nvGraphicFramePr>
        <xdr:cNvPr id="19" name="Chart 18">
          <a:extLst>
            <a:ext uri="{FF2B5EF4-FFF2-40B4-BE49-F238E27FC236}">
              <a16:creationId xmlns:a16="http://schemas.microsoft.com/office/drawing/2014/main" id="{8C947AB6-DA3C-369B-AEBE-D182F959E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238125</xdr:colOff>
      <xdr:row>275</xdr:row>
      <xdr:rowOff>47625</xdr:rowOff>
    </xdr:from>
    <xdr:to>
      <xdr:col>9</xdr:col>
      <xdr:colOff>542925</xdr:colOff>
      <xdr:row>290</xdr:row>
      <xdr:rowOff>142875</xdr:rowOff>
    </xdr:to>
    <xdr:graphicFrame macro="">
      <xdr:nvGraphicFramePr>
        <xdr:cNvPr id="3" name="Chart 2">
          <a:extLst>
            <a:ext uri="{FF2B5EF4-FFF2-40B4-BE49-F238E27FC236}">
              <a16:creationId xmlns:a16="http://schemas.microsoft.com/office/drawing/2014/main" id="{9E50380F-43D0-5044-A6C1-94FECEDA7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276225</xdr:colOff>
      <xdr:row>276</xdr:row>
      <xdr:rowOff>0</xdr:rowOff>
    </xdr:from>
    <xdr:to>
      <xdr:col>25</xdr:col>
      <xdr:colOff>581025</xdr:colOff>
      <xdr:row>290</xdr:row>
      <xdr:rowOff>76200</xdr:rowOff>
    </xdr:to>
    <xdr:graphicFrame macro="">
      <xdr:nvGraphicFramePr>
        <xdr:cNvPr id="20" name="Chart 19">
          <a:extLst>
            <a:ext uri="{FF2B5EF4-FFF2-40B4-BE49-F238E27FC236}">
              <a16:creationId xmlns:a16="http://schemas.microsoft.com/office/drawing/2014/main" id="{C359E2D4-4B6A-0101-72C1-9C7AA97DC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10</xdr:row>
      <xdr:rowOff>28575</xdr:rowOff>
    </xdr:from>
    <xdr:to>
      <xdr:col>5</xdr:col>
      <xdr:colOff>28575</xdr:colOff>
      <xdr:row>11</xdr:row>
      <xdr:rowOff>0</xdr:rowOff>
    </xdr:to>
    <xdr:sp macro="" textlink="">
      <xdr:nvSpPr>
        <xdr:cNvPr id="2" name="Arrow: Right 1">
          <a:extLst>
            <a:ext uri="{FF2B5EF4-FFF2-40B4-BE49-F238E27FC236}">
              <a16:creationId xmlns:a16="http://schemas.microsoft.com/office/drawing/2014/main" id="{7A398F4A-384F-4889-A9F4-2961BD9396D1}"/>
            </a:ext>
          </a:extLst>
        </xdr:cNvPr>
        <xdr:cNvSpPr/>
      </xdr:nvSpPr>
      <xdr:spPr>
        <a:xfrm>
          <a:off x="2324100" y="1933575"/>
          <a:ext cx="2466975" cy="1619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absoluteAnchor>
    <xdr:pos x="9324975" y="1857375"/>
    <xdr:ext cx="7458075" cy="3486150"/>
    <xdr:graphicFrame macro="">
      <xdr:nvGraphicFramePr>
        <xdr:cNvPr id="3" name="Chart 2">
          <a:extLst>
            <a:ext uri="{FF2B5EF4-FFF2-40B4-BE49-F238E27FC236}">
              <a16:creationId xmlns:a16="http://schemas.microsoft.com/office/drawing/2014/main" id="{BE821CCE-1BCD-470A-8CFE-0C603E95B00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4</xdr:col>
      <xdr:colOff>411898</xdr:colOff>
      <xdr:row>166</xdr:row>
      <xdr:rowOff>104775</xdr:rowOff>
    </xdr:from>
    <xdr:to>
      <xdr:col>13</xdr:col>
      <xdr:colOff>342901</xdr:colOff>
      <xdr:row>177</xdr:row>
      <xdr:rowOff>174951</xdr:rowOff>
    </xdr:to>
    <xdr:pic>
      <xdr:nvPicPr>
        <xdr:cNvPr id="4" name="Picture 3">
          <a:extLst>
            <a:ext uri="{FF2B5EF4-FFF2-40B4-BE49-F238E27FC236}">
              <a16:creationId xmlns:a16="http://schemas.microsoft.com/office/drawing/2014/main" id="{315EB020-32DC-A7D2-30A2-F2C534F34A88}"/>
            </a:ext>
          </a:extLst>
        </xdr:cNvPr>
        <xdr:cNvPicPr>
          <a:picLocks noChangeAspect="1"/>
        </xdr:cNvPicPr>
      </xdr:nvPicPr>
      <xdr:blipFill>
        <a:blip xmlns:r="http://schemas.openxmlformats.org/officeDocument/2006/relationships" r:embed="rId2"/>
        <a:stretch>
          <a:fillRect/>
        </a:stretch>
      </xdr:blipFill>
      <xdr:spPr>
        <a:xfrm>
          <a:off x="5183923" y="30413325"/>
          <a:ext cx="5979378" cy="2165676"/>
        </a:xfrm>
        <a:prstGeom prst="rect">
          <a:avLst/>
        </a:prstGeom>
      </xdr:spPr>
    </xdr:pic>
    <xdr:clientData/>
  </xdr:twoCellAnchor>
  <xdr:twoCellAnchor editAs="oneCell">
    <xdr:from>
      <xdr:col>1</xdr:col>
      <xdr:colOff>124916</xdr:colOff>
      <xdr:row>79</xdr:row>
      <xdr:rowOff>76200</xdr:rowOff>
    </xdr:from>
    <xdr:to>
      <xdr:col>3</xdr:col>
      <xdr:colOff>436807</xdr:colOff>
      <xdr:row>87</xdr:row>
      <xdr:rowOff>161925</xdr:rowOff>
    </xdr:to>
    <xdr:pic>
      <xdr:nvPicPr>
        <xdr:cNvPr id="6" name="Picture 5">
          <a:extLst>
            <a:ext uri="{FF2B5EF4-FFF2-40B4-BE49-F238E27FC236}">
              <a16:creationId xmlns:a16="http://schemas.microsoft.com/office/drawing/2014/main" id="{AE7B5E70-EE27-4CB2-98E0-CE6B56E2F91D}"/>
            </a:ext>
          </a:extLst>
        </xdr:cNvPr>
        <xdr:cNvPicPr>
          <a:picLocks noChangeAspect="1"/>
        </xdr:cNvPicPr>
      </xdr:nvPicPr>
      <xdr:blipFill>
        <a:blip xmlns:r="http://schemas.openxmlformats.org/officeDocument/2006/relationships" r:embed="rId3"/>
        <a:stretch>
          <a:fillRect/>
        </a:stretch>
      </xdr:blipFill>
      <xdr:spPr>
        <a:xfrm>
          <a:off x="734516" y="13792200"/>
          <a:ext cx="3226541" cy="1609725"/>
        </a:xfrm>
        <a:prstGeom prst="rect">
          <a:avLst/>
        </a:prstGeom>
      </xdr:spPr>
    </xdr:pic>
    <xdr:clientData/>
  </xdr:twoCellAnchor>
  <xdr:twoCellAnchor editAs="oneCell">
    <xdr:from>
      <xdr:col>8</xdr:col>
      <xdr:colOff>657225</xdr:colOff>
      <xdr:row>29</xdr:row>
      <xdr:rowOff>19051</xdr:rowOff>
    </xdr:from>
    <xdr:to>
      <xdr:col>23</xdr:col>
      <xdr:colOff>8217</xdr:colOff>
      <xdr:row>36</xdr:row>
      <xdr:rowOff>158615</xdr:rowOff>
    </xdr:to>
    <xdr:pic>
      <xdr:nvPicPr>
        <xdr:cNvPr id="7" name="Picture 6">
          <a:extLst>
            <a:ext uri="{FF2B5EF4-FFF2-40B4-BE49-F238E27FC236}">
              <a16:creationId xmlns:a16="http://schemas.microsoft.com/office/drawing/2014/main" id="{45969FF5-D107-8061-E908-1A2EC7078E80}"/>
            </a:ext>
          </a:extLst>
        </xdr:cNvPr>
        <xdr:cNvPicPr>
          <a:picLocks noChangeAspect="1"/>
        </xdr:cNvPicPr>
      </xdr:nvPicPr>
      <xdr:blipFill>
        <a:blip xmlns:r="http://schemas.openxmlformats.org/officeDocument/2006/relationships" r:embed="rId4"/>
        <a:stretch>
          <a:fillRect/>
        </a:stretch>
      </xdr:blipFill>
      <xdr:spPr>
        <a:xfrm>
          <a:off x="8029575" y="5543551"/>
          <a:ext cx="8895042" cy="1473064"/>
        </a:xfrm>
        <a:prstGeom prst="rect">
          <a:avLst/>
        </a:prstGeom>
      </xdr:spPr>
    </xdr:pic>
    <xdr:clientData/>
  </xdr:twoCellAnchor>
  <xdr:twoCellAnchor editAs="oneCell">
    <xdr:from>
      <xdr:col>11</xdr:col>
      <xdr:colOff>657225</xdr:colOff>
      <xdr:row>37</xdr:row>
      <xdr:rowOff>133350</xdr:rowOff>
    </xdr:from>
    <xdr:to>
      <xdr:col>26</xdr:col>
      <xdr:colOff>227245</xdr:colOff>
      <xdr:row>46</xdr:row>
      <xdr:rowOff>116219</xdr:rowOff>
    </xdr:to>
    <xdr:pic>
      <xdr:nvPicPr>
        <xdr:cNvPr id="8" name="Picture 7">
          <a:extLst>
            <a:ext uri="{FF2B5EF4-FFF2-40B4-BE49-F238E27FC236}">
              <a16:creationId xmlns:a16="http://schemas.microsoft.com/office/drawing/2014/main" id="{251E68CD-2025-DD30-5B7D-42DF9EFA70DE}"/>
            </a:ext>
          </a:extLst>
        </xdr:cNvPr>
        <xdr:cNvPicPr>
          <a:picLocks noChangeAspect="1"/>
        </xdr:cNvPicPr>
      </xdr:nvPicPr>
      <xdr:blipFill>
        <a:blip xmlns:r="http://schemas.openxmlformats.org/officeDocument/2006/relationships" r:embed="rId5"/>
        <a:stretch>
          <a:fillRect/>
        </a:stretch>
      </xdr:blipFill>
      <xdr:spPr>
        <a:xfrm>
          <a:off x="10029825" y="7181850"/>
          <a:ext cx="8942620" cy="1697369"/>
        </a:xfrm>
        <a:prstGeom prst="rect">
          <a:avLst/>
        </a:prstGeom>
      </xdr:spPr>
    </xdr:pic>
    <xdr:clientData/>
  </xdr:twoCellAnchor>
  <xdr:twoCellAnchor editAs="oneCell">
    <xdr:from>
      <xdr:col>0</xdr:col>
      <xdr:colOff>590550</xdr:colOff>
      <xdr:row>89</xdr:row>
      <xdr:rowOff>19050</xdr:rowOff>
    </xdr:from>
    <xdr:to>
      <xdr:col>6</xdr:col>
      <xdr:colOff>427876</xdr:colOff>
      <xdr:row>91</xdr:row>
      <xdr:rowOff>152336</xdr:rowOff>
    </xdr:to>
    <xdr:pic>
      <xdr:nvPicPr>
        <xdr:cNvPr id="9" name="Picture 8">
          <a:extLst>
            <a:ext uri="{FF2B5EF4-FFF2-40B4-BE49-F238E27FC236}">
              <a16:creationId xmlns:a16="http://schemas.microsoft.com/office/drawing/2014/main" id="{4D9B911D-2364-BD8F-57F6-9FB46096A812}"/>
            </a:ext>
          </a:extLst>
        </xdr:cNvPr>
        <xdr:cNvPicPr>
          <a:picLocks noChangeAspect="1"/>
        </xdr:cNvPicPr>
      </xdr:nvPicPr>
      <xdr:blipFill>
        <a:blip xmlns:r="http://schemas.openxmlformats.org/officeDocument/2006/relationships" r:embed="rId6"/>
        <a:stretch>
          <a:fillRect/>
        </a:stretch>
      </xdr:blipFill>
      <xdr:spPr>
        <a:xfrm>
          <a:off x="590550" y="15640050"/>
          <a:ext cx="5990476" cy="514286"/>
        </a:xfrm>
        <a:prstGeom prst="rect">
          <a:avLst/>
        </a:prstGeom>
      </xdr:spPr>
    </xdr:pic>
    <xdr:clientData/>
  </xdr:twoCellAnchor>
  <xdr:twoCellAnchor editAs="oneCell">
    <xdr:from>
      <xdr:col>0</xdr:col>
      <xdr:colOff>438150</xdr:colOff>
      <xdr:row>74</xdr:row>
      <xdr:rowOff>47625</xdr:rowOff>
    </xdr:from>
    <xdr:to>
      <xdr:col>20</xdr:col>
      <xdr:colOff>188645</xdr:colOff>
      <xdr:row>78</xdr:row>
      <xdr:rowOff>38006</xdr:rowOff>
    </xdr:to>
    <xdr:pic>
      <xdr:nvPicPr>
        <xdr:cNvPr id="10" name="Picture 9">
          <a:extLst>
            <a:ext uri="{FF2B5EF4-FFF2-40B4-BE49-F238E27FC236}">
              <a16:creationId xmlns:a16="http://schemas.microsoft.com/office/drawing/2014/main" id="{DE3F4810-F1F5-1076-6FF6-BCA1F4670D7E}"/>
            </a:ext>
          </a:extLst>
        </xdr:cNvPr>
        <xdr:cNvPicPr>
          <a:picLocks noChangeAspect="1"/>
        </xdr:cNvPicPr>
      </xdr:nvPicPr>
      <xdr:blipFill>
        <a:blip xmlns:r="http://schemas.openxmlformats.org/officeDocument/2006/relationships" r:embed="rId7"/>
        <a:stretch>
          <a:fillRect/>
        </a:stretch>
      </xdr:blipFill>
      <xdr:spPr>
        <a:xfrm>
          <a:off x="438150" y="14144625"/>
          <a:ext cx="14838095" cy="752381"/>
        </a:xfrm>
        <a:prstGeom prst="rect">
          <a:avLst/>
        </a:prstGeom>
      </xdr:spPr>
    </xdr:pic>
    <xdr:clientData/>
  </xdr:twoCellAnchor>
  <xdr:twoCellAnchor editAs="oneCell">
    <xdr:from>
      <xdr:col>0</xdr:col>
      <xdr:colOff>390525</xdr:colOff>
      <xdr:row>92</xdr:row>
      <xdr:rowOff>114300</xdr:rowOff>
    </xdr:from>
    <xdr:to>
      <xdr:col>6</xdr:col>
      <xdr:colOff>581025</xdr:colOff>
      <xdr:row>93</xdr:row>
      <xdr:rowOff>126954</xdr:rowOff>
    </xdr:to>
    <xdr:pic>
      <xdr:nvPicPr>
        <xdr:cNvPr id="11" name="Picture 10">
          <a:extLst>
            <a:ext uri="{FF2B5EF4-FFF2-40B4-BE49-F238E27FC236}">
              <a16:creationId xmlns:a16="http://schemas.microsoft.com/office/drawing/2014/main" id="{8EB2E79C-6001-DE93-1B51-4BBD24B06E06}"/>
            </a:ext>
          </a:extLst>
        </xdr:cNvPr>
        <xdr:cNvPicPr>
          <a:picLocks noChangeAspect="1"/>
        </xdr:cNvPicPr>
      </xdr:nvPicPr>
      <xdr:blipFill>
        <a:blip xmlns:r="http://schemas.openxmlformats.org/officeDocument/2006/relationships" r:embed="rId8"/>
        <a:stretch>
          <a:fillRect/>
        </a:stretch>
      </xdr:blipFill>
      <xdr:spPr>
        <a:xfrm>
          <a:off x="390525" y="16306800"/>
          <a:ext cx="6343650" cy="203154"/>
        </a:xfrm>
        <a:prstGeom prst="rect">
          <a:avLst/>
        </a:prstGeom>
      </xdr:spPr>
    </xdr:pic>
    <xdr:clientData/>
  </xdr:twoCellAnchor>
  <xdr:twoCellAnchor editAs="oneCell">
    <xdr:from>
      <xdr:col>0</xdr:col>
      <xdr:colOff>409576</xdr:colOff>
      <xdr:row>93</xdr:row>
      <xdr:rowOff>104775</xdr:rowOff>
    </xdr:from>
    <xdr:to>
      <xdr:col>6</xdr:col>
      <xdr:colOff>600076</xdr:colOff>
      <xdr:row>94</xdr:row>
      <xdr:rowOff>112102</xdr:rowOff>
    </xdr:to>
    <xdr:pic>
      <xdr:nvPicPr>
        <xdr:cNvPr id="12" name="Picture 11">
          <a:extLst>
            <a:ext uri="{FF2B5EF4-FFF2-40B4-BE49-F238E27FC236}">
              <a16:creationId xmlns:a16="http://schemas.microsoft.com/office/drawing/2014/main" id="{7D6FA96E-8E2B-7926-DFC5-FA002E1ECFF9}"/>
            </a:ext>
          </a:extLst>
        </xdr:cNvPr>
        <xdr:cNvPicPr>
          <a:picLocks noChangeAspect="1"/>
        </xdr:cNvPicPr>
      </xdr:nvPicPr>
      <xdr:blipFill>
        <a:blip xmlns:r="http://schemas.openxmlformats.org/officeDocument/2006/relationships" r:embed="rId9"/>
        <a:stretch>
          <a:fillRect/>
        </a:stretch>
      </xdr:blipFill>
      <xdr:spPr>
        <a:xfrm>
          <a:off x="409576" y="16487775"/>
          <a:ext cx="6343650" cy="197827"/>
        </a:xfrm>
        <a:prstGeom prst="rect">
          <a:avLst/>
        </a:prstGeom>
      </xdr:spPr>
    </xdr:pic>
    <xdr:clientData/>
  </xdr:twoCellAnchor>
  <xdr:twoCellAnchor editAs="oneCell">
    <xdr:from>
      <xdr:col>0</xdr:col>
      <xdr:colOff>0</xdr:colOff>
      <xdr:row>95</xdr:row>
      <xdr:rowOff>117053</xdr:rowOff>
    </xdr:from>
    <xdr:to>
      <xdr:col>8</xdr:col>
      <xdr:colOff>655413</xdr:colOff>
      <xdr:row>98</xdr:row>
      <xdr:rowOff>104648</xdr:rowOff>
    </xdr:to>
    <xdr:pic>
      <xdr:nvPicPr>
        <xdr:cNvPr id="13" name="Picture 12">
          <a:extLst>
            <a:ext uri="{FF2B5EF4-FFF2-40B4-BE49-F238E27FC236}">
              <a16:creationId xmlns:a16="http://schemas.microsoft.com/office/drawing/2014/main" id="{157D2190-8E5F-C225-1D7B-61552B1A7942}"/>
            </a:ext>
          </a:extLst>
        </xdr:cNvPr>
        <xdr:cNvPicPr>
          <a:picLocks noChangeAspect="1"/>
        </xdr:cNvPicPr>
      </xdr:nvPicPr>
      <xdr:blipFill>
        <a:blip xmlns:r="http://schemas.openxmlformats.org/officeDocument/2006/relationships" r:embed="rId10"/>
        <a:stretch>
          <a:fillRect/>
        </a:stretch>
      </xdr:blipFill>
      <xdr:spPr>
        <a:xfrm>
          <a:off x="0" y="16881053"/>
          <a:ext cx="8027763" cy="559095"/>
        </a:xfrm>
        <a:prstGeom prst="rect">
          <a:avLst/>
        </a:prstGeom>
      </xdr:spPr>
    </xdr:pic>
    <xdr:clientData/>
  </xdr:twoCellAnchor>
  <xdr:twoCellAnchor editAs="oneCell">
    <xdr:from>
      <xdr:col>9</xdr:col>
      <xdr:colOff>114300</xdr:colOff>
      <xdr:row>99</xdr:row>
      <xdr:rowOff>180976</xdr:rowOff>
    </xdr:from>
    <xdr:to>
      <xdr:col>23</xdr:col>
      <xdr:colOff>293947</xdr:colOff>
      <xdr:row>107</xdr:row>
      <xdr:rowOff>36469</xdr:rowOff>
    </xdr:to>
    <xdr:pic>
      <xdr:nvPicPr>
        <xdr:cNvPr id="14" name="Picture 13">
          <a:extLst>
            <a:ext uri="{FF2B5EF4-FFF2-40B4-BE49-F238E27FC236}">
              <a16:creationId xmlns:a16="http://schemas.microsoft.com/office/drawing/2014/main" id="{8752F6FB-AF37-733E-39D2-92E78E66EADD}"/>
            </a:ext>
          </a:extLst>
        </xdr:cNvPr>
        <xdr:cNvPicPr>
          <a:picLocks noChangeAspect="1"/>
        </xdr:cNvPicPr>
      </xdr:nvPicPr>
      <xdr:blipFill>
        <a:blip xmlns:r="http://schemas.openxmlformats.org/officeDocument/2006/relationships" r:embed="rId11"/>
        <a:stretch>
          <a:fillRect/>
        </a:stretch>
      </xdr:blipFill>
      <xdr:spPr>
        <a:xfrm>
          <a:off x="8267700" y="19040476"/>
          <a:ext cx="8942647" cy="1379493"/>
        </a:xfrm>
        <a:prstGeom prst="rect">
          <a:avLst/>
        </a:prstGeom>
      </xdr:spPr>
    </xdr:pic>
    <xdr:clientData/>
  </xdr:twoCellAnchor>
  <xdr:twoCellAnchor>
    <xdr:from>
      <xdr:col>2</xdr:col>
      <xdr:colOff>123825</xdr:colOff>
      <xdr:row>109</xdr:row>
      <xdr:rowOff>28575</xdr:rowOff>
    </xdr:from>
    <xdr:to>
      <xdr:col>5</xdr:col>
      <xdr:colOff>28575</xdr:colOff>
      <xdr:row>110</xdr:row>
      <xdr:rowOff>0</xdr:rowOff>
    </xdr:to>
    <xdr:sp macro="" textlink="">
      <xdr:nvSpPr>
        <xdr:cNvPr id="15" name="Arrow: Right 14">
          <a:extLst>
            <a:ext uri="{FF2B5EF4-FFF2-40B4-BE49-F238E27FC236}">
              <a16:creationId xmlns:a16="http://schemas.microsoft.com/office/drawing/2014/main" id="{1423CFA7-1D4E-4C69-86ED-AF71C60E2733}"/>
            </a:ext>
          </a:extLst>
        </xdr:cNvPr>
        <xdr:cNvSpPr/>
      </xdr:nvSpPr>
      <xdr:spPr>
        <a:xfrm>
          <a:off x="1343025" y="1933575"/>
          <a:ext cx="1733550" cy="1619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65</xdr:row>
      <xdr:rowOff>28575</xdr:rowOff>
    </xdr:from>
    <xdr:to>
      <xdr:col>5</xdr:col>
      <xdr:colOff>28575</xdr:colOff>
      <xdr:row>66</xdr:row>
      <xdr:rowOff>0</xdr:rowOff>
    </xdr:to>
    <xdr:sp macro="" textlink="">
      <xdr:nvSpPr>
        <xdr:cNvPr id="16" name="Arrow: Right 15">
          <a:extLst>
            <a:ext uri="{FF2B5EF4-FFF2-40B4-BE49-F238E27FC236}">
              <a16:creationId xmlns:a16="http://schemas.microsoft.com/office/drawing/2014/main" id="{D016CF41-A5B1-4669-9D6A-F7DEABEB14CB}"/>
            </a:ext>
          </a:extLst>
        </xdr:cNvPr>
        <xdr:cNvSpPr/>
      </xdr:nvSpPr>
      <xdr:spPr>
        <a:xfrm>
          <a:off x="1343025" y="1933575"/>
          <a:ext cx="1733550" cy="1619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247651</xdr:colOff>
      <xdr:row>123</xdr:row>
      <xdr:rowOff>28575</xdr:rowOff>
    </xdr:from>
    <xdr:to>
      <xdr:col>3</xdr:col>
      <xdr:colOff>962025</xdr:colOff>
      <xdr:row>124</xdr:row>
      <xdr:rowOff>47625</xdr:rowOff>
    </xdr:to>
    <xdr:sp macro="" textlink="">
      <xdr:nvSpPr>
        <xdr:cNvPr id="17" name="Arrow: Right 16">
          <a:extLst>
            <a:ext uri="{FF2B5EF4-FFF2-40B4-BE49-F238E27FC236}">
              <a16:creationId xmlns:a16="http://schemas.microsoft.com/office/drawing/2014/main" id="{FA6AC710-0534-4A0F-9129-B694823C4F2F}"/>
            </a:ext>
          </a:extLst>
        </xdr:cNvPr>
        <xdr:cNvSpPr/>
      </xdr:nvSpPr>
      <xdr:spPr>
        <a:xfrm>
          <a:off x="1590676" y="23479125"/>
          <a:ext cx="2105024" cy="2095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143</xdr:row>
      <xdr:rowOff>28575</xdr:rowOff>
    </xdr:from>
    <xdr:to>
      <xdr:col>5</xdr:col>
      <xdr:colOff>28575</xdr:colOff>
      <xdr:row>144</xdr:row>
      <xdr:rowOff>0</xdr:rowOff>
    </xdr:to>
    <xdr:sp macro="" textlink="">
      <xdr:nvSpPr>
        <xdr:cNvPr id="18" name="Arrow: Right 17">
          <a:extLst>
            <a:ext uri="{FF2B5EF4-FFF2-40B4-BE49-F238E27FC236}">
              <a16:creationId xmlns:a16="http://schemas.microsoft.com/office/drawing/2014/main" id="{B6B9833F-C68D-409E-AA62-AA6A0C938EA6}"/>
            </a:ext>
          </a:extLst>
        </xdr:cNvPr>
        <xdr:cNvSpPr/>
      </xdr:nvSpPr>
      <xdr:spPr>
        <a:xfrm>
          <a:off x="1466850" y="1933575"/>
          <a:ext cx="3152775" cy="1619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428625</xdr:colOff>
      <xdr:row>135</xdr:row>
      <xdr:rowOff>123825</xdr:rowOff>
    </xdr:from>
    <xdr:to>
      <xdr:col>16</xdr:col>
      <xdr:colOff>64277</xdr:colOff>
      <xdr:row>155</xdr:row>
      <xdr:rowOff>144486</xdr:rowOff>
    </xdr:to>
    <xdr:pic>
      <xdr:nvPicPr>
        <xdr:cNvPr id="19" name="Picture 18">
          <a:extLst>
            <a:ext uri="{FF2B5EF4-FFF2-40B4-BE49-F238E27FC236}">
              <a16:creationId xmlns:a16="http://schemas.microsoft.com/office/drawing/2014/main" id="{882FDE56-806D-4FF8-8AF0-675EF55A8476}"/>
            </a:ext>
          </a:extLst>
        </xdr:cNvPr>
        <xdr:cNvPicPr>
          <a:picLocks noChangeAspect="1"/>
        </xdr:cNvPicPr>
      </xdr:nvPicPr>
      <xdr:blipFill>
        <a:blip xmlns:r="http://schemas.openxmlformats.org/officeDocument/2006/relationships" r:embed="rId12"/>
        <a:stretch>
          <a:fillRect/>
        </a:stretch>
      </xdr:blipFill>
      <xdr:spPr>
        <a:xfrm>
          <a:off x="8582025" y="25860375"/>
          <a:ext cx="4131452" cy="3830661"/>
        </a:xfrm>
        <a:prstGeom prst="rect">
          <a:avLst/>
        </a:prstGeom>
      </xdr:spPr>
    </xdr:pic>
    <xdr:clientData/>
  </xdr:twoCellAnchor>
  <xdr:twoCellAnchor>
    <xdr:from>
      <xdr:col>7</xdr:col>
      <xdr:colOff>142875</xdr:colOff>
      <xdr:row>152</xdr:row>
      <xdr:rowOff>161925</xdr:rowOff>
    </xdr:from>
    <xdr:to>
      <xdr:col>8</xdr:col>
      <xdr:colOff>76200</xdr:colOff>
      <xdr:row>154</xdr:row>
      <xdr:rowOff>1</xdr:rowOff>
    </xdr:to>
    <xdr:sp macro="" textlink="">
      <xdr:nvSpPr>
        <xdr:cNvPr id="20" name="Arrow: Right 19">
          <a:extLst>
            <a:ext uri="{FF2B5EF4-FFF2-40B4-BE49-F238E27FC236}">
              <a16:creationId xmlns:a16="http://schemas.microsoft.com/office/drawing/2014/main" id="{FD73CBDF-4E61-4EAE-AACF-29A0D34E9766}"/>
            </a:ext>
          </a:extLst>
        </xdr:cNvPr>
        <xdr:cNvSpPr/>
      </xdr:nvSpPr>
      <xdr:spPr>
        <a:xfrm>
          <a:off x="6905625" y="27803475"/>
          <a:ext cx="542925" cy="21907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158</xdr:row>
      <xdr:rowOff>28575</xdr:rowOff>
    </xdr:from>
    <xdr:to>
      <xdr:col>5</xdr:col>
      <xdr:colOff>28575</xdr:colOff>
      <xdr:row>159</xdr:row>
      <xdr:rowOff>0</xdr:rowOff>
    </xdr:to>
    <xdr:sp macro="" textlink="">
      <xdr:nvSpPr>
        <xdr:cNvPr id="21" name="Arrow: Right 20">
          <a:extLst>
            <a:ext uri="{FF2B5EF4-FFF2-40B4-BE49-F238E27FC236}">
              <a16:creationId xmlns:a16="http://schemas.microsoft.com/office/drawing/2014/main" id="{C4510F2B-02FC-4CA9-9B33-BD9A72409EA2}"/>
            </a:ext>
          </a:extLst>
        </xdr:cNvPr>
        <xdr:cNvSpPr/>
      </xdr:nvSpPr>
      <xdr:spPr>
        <a:xfrm>
          <a:off x="1466850" y="25955625"/>
          <a:ext cx="3152775" cy="1619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85725</xdr:colOff>
      <xdr:row>192</xdr:row>
      <xdr:rowOff>161924</xdr:rowOff>
    </xdr:from>
    <xdr:to>
      <xdr:col>16</xdr:col>
      <xdr:colOff>447675</xdr:colOff>
      <xdr:row>206</xdr:row>
      <xdr:rowOff>161924</xdr:rowOff>
    </xdr:to>
    <xdr:graphicFrame macro="">
      <xdr:nvGraphicFramePr>
        <xdr:cNvPr id="22" name="Chart 21">
          <a:extLst>
            <a:ext uri="{FF2B5EF4-FFF2-40B4-BE49-F238E27FC236}">
              <a16:creationId xmlns:a16="http://schemas.microsoft.com/office/drawing/2014/main" id="{2EA08F8C-B694-8EE8-421F-A2DF5FF13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123826</xdr:colOff>
      <xdr:row>215</xdr:row>
      <xdr:rowOff>28576</xdr:rowOff>
    </xdr:from>
    <xdr:to>
      <xdr:col>4</xdr:col>
      <xdr:colOff>495301</xdr:colOff>
      <xdr:row>215</xdr:row>
      <xdr:rowOff>180976</xdr:rowOff>
    </xdr:to>
    <xdr:sp macro="" textlink="">
      <xdr:nvSpPr>
        <xdr:cNvPr id="23" name="Arrow: Right 22">
          <a:extLst>
            <a:ext uri="{FF2B5EF4-FFF2-40B4-BE49-F238E27FC236}">
              <a16:creationId xmlns:a16="http://schemas.microsoft.com/office/drawing/2014/main" id="{A0142DA3-3A93-4A40-A8CE-879BD0B13FBB}"/>
            </a:ext>
          </a:extLst>
        </xdr:cNvPr>
        <xdr:cNvSpPr/>
      </xdr:nvSpPr>
      <xdr:spPr>
        <a:xfrm>
          <a:off x="2257426" y="39814501"/>
          <a:ext cx="3009900" cy="1524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217</xdr:row>
      <xdr:rowOff>19050</xdr:rowOff>
    </xdr:from>
    <xdr:to>
      <xdr:col>4</xdr:col>
      <xdr:colOff>600075</xdr:colOff>
      <xdr:row>217</xdr:row>
      <xdr:rowOff>180975</xdr:rowOff>
    </xdr:to>
    <xdr:sp macro="" textlink="">
      <xdr:nvSpPr>
        <xdr:cNvPr id="24" name="Arrow: Right 23">
          <a:extLst>
            <a:ext uri="{FF2B5EF4-FFF2-40B4-BE49-F238E27FC236}">
              <a16:creationId xmlns:a16="http://schemas.microsoft.com/office/drawing/2014/main" id="{2361C7F5-FD37-4972-9AD2-7AC97D6D71AF}"/>
            </a:ext>
          </a:extLst>
        </xdr:cNvPr>
        <xdr:cNvSpPr/>
      </xdr:nvSpPr>
      <xdr:spPr>
        <a:xfrm>
          <a:off x="2219325" y="40185975"/>
          <a:ext cx="3152775" cy="1619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123826</xdr:colOff>
      <xdr:row>241</xdr:row>
      <xdr:rowOff>28576</xdr:rowOff>
    </xdr:from>
    <xdr:to>
      <xdr:col>4</xdr:col>
      <xdr:colOff>495301</xdr:colOff>
      <xdr:row>241</xdr:row>
      <xdr:rowOff>180976</xdr:rowOff>
    </xdr:to>
    <xdr:sp macro="" textlink="">
      <xdr:nvSpPr>
        <xdr:cNvPr id="25" name="Arrow: Right 24">
          <a:extLst>
            <a:ext uri="{FF2B5EF4-FFF2-40B4-BE49-F238E27FC236}">
              <a16:creationId xmlns:a16="http://schemas.microsoft.com/office/drawing/2014/main" id="{E65C006A-EE81-4F74-BB58-6A6B4F8FE897}"/>
            </a:ext>
          </a:extLst>
        </xdr:cNvPr>
        <xdr:cNvSpPr/>
      </xdr:nvSpPr>
      <xdr:spPr>
        <a:xfrm>
          <a:off x="2257426" y="46120051"/>
          <a:ext cx="3009900" cy="1524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0.14454</cdr:x>
      <cdr:y>0.78401</cdr:y>
    </cdr:from>
    <cdr:to>
      <cdr:x>0.99421</cdr:x>
      <cdr:y>0.86438</cdr:y>
    </cdr:to>
    <cdr:sp macro="" textlink="">
      <cdr:nvSpPr>
        <cdr:cNvPr id="2" name="TextBox 1"/>
        <cdr:cNvSpPr txBox="1"/>
      </cdr:nvSpPr>
      <cdr:spPr>
        <a:xfrm xmlns:a="http://schemas.openxmlformats.org/drawingml/2006/main">
          <a:off x="1240480" y="4571147"/>
          <a:ext cx="7291971" cy="468594"/>
        </a:xfrm>
        <a:prstGeom xmlns:a="http://schemas.openxmlformats.org/drawingml/2006/main" prst="rect">
          <a:avLst/>
        </a:prstGeom>
      </cdr:spPr>
      <cdr:txBody>
        <a:bodyPr xmlns:a="http://schemas.openxmlformats.org/drawingml/2006/main" vertOverflow="clip" wrap="square" rtlCol="0">
          <a:spAutoFit/>
        </a:bodyPr>
        <a:lstStyle xmlns:a="http://schemas.openxmlformats.org/drawingml/2006/main"/>
        <a:p xmlns:a="http://schemas.openxmlformats.org/drawingml/2006/main">
          <a:r>
            <a:rPr lang="en-US" sz="1200"/>
            <a:t>The implied equity</a:t>
          </a:r>
          <a:r>
            <a:rPr lang="en-US" sz="1200" baseline="0"/>
            <a:t> risk premium is what stocks are priced to earn over and above the risk free rate. At the end of 2022, that premium was 5.94%, well above the historical average rate.</a:t>
          </a:r>
          <a:endParaRPr lang="en-US" sz="1200"/>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276225</xdr:colOff>
      <xdr:row>3</xdr:row>
      <xdr:rowOff>156884</xdr:rowOff>
    </xdr:from>
    <xdr:to>
      <xdr:col>12</xdr:col>
      <xdr:colOff>661147</xdr:colOff>
      <xdr:row>25</xdr:row>
      <xdr:rowOff>2</xdr:rowOff>
    </xdr:to>
    <xdr:graphicFrame macro="">
      <xdr:nvGraphicFramePr>
        <xdr:cNvPr id="2" name="Chart 1">
          <a:extLst>
            <a:ext uri="{FF2B5EF4-FFF2-40B4-BE49-F238E27FC236}">
              <a16:creationId xmlns:a16="http://schemas.microsoft.com/office/drawing/2014/main" id="{4ACE7CD2-95CD-41EF-BBBF-7923EF956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418539</xdr:colOff>
      <xdr:row>8</xdr:row>
      <xdr:rowOff>73398</xdr:rowOff>
    </xdr:from>
    <xdr:to>
      <xdr:col>18</xdr:col>
      <xdr:colOff>320489</xdr:colOff>
      <xdr:row>21</xdr:row>
      <xdr:rowOff>149598</xdr:rowOff>
    </xdr:to>
    <xdr:graphicFrame macro="">
      <xdr:nvGraphicFramePr>
        <xdr:cNvPr id="3" name="Chart 2">
          <a:extLst>
            <a:ext uri="{FF2B5EF4-FFF2-40B4-BE49-F238E27FC236}">
              <a16:creationId xmlns:a16="http://schemas.microsoft.com/office/drawing/2014/main" id="{F7B839D4-302F-4442-AE72-8A6C9C630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647699</xdr:colOff>
      <xdr:row>36</xdr:row>
      <xdr:rowOff>100853</xdr:rowOff>
    </xdr:from>
    <xdr:to>
      <xdr:col>13</xdr:col>
      <xdr:colOff>1589430</xdr:colOff>
      <xdr:row>42</xdr:row>
      <xdr:rowOff>65868</xdr:rowOff>
    </xdr:to>
    <xdr:pic>
      <xdr:nvPicPr>
        <xdr:cNvPr id="4" name="Picture 3">
          <a:extLst>
            <a:ext uri="{FF2B5EF4-FFF2-40B4-BE49-F238E27FC236}">
              <a16:creationId xmlns:a16="http://schemas.microsoft.com/office/drawing/2014/main" id="{D3D7F9EC-7C2B-42A3-B9EB-767810A0112A}"/>
            </a:ext>
          </a:extLst>
        </xdr:cNvPr>
        <xdr:cNvPicPr>
          <a:picLocks noChangeAspect="1"/>
        </xdr:cNvPicPr>
      </xdr:nvPicPr>
      <xdr:blipFill>
        <a:blip xmlns:r="http://schemas.openxmlformats.org/officeDocument/2006/relationships" r:embed="rId3"/>
        <a:stretch>
          <a:fillRect/>
        </a:stretch>
      </xdr:blipFill>
      <xdr:spPr>
        <a:xfrm>
          <a:off x="4670611" y="6958853"/>
          <a:ext cx="9256495" cy="1108015"/>
        </a:xfrm>
        <a:prstGeom prst="rect">
          <a:avLst/>
        </a:prstGeom>
      </xdr:spPr>
    </xdr:pic>
    <xdr:clientData/>
  </xdr:twoCellAnchor>
  <xdr:twoCellAnchor>
    <xdr:from>
      <xdr:col>4</xdr:col>
      <xdr:colOff>47624</xdr:colOff>
      <xdr:row>43</xdr:row>
      <xdr:rowOff>38100</xdr:rowOff>
    </xdr:from>
    <xdr:to>
      <xdr:col>5</xdr:col>
      <xdr:colOff>190497</xdr:colOff>
      <xdr:row>47</xdr:row>
      <xdr:rowOff>76200</xdr:rowOff>
    </xdr:to>
    <xdr:sp macro="" textlink="">
      <xdr:nvSpPr>
        <xdr:cNvPr id="5" name="Speech Bubble: Rectangle 4">
          <a:extLst>
            <a:ext uri="{FF2B5EF4-FFF2-40B4-BE49-F238E27FC236}">
              <a16:creationId xmlns:a16="http://schemas.microsoft.com/office/drawing/2014/main" id="{2F0228AB-4324-53FC-7615-5A23ABC0E0D0}"/>
            </a:ext>
          </a:extLst>
        </xdr:cNvPr>
        <xdr:cNvSpPr/>
      </xdr:nvSpPr>
      <xdr:spPr>
        <a:xfrm rot="10800000" flipV="1">
          <a:off x="2562224" y="8229600"/>
          <a:ext cx="752473" cy="800100"/>
        </a:xfrm>
        <a:prstGeom prst="wedgeRectCallou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100" b="1">
              <a:solidFill>
                <a:sysClr val="windowText" lastClr="000000"/>
              </a:solidFill>
            </a:rPr>
            <a:t>demand bounces back</a:t>
          </a:r>
        </a:p>
      </xdr:txBody>
    </xdr:sp>
    <xdr:clientData/>
  </xdr:twoCellAnchor>
  <xdr:twoCellAnchor>
    <xdr:from>
      <xdr:col>6</xdr:col>
      <xdr:colOff>257175</xdr:colOff>
      <xdr:row>73</xdr:row>
      <xdr:rowOff>47625</xdr:rowOff>
    </xdr:from>
    <xdr:to>
      <xdr:col>14</xdr:col>
      <xdr:colOff>1066801</xdr:colOff>
      <xdr:row>90</xdr:row>
      <xdr:rowOff>133350</xdr:rowOff>
    </xdr:to>
    <xdr:graphicFrame macro="">
      <xdr:nvGraphicFramePr>
        <xdr:cNvPr id="6" name="Chart 5">
          <a:extLst>
            <a:ext uri="{FF2B5EF4-FFF2-40B4-BE49-F238E27FC236}">
              <a16:creationId xmlns:a16="http://schemas.microsoft.com/office/drawing/2014/main" id="{514A988A-8CEA-4879-58A3-F27FD7F51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247651</xdr:colOff>
      <xdr:row>91</xdr:row>
      <xdr:rowOff>76200</xdr:rowOff>
    </xdr:from>
    <xdr:to>
      <xdr:col>14</xdr:col>
      <xdr:colOff>314325</xdr:colOff>
      <xdr:row>106</xdr:row>
      <xdr:rowOff>114299</xdr:rowOff>
    </xdr:to>
    <xdr:graphicFrame macro="">
      <xdr:nvGraphicFramePr>
        <xdr:cNvPr id="7" name="Chart 6">
          <a:extLst>
            <a:ext uri="{FF2B5EF4-FFF2-40B4-BE49-F238E27FC236}">
              <a16:creationId xmlns:a16="http://schemas.microsoft.com/office/drawing/2014/main" id="{71534600-15A5-44B5-AF65-371F2D8ED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352425</xdr:colOff>
      <xdr:row>106</xdr:row>
      <xdr:rowOff>161925</xdr:rowOff>
    </xdr:from>
    <xdr:to>
      <xdr:col>12</xdr:col>
      <xdr:colOff>398256</xdr:colOff>
      <xdr:row>128</xdr:row>
      <xdr:rowOff>9383</xdr:rowOff>
    </xdr:to>
    <xdr:pic>
      <xdr:nvPicPr>
        <xdr:cNvPr id="8" name="Picture 7">
          <a:extLst>
            <a:ext uri="{FF2B5EF4-FFF2-40B4-BE49-F238E27FC236}">
              <a16:creationId xmlns:a16="http://schemas.microsoft.com/office/drawing/2014/main" id="{737B0A96-28F1-E1D6-2BC0-C23DDCAAAECC}"/>
            </a:ext>
          </a:extLst>
        </xdr:cNvPr>
        <xdr:cNvPicPr>
          <a:picLocks noChangeAspect="1"/>
        </xdr:cNvPicPr>
      </xdr:nvPicPr>
      <xdr:blipFill>
        <a:blip xmlns:r="http://schemas.openxmlformats.org/officeDocument/2006/relationships" r:embed="rId6"/>
        <a:stretch>
          <a:fillRect/>
        </a:stretch>
      </xdr:blipFill>
      <xdr:spPr>
        <a:xfrm>
          <a:off x="2257425" y="16925925"/>
          <a:ext cx="9675606" cy="4038458"/>
        </a:xfrm>
        <a:prstGeom prst="rect">
          <a:avLst/>
        </a:prstGeom>
      </xdr:spPr>
    </xdr:pic>
    <xdr:clientData/>
  </xdr:twoCellAnchor>
  <xdr:twoCellAnchor>
    <xdr:from>
      <xdr:col>4</xdr:col>
      <xdr:colOff>247651</xdr:colOff>
      <xdr:row>130</xdr:row>
      <xdr:rowOff>28575</xdr:rowOff>
    </xdr:from>
    <xdr:to>
      <xdr:col>5</xdr:col>
      <xdr:colOff>962025</xdr:colOff>
      <xdr:row>131</xdr:row>
      <xdr:rowOff>47625</xdr:rowOff>
    </xdr:to>
    <xdr:sp macro="" textlink="">
      <xdr:nvSpPr>
        <xdr:cNvPr id="9" name="Arrow: Right 8">
          <a:extLst>
            <a:ext uri="{FF2B5EF4-FFF2-40B4-BE49-F238E27FC236}">
              <a16:creationId xmlns:a16="http://schemas.microsoft.com/office/drawing/2014/main" id="{12F12FE7-E685-4783-9398-91D08320C59B}"/>
            </a:ext>
          </a:extLst>
        </xdr:cNvPr>
        <xdr:cNvSpPr/>
      </xdr:nvSpPr>
      <xdr:spPr>
        <a:xfrm>
          <a:off x="2381251" y="23479125"/>
          <a:ext cx="2105024" cy="2095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95250</xdr:colOff>
      <xdr:row>184</xdr:row>
      <xdr:rowOff>85724</xdr:rowOff>
    </xdr:from>
    <xdr:to>
      <xdr:col>23</xdr:col>
      <xdr:colOff>9525</xdr:colOff>
      <xdr:row>199</xdr:row>
      <xdr:rowOff>76199</xdr:rowOff>
    </xdr:to>
    <xdr:graphicFrame macro="">
      <xdr:nvGraphicFramePr>
        <xdr:cNvPr id="10" name="Chart 9">
          <a:extLst>
            <a:ext uri="{FF2B5EF4-FFF2-40B4-BE49-F238E27FC236}">
              <a16:creationId xmlns:a16="http://schemas.microsoft.com/office/drawing/2014/main" id="{9E51C9D2-DB4B-9C90-9C27-A6D67E160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342900</xdr:colOff>
      <xdr:row>184</xdr:row>
      <xdr:rowOff>123825</xdr:rowOff>
    </xdr:from>
    <xdr:to>
      <xdr:col>12</xdr:col>
      <xdr:colOff>247650</xdr:colOff>
      <xdr:row>199</xdr:row>
      <xdr:rowOff>0</xdr:rowOff>
    </xdr:to>
    <xdr:graphicFrame macro="">
      <xdr:nvGraphicFramePr>
        <xdr:cNvPr id="11" name="Chart 10">
          <a:extLst>
            <a:ext uri="{FF2B5EF4-FFF2-40B4-BE49-F238E27FC236}">
              <a16:creationId xmlns:a16="http://schemas.microsoft.com/office/drawing/2014/main" id="{A6160D66-BA24-0A7F-CE57-2A0A6C00A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542925</xdr:colOff>
      <xdr:row>220</xdr:row>
      <xdr:rowOff>171450</xdr:rowOff>
    </xdr:from>
    <xdr:to>
      <xdr:col>6</xdr:col>
      <xdr:colOff>476250</xdr:colOff>
      <xdr:row>235</xdr:row>
      <xdr:rowOff>28575</xdr:rowOff>
    </xdr:to>
    <xdr:graphicFrame macro="">
      <xdr:nvGraphicFramePr>
        <xdr:cNvPr id="12" name="Chart 11">
          <a:extLst>
            <a:ext uri="{FF2B5EF4-FFF2-40B4-BE49-F238E27FC236}">
              <a16:creationId xmlns:a16="http://schemas.microsoft.com/office/drawing/2014/main" id="{2BE0F479-C618-1961-8A5F-CA1BEF0B9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527797</xdr:colOff>
      <xdr:row>236</xdr:row>
      <xdr:rowOff>42022</xdr:rowOff>
    </xdr:from>
    <xdr:to>
      <xdr:col>7</xdr:col>
      <xdr:colOff>305359</xdr:colOff>
      <xdr:row>250</xdr:row>
      <xdr:rowOff>169768</xdr:rowOff>
    </xdr:to>
    <xdr:graphicFrame macro="">
      <xdr:nvGraphicFramePr>
        <xdr:cNvPr id="13" name="Chart 12">
          <a:extLst>
            <a:ext uri="{FF2B5EF4-FFF2-40B4-BE49-F238E27FC236}">
              <a16:creationId xmlns:a16="http://schemas.microsoft.com/office/drawing/2014/main" id="{434BFC60-9947-B936-A406-954BCA261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236</xdr:row>
      <xdr:rowOff>57150</xdr:rowOff>
    </xdr:from>
    <xdr:to>
      <xdr:col>14</xdr:col>
      <xdr:colOff>310962</xdr:colOff>
      <xdr:row>250</xdr:row>
      <xdr:rowOff>184896</xdr:rowOff>
    </xdr:to>
    <xdr:graphicFrame macro="">
      <xdr:nvGraphicFramePr>
        <xdr:cNvPr id="14" name="Chart 13">
          <a:extLst>
            <a:ext uri="{FF2B5EF4-FFF2-40B4-BE49-F238E27FC236}">
              <a16:creationId xmlns:a16="http://schemas.microsoft.com/office/drawing/2014/main" id="{BA529925-3A50-43B8-82AC-A26D03B05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247651</xdr:colOff>
      <xdr:row>254</xdr:row>
      <xdr:rowOff>28575</xdr:rowOff>
    </xdr:from>
    <xdr:to>
      <xdr:col>3</xdr:col>
      <xdr:colOff>962025</xdr:colOff>
      <xdr:row>255</xdr:row>
      <xdr:rowOff>47625</xdr:rowOff>
    </xdr:to>
    <xdr:sp macro="" textlink="">
      <xdr:nvSpPr>
        <xdr:cNvPr id="15" name="Arrow: Right 14">
          <a:extLst>
            <a:ext uri="{FF2B5EF4-FFF2-40B4-BE49-F238E27FC236}">
              <a16:creationId xmlns:a16="http://schemas.microsoft.com/office/drawing/2014/main" id="{C4E9151E-EA54-44FA-B4E2-9AB36387CEA3}"/>
            </a:ext>
          </a:extLst>
        </xdr:cNvPr>
        <xdr:cNvSpPr/>
      </xdr:nvSpPr>
      <xdr:spPr>
        <a:xfrm>
          <a:off x="3305176" y="21364575"/>
          <a:ext cx="1685924" cy="2095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677954</xdr:colOff>
      <xdr:row>22</xdr:row>
      <xdr:rowOff>174812</xdr:rowOff>
    </xdr:from>
    <xdr:to>
      <xdr:col>22</xdr:col>
      <xdr:colOff>179294</xdr:colOff>
      <xdr:row>39</xdr:row>
      <xdr:rowOff>78442</xdr:rowOff>
    </xdr:to>
    <xdr:graphicFrame macro="">
      <xdr:nvGraphicFramePr>
        <xdr:cNvPr id="17" name="Chart 16">
          <a:extLst>
            <a:ext uri="{FF2B5EF4-FFF2-40B4-BE49-F238E27FC236}">
              <a16:creationId xmlns:a16="http://schemas.microsoft.com/office/drawing/2014/main" id="{28000B51-FD36-E1F3-225F-2E6176ADF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218515</xdr:colOff>
      <xdr:row>51</xdr:row>
      <xdr:rowOff>156883</xdr:rowOff>
    </xdr:from>
    <xdr:to>
      <xdr:col>7</xdr:col>
      <xdr:colOff>549089</xdr:colOff>
      <xdr:row>62</xdr:row>
      <xdr:rowOff>67235</xdr:rowOff>
    </xdr:to>
    <xdr:graphicFrame macro="">
      <xdr:nvGraphicFramePr>
        <xdr:cNvPr id="18" name="Chart 17">
          <a:extLst>
            <a:ext uri="{FF2B5EF4-FFF2-40B4-BE49-F238E27FC236}">
              <a16:creationId xmlns:a16="http://schemas.microsoft.com/office/drawing/2014/main" id="{4B21472C-5767-7806-A469-E955C16F9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247651</xdr:colOff>
      <xdr:row>144</xdr:row>
      <xdr:rowOff>28575</xdr:rowOff>
    </xdr:from>
    <xdr:to>
      <xdr:col>5</xdr:col>
      <xdr:colOff>962025</xdr:colOff>
      <xdr:row>145</xdr:row>
      <xdr:rowOff>47625</xdr:rowOff>
    </xdr:to>
    <xdr:sp macro="" textlink="">
      <xdr:nvSpPr>
        <xdr:cNvPr id="19" name="Arrow: Right 18">
          <a:extLst>
            <a:ext uri="{FF2B5EF4-FFF2-40B4-BE49-F238E27FC236}">
              <a16:creationId xmlns:a16="http://schemas.microsoft.com/office/drawing/2014/main" id="{B9AF1CF1-0D5F-4CC9-84BB-45DD0DB28960}"/>
            </a:ext>
          </a:extLst>
        </xdr:cNvPr>
        <xdr:cNvSpPr/>
      </xdr:nvSpPr>
      <xdr:spPr>
        <a:xfrm>
          <a:off x="3295651" y="24793575"/>
          <a:ext cx="1689286" cy="2095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481852</xdr:colOff>
      <xdr:row>144</xdr:row>
      <xdr:rowOff>22411</xdr:rowOff>
    </xdr:from>
    <xdr:to>
      <xdr:col>9</xdr:col>
      <xdr:colOff>728381</xdr:colOff>
      <xdr:row>145</xdr:row>
      <xdr:rowOff>67234</xdr:rowOff>
    </xdr:to>
    <xdr:sp macro="" textlink="">
      <xdr:nvSpPr>
        <xdr:cNvPr id="20" name="Arrow: Right 19">
          <a:extLst>
            <a:ext uri="{FF2B5EF4-FFF2-40B4-BE49-F238E27FC236}">
              <a16:creationId xmlns:a16="http://schemas.microsoft.com/office/drawing/2014/main" id="{486F55F4-3ABD-4D25-9EB1-B6EA434C89B2}"/>
            </a:ext>
          </a:extLst>
        </xdr:cNvPr>
        <xdr:cNvSpPr/>
      </xdr:nvSpPr>
      <xdr:spPr>
        <a:xfrm>
          <a:off x="6757146" y="27454411"/>
          <a:ext cx="1961029" cy="24652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19</xdr:row>
      <xdr:rowOff>76200</xdr:rowOff>
    </xdr:from>
    <xdr:to>
      <xdr:col>5</xdr:col>
      <xdr:colOff>209550</xdr:colOff>
      <xdr:row>33</xdr:row>
      <xdr:rowOff>152400</xdr:rowOff>
    </xdr:to>
    <xdr:graphicFrame macro="">
      <xdr:nvGraphicFramePr>
        <xdr:cNvPr id="2" name="Chart 1">
          <a:extLst>
            <a:ext uri="{FF2B5EF4-FFF2-40B4-BE49-F238E27FC236}">
              <a16:creationId xmlns:a16="http://schemas.microsoft.com/office/drawing/2014/main" id="{3951C2CE-203E-6F8A-24E7-8FC76D10A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19</xdr:row>
      <xdr:rowOff>114300</xdr:rowOff>
    </xdr:from>
    <xdr:to>
      <xdr:col>9</xdr:col>
      <xdr:colOff>762000</xdr:colOff>
      <xdr:row>34</xdr:row>
      <xdr:rowOff>0</xdr:rowOff>
    </xdr:to>
    <xdr:graphicFrame macro="">
      <xdr:nvGraphicFramePr>
        <xdr:cNvPr id="3" name="Chart 2">
          <a:extLst>
            <a:ext uri="{FF2B5EF4-FFF2-40B4-BE49-F238E27FC236}">
              <a16:creationId xmlns:a16="http://schemas.microsoft.com/office/drawing/2014/main" id="{B6F149EF-B87B-EC96-80CE-B62F1157E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857250</xdr:colOff>
      <xdr:row>19</xdr:row>
      <xdr:rowOff>133350</xdr:rowOff>
    </xdr:from>
    <xdr:to>
      <xdr:col>16</xdr:col>
      <xdr:colOff>438150</xdr:colOff>
      <xdr:row>38</xdr:row>
      <xdr:rowOff>133350</xdr:rowOff>
    </xdr:to>
    <xdr:graphicFrame macro="">
      <xdr:nvGraphicFramePr>
        <xdr:cNvPr id="4" name="Chart 3">
          <a:extLst>
            <a:ext uri="{FF2B5EF4-FFF2-40B4-BE49-F238E27FC236}">
              <a16:creationId xmlns:a16="http://schemas.microsoft.com/office/drawing/2014/main" id="{68216C14-90A6-4C9F-8592-3B195DB1C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133350</xdr:rowOff>
    </xdr:from>
    <xdr:to>
      <xdr:col>7</xdr:col>
      <xdr:colOff>1962150</xdr:colOff>
      <xdr:row>58</xdr:row>
      <xdr:rowOff>133350</xdr:rowOff>
    </xdr:to>
    <xdr:graphicFrame macro="">
      <xdr:nvGraphicFramePr>
        <xdr:cNvPr id="5" name="Chart 4">
          <a:extLst>
            <a:ext uri="{FF2B5EF4-FFF2-40B4-BE49-F238E27FC236}">
              <a16:creationId xmlns:a16="http://schemas.microsoft.com/office/drawing/2014/main" id="{7CD9058A-C39D-48E0-87D7-95840C4F5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1990724</xdr:colOff>
      <xdr:row>42</xdr:row>
      <xdr:rowOff>85725</xdr:rowOff>
    </xdr:from>
    <xdr:to>
      <xdr:col>12</xdr:col>
      <xdr:colOff>1333499</xdr:colOff>
      <xdr:row>56</xdr:row>
      <xdr:rowOff>133350</xdr:rowOff>
    </xdr:to>
    <xdr:graphicFrame macro="">
      <xdr:nvGraphicFramePr>
        <xdr:cNvPr id="8" name="Chart 7">
          <a:extLst>
            <a:ext uri="{FF2B5EF4-FFF2-40B4-BE49-F238E27FC236}">
              <a16:creationId xmlns:a16="http://schemas.microsoft.com/office/drawing/2014/main" id="{550EBB37-1EA0-F3E4-90A5-4986FA4F8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85724</xdr:colOff>
      <xdr:row>43</xdr:row>
      <xdr:rowOff>190499</xdr:rowOff>
    </xdr:from>
    <xdr:to>
      <xdr:col>26</xdr:col>
      <xdr:colOff>457199</xdr:colOff>
      <xdr:row>60</xdr:row>
      <xdr:rowOff>152399</xdr:rowOff>
    </xdr:to>
    <xdr:graphicFrame macro="">
      <xdr:nvGraphicFramePr>
        <xdr:cNvPr id="9" name="Chart 8">
          <a:extLst>
            <a:ext uri="{FF2B5EF4-FFF2-40B4-BE49-F238E27FC236}">
              <a16:creationId xmlns:a16="http://schemas.microsoft.com/office/drawing/2014/main" id="{265E6C2D-6E54-FC77-974A-0DC23996F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209550</xdr:colOff>
      <xdr:row>9</xdr:row>
      <xdr:rowOff>28574</xdr:rowOff>
    </xdr:from>
    <xdr:to>
      <xdr:col>17</xdr:col>
      <xdr:colOff>142875</xdr:colOff>
      <xdr:row>25</xdr:row>
      <xdr:rowOff>171449</xdr:rowOff>
    </xdr:to>
    <xdr:graphicFrame macro="">
      <xdr:nvGraphicFramePr>
        <xdr:cNvPr id="4" name="Chart 3">
          <a:extLst>
            <a:ext uri="{FF2B5EF4-FFF2-40B4-BE49-F238E27FC236}">
              <a16:creationId xmlns:a16="http://schemas.microsoft.com/office/drawing/2014/main" id="{D64669C1-72C1-115F-10FF-4D30C5F9C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26</xdr:row>
      <xdr:rowOff>28575</xdr:rowOff>
    </xdr:from>
    <xdr:to>
      <xdr:col>18</xdr:col>
      <xdr:colOff>285750</xdr:colOff>
      <xdr:row>40</xdr:row>
      <xdr:rowOff>142874</xdr:rowOff>
    </xdr:to>
    <xdr:graphicFrame macro="">
      <xdr:nvGraphicFramePr>
        <xdr:cNvPr id="5" name="Chart 4">
          <a:extLst>
            <a:ext uri="{FF2B5EF4-FFF2-40B4-BE49-F238E27FC236}">
              <a16:creationId xmlns:a16="http://schemas.microsoft.com/office/drawing/2014/main" id="{A95E0401-A92A-407A-8E65-CE538A3D3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41</xdr:row>
      <xdr:rowOff>180975</xdr:rowOff>
    </xdr:from>
    <xdr:to>
      <xdr:col>18</xdr:col>
      <xdr:colOff>133350</xdr:colOff>
      <xdr:row>56</xdr:row>
      <xdr:rowOff>66675</xdr:rowOff>
    </xdr:to>
    <xdr:graphicFrame macro="">
      <xdr:nvGraphicFramePr>
        <xdr:cNvPr id="6" name="Chart 5">
          <a:extLst>
            <a:ext uri="{FF2B5EF4-FFF2-40B4-BE49-F238E27FC236}">
              <a16:creationId xmlns:a16="http://schemas.microsoft.com/office/drawing/2014/main" id="{81D98DF5-BE08-A99D-8DD8-1A4C5E174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45</xdr:row>
      <xdr:rowOff>95250</xdr:rowOff>
    </xdr:from>
    <xdr:to>
      <xdr:col>7</xdr:col>
      <xdr:colOff>180975</xdr:colOff>
      <xdr:row>58</xdr:row>
      <xdr:rowOff>171450</xdr:rowOff>
    </xdr:to>
    <xdr:graphicFrame macro="">
      <xdr:nvGraphicFramePr>
        <xdr:cNvPr id="8" name="Chart 7">
          <a:extLst>
            <a:ext uri="{FF2B5EF4-FFF2-40B4-BE49-F238E27FC236}">
              <a16:creationId xmlns:a16="http://schemas.microsoft.com/office/drawing/2014/main" id="{4A032375-492B-D010-4082-CBEAEC7AF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257175</xdr:colOff>
      <xdr:row>97</xdr:row>
      <xdr:rowOff>142875</xdr:rowOff>
    </xdr:from>
    <xdr:to>
      <xdr:col>5</xdr:col>
      <xdr:colOff>857250</xdr:colOff>
      <xdr:row>112</xdr:row>
      <xdr:rowOff>28575</xdr:rowOff>
    </xdr:to>
    <xdr:graphicFrame macro="">
      <xdr:nvGraphicFramePr>
        <xdr:cNvPr id="3" name="Chart 2">
          <a:extLst>
            <a:ext uri="{FF2B5EF4-FFF2-40B4-BE49-F238E27FC236}">
              <a16:creationId xmlns:a16="http://schemas.microsoft.com/office/drawing/2014/main" id="{1A097582-FF76-1E8E-09D8-0455031B4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409575</xdr:colOff>
      <xdr:row>98</xdr:row>
      <xdr:rowOff>9525</xdr:rowOff>
    </xdr:from>
    <xdr:to>
      <xdr:col>11</xdr:col>
      <xdr:colOff>1000125</xdr:colOff>
      <xdr:row>112</xdr:row>
      <xdr:rowOff>9525</xdr:rowOff>
    </xdr:to>
    <xdr:graphicFrame macro="">
      <xdr:nvGraphicFramePr>
        <xdr:cNvPr id="7" name="Chart 6">
          <a:extLst>
            <a:ext uri="{FF2B5EF4-FFF2-40B4-BE49-F238E27FC236}">
              <a16:creationId xmlns:a16="http://schemas.microsoft.com/office/drawing/2014/main" id="{27CA75E5-9995-879C-59F3-02CC50CB3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676275</xdr:colOff>
      <xdr:row>98</xdr:row>
      <xdr:rowOff>133350</xdr:rowOff>
    </xdr:from>
    <xdr:to>
      <xdr:col>17</xdr:col>
      <xdr:colOff>9525</xdr:colOff>
      <xdr:row>113</xdr:row>
      <xdr:rowOff>19050</xdr:rowOff>
    </xdr:to>
    <xdr:graphicFrame macro="">
      <xdr:nvGraphicFramePr>
        <xdr:cNvPr id="9" name="Chart 8">
          <a:extLst>
            <a:ext uri="{FF2B5EF4-FFF2-40B4-BE49-F238E27FC236}">
              <a16:creationId xmlns:a16="http://schemas.microsoft.com/office/drawing/2014/main" id="{B98820E0-DDD4-BE9E-DB30-CBEB55944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266700</xdr:colOff>
      <xdr:row>113</xdr:row>
      <xdr:rowOff>180975</xdr:rowOff>
    </xdr:from>
    <xdr:to>
      <xdr:col>5</xdr:col>
      <xdr:colOff>866775</xdr:colOff>
      <xdr:row>128</xdr:row>
      <xdr:rowOff>66675</xdr:rowOff>
    </xdr:to>
    <xdr:graphicFrame macro="">
      <xdr:nvGraphicFramePr>
        <xdr:cNvPr id="10" name="Chart 9">
          <a:extLst>
            <a:ext uri="{FF2B5EF4-FFF2-40B4-BE49-F238E27FC236}">
              <a16:creationId xmlns:a16="http://schemas.microsoft.com/office/drawing/2014/main" id="{075A2749-B081-2920-A886-3F6D452A4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209550</xdr:colOff>
      <xdr:row>113</xdr:row>
      <xdr:rowOff>114300</xdr:rowOff>
    </xdr:from>
    <xdr:to>
      <xdr:col>10</xdr:col>
      <xdr:colOff>1066800</xdr:colOff>
      <xdr:row>129</xdr:row>
      <xdr:rowOff>57150</xdr:rowOff>
    </xdr:to>
    <xdr:graphicFrame macro="">
      <xdr:nvGraphicFramePr>
        <xdr:cNvPr id="12" name="Chart 11">
          <a:extLst>
            <a:ext uri="{FF2B5EF4-FFF2-40B4-BE49-F238E27FC236}">
              <a16:creationId xmlns:a16="http://schemas.microsoft.com/office/drawing/2014/main" id="{7B9942E1-06DF-2806-549D-39C892A32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616323</xdr:colOff>
      <xdr:row>114</xdr:row>
      <xdr:rowOff>134471</xdr:rowOff>
    </xdr:from>
    <xdr:to>
      <xdr:col>16</xdr:col>
      <xdr:colOff>437030</xdr:colOff>
      <xdr:row>130</xdr:row>
      <xdr:rowOff>11206</xdr:rowOff>
    </xdr:to>
    <xdr:graphicFrame macro="">
      <xdr:nvGraphicFramePr>
        <xdr:cNvPr id="2" name="Chart 1">
          <a:extLst>
            <a:ext uri="{FF2B5EF4-FFF2-40B4-BE49-F238E27FC236}">
              <a16:creationId xmlns:a16="http://schemas.microsoft.com/office/drawing/2014/main" id="{80584EB0-6827-8B33-1E7C-4300823D8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419100</xdr:colOff>
      <xdr:row>141</xdr:row>
      <xdr:rowOff>19050</xdr:rowOff>
    </xdr:from>
    <xdr:to>
      <xdr:col>14</xdr:col>
      <xdr:colOff>1114425</xdr:colOff>
      <xdr:row>155</xdr:row>
      <xdr:rowOff>95250</xdr:rowOff>
    </xdr:to>
    <xdr:graphicFrame macro="">
      <xdr:nvGraphicFramePr>
        <xdr:cNvPr id="11" name="Chart 10">
          <a:extLst>
            <a:ext uri="{FF2B5EF4-FFF2-40B4-BE49-F238E27FC236}">
              <a16:creationId xmlns:a16="http://schemas.microsoft.com/office/drawing/2014/main" id="{E13D20B2-9611-35D8-6457-947893897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c2016\Desktop\borsa\DCF\Companies\specifics\AAPL\5.5.24\histimpl.xls" TargetMode="External"/><Relationship Id="rId1" Type="http://schemas.openxmlformats.org/officeDocument/2006/relationships/externalLinkPath" Target="/Users/cc2016/Desktop/borsa/DCF/Companies/specifics/AAPL/5.5.24/histi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istorical Impl Premiums"/>
      <sheetName val="Implied Premiums"/>
      <sheetName val="implpremvsriskfree"/>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ow r="7">
          <cell r="N7" t="str">
            <v>Implied Premium (DDM)</v>
          </cell>
        </row>
        <row r="8">
          <cell r="A8">
            <v>1960</v>
          </cell>
        </row>
        <row r="9">
          <cell r="A9">
            <v>1961</v>
          </cell>
          <cell r="Q9">
            <v>2.92E-2</v>
          </cell>
        </row>
        <row r="10">
          <cell r="A10">
            <v>1962</v>
          </cell>
          <cell r="Q10">
            <v>3.56E-2</v>
          </cell>
        </row>
        <row r="11">
          <cell r="A11">
            <v>1963</v>
          </cell>
          <cell r="Q11">
            <v>3.3799999999999997E-2</v>
          </cell>
        </row>
        <row r="12">
          <cell r="A12">
            <v>1964</v>
          </cell>
          <cell r="Q12">
            <v>3.3099999999999997E-2</v>
          </cell>
        </row>
        <row r="13">
          <cell r="A13">
            <v>1965</v>
          </cell>
          <cell r="Q13">
            <v>3.32E-2</v>
          </cell>
        </row>
        <row r="14">
          <cell r="A14">
            <v>1966</v>
          </cell>
          <cell r="Q14">
            <v>3.6799999999999999E-2</v>
          </cell>
        </row>
        <row r="15">
          <cell r="A15">
            <v>1967</v>
          </cell>
          <cell r="Q15">
            <v>3.2000000000000001E-2</v>
          </cell>
        </row>
        <row r="16">
          <cell r="A16">
            <v>1968</v>
          </cell>
          <cell r="Q16">
            <v>0.03</v>
          </cell>
        </row>
        <row r="17">
          <cell r="A17">
            <v>1969</v>
          </cell>
          <cell r="Q17">
            <v>3.7400000000000003E-2</v>
          </cell>
        </row>
        <row r="18">
          <cell r="A18">
            <v>1970</v>
          </cell>
          <cell r="Q18">
            <v>3.4099999999999998E-2</v>
          </cell>
        </row>
        <row r="19">
          <cell r="A19">
            <v>1971</v>
          </cell>
          <cell r="Q19">
            <v>3.09E-2</v>
          </cell>
        </row>
        <row r="20">
          <cell r="A20">
            <v>1972</v>
          </cell>
          <cell r="Q20">
            <v>2.7199999999999998E-2</v>
          </cell>
        </row>
        <row r="21">
          <cell r="A21">
            <v>1973</v>
          </cell>
          <cell r="Q21">
            <v>4.2999999999999997E-2</v>
          </cell>
        </row>
        <row r="22">
          <cell r="A22">
            <v>1974</v>
          </cell>
          <cell r="Q22">
            <v>5.5899999999999998E-2</v>
          </cell>
        </row>
        <row r="23">
          <cell r="A23">
            <v>1975</v>
          </cell>
          <cell r="Q23">
            <v>4.1300000000000003E-2</v>
          </cell>
        </row>
        <row r="24">
          <cell r="A24">
            <v>1976</v>
          </cell>
          <cell r="Q24">
            <v>4.5499999999999999E-2</v>
          </cell>
        </row>
        <row r="25">
          <cell r="A25">
            <v>1977</v>
          </cell>
          <cell r="Q25">
            <v>5.9200000000000003E-2</v>
          </cell>
        </row>
        <row r="26">
          <cell r="A26">
            <v>1978</v>
          </cell>
          <cell r="Q26">
            <v>5.7200000000000001E-2</v>
          </cell>
        </row>
        <row r="27">
          <cell r="A27">
            <v>1979</v>
          </cell>
          <cell r="Q27">
            <v>6.4500000000000002E-2</v>
          </cell>
        </row>
        <row r="28">
          <cell r="A28">
            <v>1980</v>
          </cell>
          <cell r="Q28">
            <v>5.0299999999999997E-2</v>
          </cell>
        </row>
        <row r="29">
          <cell r="A29">
            <v>1981</v>
          </cell>
          <cell r="Q29">
            <v>5.7299999999999997E-2</v>
          </cell>
        </row>
        <row r="30">
          <cell r="A30">
            <v>1982</v>
          </cell>
          <cell r="Q30">
            <v>4.9000000000000002E-2</v>
          </cell>
        </row>
        <row r="31">
          <cell r="A31">
            <v>1983</v>
          </cell>
          <cell r="Q31">
            <v>4.3099999999999999E-2</v>
          </cell>
        </row>
        <row r="32">
          <cell r="A32">
            <v>1984</v>
          </cell>
          <cell r="Q32">
            <v>5.11E-2</v>
          </cell>
        </row>
        <row r="33">
          <cell r="A33">
            <v>1985</v>
          </cell>
          <cell r="Q33">
            <v>3.8399999999999997E-2</v>
          </cell>
        </row>
        <row r="34">
          <cell r="A34">
            <v>1986</v>
          </cell>
          <cell r="Q34">
            <v>3.5799999999999998E-2</v>
          </cell>
        </row>
        <row r="35">
          <cell r="A35">
            <v>1987</v>
          </cell>
          <cell r="Q35">
            <v>3.9899999999999998E-2</v>
          </cell>
        </row>
        <row r="36">
          <cell r="A36">
            <v>1988</v>
          </cell>
          <cell r="Q36">
            <v>3.7699999999999997E-2</v>
          </cell>
        </row>
        <row r="37">
          <cell r="A37">
            <v>1989</v>
          </cell>
          <cell r="Q37">
            <v>3.5099999999999999E-2</v>
          </cell>
        </row>
        <row r="38">
          <cell r="A38">
            <v>1990</v>
          </cell>
          <cell r="Q38">
            <v>3.8899999999999997E-2</v>
          </cell>
        </row>
        <row r="39">
          <cell r="A39">
            <v>1991</v>
          </cell>
          <cell r="Q39">
            <v>3.4799999999999998E-2</v>
          </cell>
        </row>
        <row r="40">
          <cell r="A40">
            <v>1992</v>
          </cell>
          <cell r="Q40">
            <v>3.5499999999999997E-2</v>
          </cell>
        </row>
        <row r="41">
          <cell r="A41">
            <v>1993</v>
          </cell>
          <cell r="Q41">
            <v>3.1699999999999999E-2</v>
          </cell>
        </row>
        <row r="42">
          <cell r="A42">
            <v>1994</v>
          </cell>
          <cell r="Q42">
            <v>3.5499999999999997E-2</v>
          </cell>
        </row>
        <row r="43">
          <cell r="A43">
            <v>1995</v>
          </cell>
          <cell r="Q43">
            <v>3.2899999999999999E-2</v>
          </cell>
        </row>
        <row r="44">
          <cell r="A44">
            <v>1996</v>
          </cell>
          <cell r="Q44">
            <v>3.2000000000000001E-2</v>
          </cell>
        </row>
        <row r="45">
          <cell r="A45">
            <v>1997</v>
          </cell>
          <cell r="Q45">
            <v>2.7300000000000001E-2</v>
          </cell>
        </row>
        <row r="46">
          <cell r="A46">
            <v>1998</v>
          </cell>
          <cell r="Q46">
            <v>2.2599999999999999E-2</v>
          </cell>
        </row>
        <row r="47">
          <cell r="A47">
            <v>1999</v>
          </cell>
          <cell r="Q47">
            <v>2.0500000000000001E-2</v>
          </cell>
        </row>
        <row r="48">
          <cell r="A48">
            <v>2000</v>
          </cell>
          <cell r="Q48">
            <v>2.87E-2</v>
          </cell>
        </row>
        <row r="49">
          <cell r="A49">
            <v>2001</v>
          </cell>
          <cell r="Q49">
            <v>3.6200000000000003E-2</v>
          </cell>
        </row>
        <row r="50">
          <cell r="A50">
            <v>2002</v>
          </cell>
          <cell r="Q50">
            <v>4.1000000000000002E-2</v>
          </cell>
        </row>
        <row r="51">
          <cell r="A51">
            <v>2003</v>
          </cell>
          <cell r="Q51">
            <v>3.6900000000000002E-2</v>
          </cell>
        </row>
        <row r="52">
          <cell r="A52">
            <v>2004</v>
          </cell>
          <cell r="Q52">
            <v>3.6499999999999998E-2</v>
          </cell>
        </row>
        <row r="53">
          <cell r="A53">
            <v>2005</v>
          </cell>
          <cell r="Q53">
            <v>4.0800000000000003E-2</v>
          </cell>
        </row>
        <row r="54">
          <cell r="A54">
            <v>2006</v>
          </cell>
          <cell r="Q54">
            <v>4.1599999999999998E-2</v>
          </cell>
        </row>
        <row r="55">
          <cell r="A55">
            <v>2007</v>
          </cell>
          <cell r="Q55">
            <v>4.3700000000000003E-2</v>
          </cell>
        </row>
        <row r="56">
          <cell r="A56">
            <v>2008</v>
          </cell>
          <cell r="Q56">
            <v>6.4299999999999996E-2</v>
          </cell>
        </row>
        <row r="57">
          <cell r="A57">
            <v>2009</v>
          </cell>
          <cell r="Q57">
            <v>4.36E-2</v>
          </cell>
        </row>
        <row r="58">
          <cell r="A58">
            <v>2010</v>
          </cell>
          <cell r="Q58">
            <v>5.1999999999999998E-2</v>
          </cell>
        </row>
        <row r="59">
          <cell r="A59">
            <v>2011</v>
          </cell>
          <cell r="Q59">
            <v>6.0100000000000001E-2</v>
          </cell>
        </row>
        <row r="60">
          <cell r="A60">
            <v>2012</v>
          </cell>
          <cell r="Q60">
            <v>5.7799999999999997E-2</v>
          </cell>
        </row>
        <row r="61">
          <cell r="A61">
            <v>2013</v>
          </cell>
          <cell r="Q61">
            <v>4.9599999999999998E-2</v>
          </cell>
        </row>
        <row r="62">
          <cell r="A62">
            <v>2014</v>
          </cell>
          <cell r="Q62">
            <v>5.7799999999999997E-2</v>
          </cell>
        </row>
        <row r="63">
          <cell r="A63">
            <v>2015</v>
          </cell>
          <cell r="Q63">
            <v>6.1199999999999997E-2</v>
          </cell>
        </row>
        <row r="64">
          <cell r="A64">
            <v>2016</v>
          </cell>
          <cell r="Q64">
            <v>5.6899999999999999E-2</v>
          </cell>
        </row>
        <row r="65">
          <cell r="A65">
            <v>2017</v>
          </cell>
          <cell r="Q65">
            <v>5.0799999999999998E-2</v>
          </cell>
        </row>
        <row r="66">
          <cell r="A66">
            <v>2018</v>
          </cell>
          <cell r="Q66">
            <v>5.96E-2</v>
          </cell>
        </row>
        <row r="67">
          <cell r="A67">
            <v>2019</v>
          </cell>
          <cell r="Q67">
            <v>5.1999999999999998E-2</v>
          </cell>
        </row>
        <row r="68">
          <cell r="A68">
            <v>2020</v>
          </cell>
          <cell r="Q68">
            <v>4.7199999999999999E-2</v>
          </cell>
        </row>
        <row r="69">
          <cell r="A69">
            <v>2021</v>
          </cell>
          <cell r="Q69">
            <v>4.24E-2</v>
          </cell>
        </row>
        <row r="70">
          <cell r="A70">
            <v>2022</v>
          </cell>
          <cell r="Q70">
            <v>5.9400000000000001E-2</v>
          </cell>
        </row>
        <row r="71">
          <cell r="A71">
            <v>2023</v>
          </cell>
          <cell r="Q71">
            <v>4.5999999999999999E-2</v>
          </cell>
        </row>
      </sheetData>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E6BE91-19AB-4D4D-BDB8-B0E862FC73B4}" name="Table13" displayName="Table13" ref="B155:R183" totalsRowShown="0" headerRowDxfId="37" dataDxfId="36" tableBorderDxfId="35">
  <autoFilter ref="B155:R183" xr:uid="{EAE6BE91-19AB-4D4D-BDB8-B0E862FC73B4}"/>
  <tableColumns count="17">
    <tableColumn id="1" xr3:uid="{09B18F5D-6948-4D36-9E2F-6F064A3ACEE0}" name="year" dataDxfId="34"/>
    <tableColumn id="2" xr3:uid="{F4120943-A2DB-4B91-BBC6-10122C270CE9}" name="revenue" dataDxfId="33"/>
    <tableColumn id="3" xr3:uid="{F7C3848D-F6B9-46C3-9122-67EE7C7D61DC}" name="capital ex" dataDxfId="32"/>
    <tableColumn id="4" xr3:uid="{117453FF-1F5C-4381-8570-A12249A79F3F}" name="depr&amp;amort" dataDxfId="31"/>
    <tableColumn id="5" xr3:uid="{137FF68B-CB3B-4F71-BC51-6615F959F58C}" name="net cap ex" dataDxfId="30">
      <calculatedColumnFormula>Table13[[#This Row],[capital ex]]-Table13[[#This Row],[depr&amp;amort]]</calculatedColumnFormula>
    </tableColumn>
    <tableColumn id="6" xr3:uid="{17579494-35CD-444B-A975-22B6475EAD56}" name="account rec" dataDxfId="29"/>
    <tableColumn id="7" xr3:uid="{28C40EDB-EDE2-44C9-A3D2-BA6FC3AD9972}" name="inventories" dataDxfId="28"/>
    <tableColumn id="8" xr3:uid="{8E5BB497-A55A-435B-8B2F-CE78035E39AB}" name="prepaid ex" dataDxfId="27"/>
    <tableColumn id="9" xr3:uid="{FAB50CA5-DB3E-4D80-B942-76CEE98FFF92}" name="trade acc payable " dataDxfId="26"/>
    <tableColumn id="10" xr3:uid="{DF5E4A10-FBB6-4DF7-8930-D8C2ECB2492A}" name="income taxes" dataDxfId="25"/>
    <tableColumn id="11" xr3:uid="{71F42D66-1F95-4E20-9359-8A820668E4BE}" name="pension" dataDxfId="24"/>
    <tableColumn id="12" xr3:uid="{23B616A6-4BD1-4E95-888C-FF3965EDE083}" name="other" dataDxfId="23"/>
    <tableColumn id="13" xr3:uid="{460DE3CF-E8FB-470A-B7FC-7401094FB9E5}" name="chg in non cash wc" dataDxfId="22"/>
    <tableColumn id="14" xr3:uid="{4B1F1BF8-9366-481E-945F-C381F7339294}" name="chg wc % rev" dataDxfId="21" dataCellStyle="Percent">
      <calculatedColumnFormula>Table13[[#This Row],[chg in non cash wc]]/Table13[[#This Row],[revenue]]</calculatedColumnFormula>
    </tableColumn>
    <tableColumn id="15" xr3:uid="{1E089999-682E-495F-9B46-80B147CE0FFA}" name="reinvestment" dataDxfId="20">
      <calculatedColumnFormula>Table13[[#This Row],[net cap ex]]+Table13[[#This Row],[chg in non cash wc]]</calculatedColumnFormula>
    </tableColumn>
    <tableColumn id="16" xr3:uid="{BD5BA7FF-9511-4DCF-909D-FA9FD9BCE734}" name="operating inc" dataDxfId="19"/>
    <tableColumn id="17" xr3:uid="{50CF3E61-F9C8-4ACD-9100-E655ED715162}" name="re rate" dataDxfId="18">
      <calculatedColumnFormula>Table13[[#This Row],[reinvestment]]/Table13[[#This Row],[operating inc]]</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C8F635-D490-4EE3-BF80-7E927286E145}" name="Table14" displayName="Table14" ref="A1:O19" totalsRowShown="0" headerRowDxfId="54" dataDxfId="53">
  <autoFilter ref="A1:O19" xr:uid="{9EEE6048-3FB9-4978-BB1D-42C21557146D}"/>
  <tableColumns count="15">
    <tableColumn id="1" xr3:uid="{508E2B8E-3461-43EF-8A98-1B2FC5406BF7}" name="Column1" dataDxfId="52"/>
    <tableColumn id="2" xr3:uid="{3B9FD136-45D6-437B-95A5-6DF9C630D747}" name="ticker" dataDxfId="51"/>
    <tableColumn id="3" xr3:uid="{9A5D5ACA-CE11-4D29-AD70-EAAD38CD815D}" name="pe ratio" dataDxfId="50"/>
    <tableColumn id="4" xr3:uid="{11719D30-DBB8-42A5-8C81-18A750BDFCFD}" name="beta" dataDxfId="49"/>
    <tableColumn id="5" xr3:uid="{F629596E-9246-4828-B14C-9B0836B43418}" name="year growth" dataDxfId="48"/>
    <tableColumn id="6" xr3:uid="{2B9291A1-258B-4613-B32F-17D83EA06CB1}" name="avg 3y growth" dataDxfId="47"/>
    <tableColumn id="7" xr3:uid="{CE0755CC-B93D-4DF2-BA24-F858A7F6B55D}" name="payout ratio" dataDxfId="46"/>
    <tableColumn id="8" xr3:uid="{9BD4EC61-1DA9-445A-89E1-258FEA4037A1}" name="analysts recommendation" dataDxfId="45"/>
    <tableColumn id="9" xr3:uid="{FF69D57D-1A0D-4BEB-A043-A1765965B0AF}" name="price" dataDxfId="44"/>
    <tableColumn id="10" xr3:uid="{1595923C-6FC4-4B3E-AD14-AC7043FEAFD4}" name="pb ratio" dataDxfId="43"/>
    <tableColumn id="11" xr3:uid="{86A87484-F480-4F93-8117-57FAD4D68DEB}" name="ROE" dataDxfId="42" dataCellStyle="Percent"/>
    <tableColumn id="12" xr3:uid="{4F6C538D-936D-408F-8A44-101FAFB59F1E}" name="ev to ebitda" dataDxfId="41"/>
    <tableColumn id="13" xr3:uid="{2A6BF884-1369-4D74-AA23-A3012DCE81AF}" name="avg ev to ebitda" dataDxfId="40"/>
    <tableColumn id="14" xr3:uid="{E4620EDA-F73B-4045-9174-CCD8A35A72FB}" name="industry" dataDxfId="39"/>
    <tableColumn id="15" xr3:uid="{96FA91A0-91A5-4388-9E70-9E740F04DF10}" name="sector" dataDxfId="3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CC9D50-29FA-44AC-A5C4-7FCD789FA86E}" name="Table1" displayName="Table1" ref="B63:P91" totalsRowShown="0" headerRowDxfId="17" dataDxfId="16" tableBorderDxfId="15">
  <autoFilter ref="B63:P91" xr:uid="{65CC9D50-29FA-44AC-A5C4-7FCD789FA86E}"/>
  <tableColumns count="15">
    <tableColumn id="1" xr3:uid="{FADB2A63-C5C7-4C72-9823-08093DBCCB59}" name="year" dataDxfId="14"/>
    <tableColumn id="2" xr3:uid="{97806C2E-FD49-4F3D-850C-1784AE3D290E}" name="revenue" dataDxfId="13"/>
    <tableColumn id="3" xr3:uid="{CD28E2BF-CCFC-4654-935D-D63613BAD72D}" name="capital ex" dataDxfId="12"/>
    <tableColumn id="4" xr3:uid="{9CE080A1-5F44-492B-B67C-8951EAC95EFB}" name="depr&amp;amort" dataDxfId="11"/>
    <tableColumn id="5" xr3:uid="{BB3CBEAC-CA2D-4088-B43B-13FBF399577C}" name="net cap ex" dataDxfId="10">
      <calculatedColumnFormula>Table1[[#This Row],[capital ex]]-Table1[[#This Row],[depr&amp;amort]]</calculatedColumnFormula>
    </tableColumn>
    <tableColumn id="6" xr3:uid="{3134BC3E-D798-4FA0-BDDF-4323747AA64C}" name="account rec" dataDxfId="9"/>
    <tableColumn id="7" xr3:uid="{FC5144F2-9CFA-47B9-97A4-B779AAC022A9}" name="inventories" dataDxfId="8"/>
    <tableColumn id="8" xr3:uid="{5110AEDF-5FC8-4C2F-92E5-AF1F6D941B02}" name="prepaid ex" dataDxfId="7"/>
    <tableColumn id="9" xr3:uid="{0A60B809-B08C-4D2C-AB80-8B2F88830A28}" name="trade acc payable " dataDxfId="6"/>
    <tableColumn id="10" xr3:uid="{4D5CAA27-CB50-4D0B-968E-44E5896C9473}" name="income taxes" dataDxfId="5"/>
    <tableColumn id="11" xr3:uid="{D94961A3-C46E-481D-B2BB-A4C035301A81}" name="pension" dataDxfId="4"/>
    <tableColumn id="12" xr3:uid="{17339945-537C-4AFC-BF35-1A5695283F92}" name="other" dataDxfId="3"/>
    <tableColumn id="13" xr3:uid="{35139DF1-A79C-48D5-BE97-CDEE40A2566F}" name="chg in non cash wc" dataDxfId="2"/>
    <tableColumn id="14" xr3:uid="{6721B945-B680-4388-99CC-9C86B3D11F05}" name="chg wc % rev" dataDxfId="1" dataCellStyle="Percent">
      <calculatedColumnFormula>Table1[[#This Row],[chg in non cash wc]]/Table1[[#This Row],[revenue]]</calculatedColumnFormula>
    </tableColumn>
    <tableColumn id="15" xr3:uid="{7B966ADA-FC39-433D-B074-69EDF635595D}" name="reinvestment" dataDxfId="0">
      <calculatedColumnFormula>Table1[[#This Row],[net cap ex]]-Table1[[#This Row],[chg in non cash wc]]</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3"/>
  <sheetViews>
    <sheetView showGridLines="0" topLeftCell="A130" zoomScale="70" zoomScaleNormal="70" workbookViewId="0">
      <selection activeCell="AC197" sqref="AC197"/>
    </sheetView>
  </sheetViews>
  <sheetFormatPr defaultRowHeight="26.25" x14ac:dyDescent="0.4"/>
  <cols>
    <col min="1" max="16384" width="9.140625" style="2"/>
  </cols>
  <sheetData>
    <row r="1" spans="11:11" x14ac:dyDescent="0.4">
      <c r="K1" s="3" t="s">
        <v>0</v>
      </c>
    </row>
    <row r="19" spans="1:2" x14ac:dyDescent="0.4">
      <c r="A19" s="3" t="s">
        <v>1</v>
      </c>
    </row>
    <row r="20" spans="1:2" x14ac:dyDescent="0.4">
      <c r="A20" s="4" t="s">
        <v>2</v>
      </c>
    </row>
    <row r="21" spans="1:2" x14ac:dyDescent="0.4">
      <c r="A21" s="4" t="s">
        <v>3</v>
      </c>
    </row>
    <row r="22" spans="1:2" x14ac:dyDescent="0.4">
      <c r="A22" s="4" t="s">
        <v>4</v>
      </c>
    </row>
    <row r="23" spans="1:2" x14ac:dyDescent="0.4">
      <c r="A23" s="1" t="s">
        <v>5</v>
      </c>
    </row>
    <row r="24" spans="1:2" x14ac:dyDescent="0.4">
      <c r="A24" s="1"/>
      <c r="B24" s="5" t="s">
        <v>6</v>
      </c>
    </row>
    <row r="25" spans="1:2" x14ac:dyDescent="0.4">
      <c r="A25" s="1"/>
      <c r="B25" s="5" t="s">
        <v>7</v>
      </c>
    </row>
    <row r="26" spans="1:2" x14ac:dyDescent="0.4">
      <c r="A26" s="1"/>
      <c r="B26" s="5" t="s">
        <v>8</v>
      </c>
    </row>
    <row r="27" spans="1:2" x14ac:dyDescent="0.4">
      <c r="B27" s="5" t="s">
        <v>9</v>
      </c>
    </row>
    <row r="28" spans="1:2" x14ac:dyDescent="0.4">
      <c r="B28" s="5" t="s">
        <v>10</v>
      </c>
    </row>
    <row r="29" spans="1:2" x14ac:dyDescent="0.4">
      <c r="B29" s="5" t="s">
        <v>11</v>
      </c>
    </row>
    <row r="30" spans="1:2" x14ac:dyDescent="0.4">
      <c r="B30" s="4" t="s">
        <v>12</v>
      </c>
    </row>
    <row r="37" spans="1:1" x14ac:dyDescent="0.4">
      <c r="A37" s="6" t="s">
        <v>13</v>
      </c>
    </row>
    <row r="101" spans="4:4" x14ac:dyDescent="0.4">
      <c r="D101" s="2" t="s">
        <v>127</v>
      </c>
    </row>
    <row r="123" spans="3:3" x14ac:dyDescent="0.4">
      <c r="C123" s="2" t="s">
        <v>128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A5E70-2431-4B6B-8CE3-7075C9C7C9E2}">
  <dimension ref="A2:Y320"/>
  <sheetViews>
    <sheetView showGridLines="0" topLeftCell="A55" zoomScale="85" zoomScaleNormal="85" workbookViewId="0">
      <selection activeCell="D46" sqref="D46"/>
    </sheetView>
  </sheetViews>
  <sheetFormatPr defaultRowHeight="15" x14ac:dyDescent="0.25"/>
  <cols>
    <col min="1" max="1" width="9.140625" style="7"/>
    <col min="2" max="2" width="12.28515625" style="7" customWidth="1"/>
    <col min="3" max="3" width="10.140625" style="7" customWidth="1"/>
    <col min="4" max="4" width="12.28515625" style="7" bestFit="1" customWidth="1"/>
    <col min="5" max="5" width="10.140625" style="7" bestFit="1" customWidth="1"/>
    <col min="6" max="6" width="10" style="7" bestFit="1" customWidth="1"/>
    <col min="7" max="16384" width="9.140625" style="7"/>
  </cols>
  <sheetData>
    <row r="2" spans="2:16" x14ac:dyDescent="0.25">
      <c r="B2" s="7" t="s">
        <v>14</v>
      </c>
      <c r="C2" s="7" t="s">
        <v>216</v>
      </c>
    </row>
    <row r="3" spans="2:16" x14ac:dyDescent="0.25">
      <c r="B3" s="7">
        <v>2011</v>
      </c>
      <c r="C3" s="11">
        <v>31</v>
      </c>
    </row>
    <row r="4" spans="2:16" x14ac:dyDescent="0.25">
      <c r="B4" s="7">
        <v>2012</v>
      </c>
      <c r="C4" s="11">
        <v>29</v>
      </c>
      <c r="O4" s="207"/>
      <c r="P4" s="207"/>
    </row>
    <row r="5" spans="2:16" x14ac:dyDescent="0.25">
      <c r="B5" s="7">
        <v>2013</v>
      </c>
      <c r="C5" s="11">
        <v>21</v>
      </c>
      <c r="O5" s="207"/>
      <c r="P5" s="207"/>
    </row>
    <row r="6" spans="2:16" x14ac:dyDescent="0.25">
      <c r="B6" s="7">
        <v>2014</v>
      </c>
      <c r="C6" s="11">
        <v>13</v>
      </c>
      <c r="O6" s="207"/>
      <c r="P6" s="207"/>
    </row>
    <row r="7" spans="2:16" x14ac:dyDescent="0.25">
      <c r="B7" s="7">
        <v>2015</v>
      </c>
      <c r="C7" s="11">
        <v>7</v>
      </c>
      <c r="O7" s="207"/>
      <c r="P7" s="207"/>
    </row>
    <row r="8" spans="2:16" x14ac:dyDescent="0.25">
      <c r="B8" s="7">
        <v>2016</v>
      </c>
      <c r="C8" s="11">
        <v>15</v>
      </c>
      <c r="O8" s="207"/>
      <c r="P8" s="207"/>
    </row>
    <row r="9" spans="2:16" x14ac:dyDescent="0.25">
      <c r="B9" s="7">
        <v>2017</v>
      </c>
      <c r="C9" s="11">
        <v>13</v>
      </c>
      <c r="O9" s="207"/>
      <c r="P9" s="207"/>
    </row>
    <row r="10" spans="2:16" x14ac:dyDescent="0.25">
      <c r="B10" s="7">
        <v>2018</v>
      </c>
      <c r="C10" s="11">
        <v>27</v>
      </c>
      <c r="O10" s="207"/>
      <c r="P10" s="207"/>
    </row>
    <row r="11" spans="2:16" x14ac:dyDescent="0.25">
      <c r="B11" s="7">
        <v>2019</v>
      </c>
      <c r="C11" s="11">
        <v>23</v>
      </c>
      <c r="O11" s="207"/>
      <c r="P11" s="207"/>
    </row>
    <row r="12" spans="2:16" x14ac:dyDescent="0.25">
      <c r="B12" s="7">
        <v>2020</v>
      </c>
      <c r="C12" s="11">
        <v>30</v>
      </c>
      <c r="O12" s="207"/>
      <c r="P12" s="207"/>
    </row>
    <row r="13" spans="2:16" x14ac:dyDescent="0.25">
      <c r="B13" s="7">
        <v>2021</v>
      </c>
      <c r="C13" s="11">
        <v>36</v>
      </c>
      <c r="O13" s="207"/>
      <c r="P13" s="207"/>
    </row>
    <row r="14" spans="2:16" x14ac:dyDescent="0.25">
      <c r="B14" s="7">
        <v>2022</v>
      </c>
      <c r="C14" s="11">
        <v>54</v>
      </c>
      <c r="O14" s="207"/>
      <c r="P14" s="207"/>
    </row>
    <row r="15" spans="2:16" x14ac:dyDescent="0.25">
      <c r="B15" s="7">
        <v>2023</v>
      </c>
      <c r="C15" s="11">
        <v>63</v>
      </c>
      <c r="O15" s="207"/>
      <c r="P15" s="207"/>
    </row>
    <row r="16" spans="2:16" x14ac:dyDescent="0.25">
      <c r="O16" s="207"/>
      <c r="P16" s="207"/>
    </row>
    <row r="21" spans="1:24" x14ac:dyDescent="0.25">
      <c r="B21" s="7" t="s">
        <v>217</v>
      </c>
      <c r="D21" s="11">
        <v>45.859000000000002</v>
      </c>
      <c r="E21" s="7" t="s">
        <v>122</v>
      </c>
    </row>
    <row r="22" spans="1:24" x14ac:dyDescent="0.25">
      <c r="B22" s="7" t="s">
        <v>218</v>
      </c>
      <c r="D22" s="7">
        <v>4.92</v>
      </c>
      <c r="E22" s="7" t="s">
        <v>122</v>
      </c>
    </row>
    <row r="24" spans="1:24" x14ac:dyDescent="0.25">
      <c r="B24" s="7" t="s">
        <v>219</v>
      </c>
      <c r="D24" s="11">
        <f>D21/D22</f>
        <v>9.3209349593495947</v>
      </c>
    </row>
    <row r="26" spans="1:24" x14ac:dyDescent="0.25">
      <c r="B26" s="7" t="s">
        <v>220</v>
      </c>
      <c r="F26" s="208">
        <v>413.36799999999999</v>
      </c>
      <c r="G26" s="7" t="s">
        <v>122</v>
      </c>
    </row>
    <row r="28" spans="1:24" x14ac:dyDescent="0.25">
      <c r="B28" s="7" t="s">
        <v>221</v>
      </c>
      <c r="F28" s="11">
        <f>F26/D22</f>
        <v>84.017886178861787</v>
      </c>
      <c r="G28" s="7" t="s">
        <v>122</v>
      </c>
    </row>
    <row r="32" spans="1:24" x14ac:dyDescent="0.25">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row>
    <row r="33" spans="2:6" x14ac:dyDescent="0.25">
      <c r="B33" s="15" t="s">
        <v>222</v>
      </c>
    </row>
    <row r="34" spans="2:6" x14ac:dyDescent="0.25">
      <c r="B34" s="7" t="s">
        <v>223</v>
      </c>
    </row>
    <row r="36" spans="2:6" x14ac:dyDescent="0.25">
      <c r="B36" s="7" t="s">
        <v>224</v>
      </c>
      <c r="D36" s="209">
        <f>45859/99704</f>
        <v>0.45995145631067963</v>
      </c>
    </row>
    <row r="38" spans="2:6" x14ac:dyDescent="0.25">
      <c r="B38" s="7" t="s">
        <v>227</v>
      </c>
      <c r="D38" s="209">
        <f>45859/(99704+47928+25109)</f>
        <v>0.26547837513965994</v>
      </c>
    </row>
    <row r="39" spans="2:6" x14ac:dyDescent="0.25">
      <c r="D39" s="209"/>
    </row>
    <row r="40" spans="2:6" x14ac:dyDescent="0.25">
      <c r="B40" s="7" t="s">
        <v>226</v>
      </c>
      <c r="D40" s="210">
        <f>99704+47928+25109</f>
        <v>172741</v>
      </c>
      <c r="E40" s="7" t="s">
        <v>124</v>
      </c>
    </row>
    <row r="42" spans="2:6" x14ac:dyDescent="0.25">
      <c r="B42" s="7" t="s">
        <v>225</v>
      </c>
      <c r="E42" s="209">
        <f>314261/99704</f>
        <v>3.1519397416352404</v>
      </c>
    </row>
    <row r="44" spans="2:6" x14ac:dyDescent="0.25">
      <c r="B44" s="7" t="s">
        <v>228</v>
      </c>
      <c r="E44" s="209">
        <f>314261/D40</f>
        <v>1.8192612060830955</v>
      </c>
    </row>
    <row r="45" spans="2:6" x14ac:dyDescent="0.25">
      <c r="E45" s="209"/>
    </row>
    <row r="46" spans="2:6" x14ac:dyDescent="0.25">
      <c r="B46" s="7" t="s">
        <v>259</v>
      </c>
      <c r="E46" s="209">
        <f>586109/D40</f>
        <v>3.3929929779264909</v>
      </c>
    </row>
    <row r="48" spans="2:6" x14ac:dyDescent="0.25">
      <c r="B48" s="7" t="s">
        <v>229</v>
      </c>
      <c r="F48" s="13">
        <f>47928/D40</f>
        <v>0.27745584429868997</v>
      </c>
    </row>
    <row r="77" spans="1:24" x14ac:dyDescent="0.25">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row>
    <row r="78" spans="1:24" x14ac:dyDescent="0.25">
      <c r="B78" s="16" t="s">
        <v>218</v>
      </c>
      <c r="C78" s="16"/>
    </row>
    <row r="79" spans="1:24" x14ac:dyDescent="0.25">
      <c r="B79" s="7" t="s">
        <v>14</v>
      </c>
      <c r="C79" s="261" t="s">
        <v>230</v>
      </c>
      <c r="D79" s="261"/>
      <c r="E79" s="261"/>
    </row>
    <row r="80" spans="1:24" x14ac:dyDescent="0.25">
      <c r="B80" s="7">
        <v>2009</v>
      </c>
      <c r="C80" s="7">
        <v>5</v>
      </c>
    </row>
    <row r="81" spans="2:3" x14ac:dyDescent="0.25">
      <c r="B81" s="7">
        <v>2010</v>
      </c>
      <c r="C81" s="7">
        <v>5</v>
      </c>
    </row>
    <row r="82" spans="2:3" x14ac:dyDescent="0.25">
      <c r="B82" s="7">
        <v>2011</v>
      </c>
      <c r="C82" s="7">
        <v>5</v>
      </c>
    </row>
    <row r="83" spans="2:3" x14ac:dyDescent="0.25">
      <c r="B83" s="7">
        <v>2012</v>
      </c>
      <c r="C83" s="7">
        <v>5</v>
      </c>
    </row>
    <row r="84" spans="2:3" x14ac:dyDescent="0.25">
      <c r="B84" s="7">
        <v>2013</v>
      </c>
      <c r="C84" s="7">
        <v>5</v>
      </c>
    </row>
    <row r="85" spans="2:3" x14ac:dyDescent="0.25">
      <c r="B85" s="7">
        <v>2014</v>
      </c>
      <c r="C85" s="7">
        <v>5</v>
      </c>
    </row>
    <row r="86" spans="2:3" x14ac:dyDescent="0.25">
      <c r="B86" s="7">
        <v>2015</v>
      </c>
      <c r="C86" s="7">
        <v>5</v>
      </c>
    </row>
    <row r="87" spans="2:3" x14ac:dyDescent="0.25">
      <c r="B87" s="7">
        <v>2016</v>
      </c>
      <c r="C87" s="7">
        <v>5</v>
      </c>
    </row>
    <row r="88" spans="2:3" x14ac:dyDescent="0.25">
      <c r="B88" s="7">
        <v>2017</v>
      </c>
      <c r="C88" s="7">
        <v>5</v>
      </c>
    </row>
    <row r="89" spans="2:3" x14ac:dyDescent="0.25">
      <c r="B89" s="7">
        <v>2018</v>
      </c>
      <c r="C89" s="7">
        <v>5</v>
      </c>
    </row>
    <row r="90" spans="2:3" x14ac:dyDescent="0.25">
      <c r="B90" s="7">
        <v>2019</v>
      </c>
      <c r="C90" s="7">
        <v>5</v>
      </c>
    </row>
    <row r="91" spans="2:3" x14ac:dyDescent="0.25">
      <c r="B91" s="7">
        <v>2020</v>
      </c>
      <c r="C91" s="7">
        <v>5</v>
      </c>
    </row>
    <row r="92" spans="2:3" x14ac:dyDescent="0.25">
      <c r="B92" s="7">
        <v>2021</v>
      </c>
      <c r="C92" s="7">
        <v>5</v>
      </c>
    </row>
    <row r="93" spans="2:3" x14ac:dyDescent="0.25">
      <c r="B93" s="7">
        <v>2022</v>
      </c>
      <c r="C93" s="7">
        <v>5</v>
      </c>
    </row>
    <row r="94" spans="2:3" x14ac:dyDescent="0.25">
      <c r="B94" s="7">
        <v>2023</v>
      </c>
      <c r="C94" s="7">
        <v>5</v>
      </c>
    </row>
    <row r="99" spans="2:5" x14ac:dyDescent="0.25">
      <c r="B99" s="7" t="s">
        <v>239</v>
      </c>
      <c r="C99" s="7" t="s">
        <v>216</v>
      </c>
      <c r="D99" s="7" t="s">
        <v>260</v>
      </c>
      <c r="E99" s="7" t="s">
        <v>251</v>
      </c>
    </row>
    <row r="100" spans="2:5" x14ac:dyDescent="0.25">
      <c r="B100" s="7" t="s">
        <v>240</v>
      </c>
      <c r="C100" s="210">
        <v>8044</v>
      </c>
      <c r="D100" s="13"/>
      <c r="E100" s="210"/>
    </row>
    <row r="101" spans="2:5" x14ac:dyDescent="0.25">
      <c r="B101" s="7" t="s">
        <v>241</v>
      </c>
      <c r="C101" s="210">
        <v>5602</v>
      </c>
      <c r="D101" s="13">
        <f t="shared" ref="D101:D117" si="0">(C101-C100)/C100</f>
        <v>-0.3035803083043262</v>
      </c>
      <c r="E101" s="210"/>
    </row>
    <row r="102" spans="2:5" x14ac:dyDescent="0.25">
      <c r="B102" s="7" t="s">
        <v>242</v>
      </c>
      <c r="C102" s="210">
        <v>3653</v>
      </c>
      <c r="D102" s="13">
        <f t="shared" si="0"/>
        <v>-0.34791146019278829</v>
      </c>
      <c r="E102" s="210">
        <f t="shared" ref="E102:E118" si="1">C102+C101+C100</f>
        <v>17299</v>
      </c>
    </row>
    <row r="103" spans="2:5" x14ac:dyDescent="0.25">
      <c r="B103" s="7" t="s">
        <v>243</v>
      </c>
      <c r="C103" s="210">
        <v>10488</v>
      </c>
      <c r="D103" s="13">
        <f t="shared" si="0"/>
        <v>1.8710648781823158</v>
      </c>
      <c r="E103" s="210">
        <f t="shared" si="1"/>
        <v>19743</v>
      </c>
    </row>
    <row r="104" spans="2:5" x14ac:dyDescent="0.25">
      <c r="B104" s="7" t="s">
        <v>244</v>
      </c>
      <c r="C104" s="210">
        <v>12962</v>
      </c>
      <c r="D104" s="13">
        <f t="shared" si="0"/>
        <v>0.23588863463005338</v>
      </c>
      <c r="E104" s="210">
        <f t="shared" si="1"/>
        <v>27103</v>
      </c>
    </row>
    <row r="105" spans="2:5" x14ac:dyDescent="0.25">
      <c r="B105" s="7" t="s">
        <v>245</v>
      </c>
      <c r="C105" s="210">
        <v>2658</v>
      </c>
      <c r="D105" s="13">
        <f t="shared" si="0"/>
        <v>-0.79493905261533715</v>
      </c>
      <c r="E105" s="210">
        <f t="shared" si="1"/>
        <v>26108</v>
      </c>
    </row>
    <row r="106" spans="2:5" x14ac:dyDescent="0.25">
      <c r="B106" s="7" t="s">
        <v>246</v>
      </c>
      <c r="C106" s="210">
        <v>7177</v>
      </c>
      <c r="D106" s="13">
        <f t="shared" si="0"/>
        <v>1.7001504890895409</v>
      </c>
      <c r="E106" s="210">
        <f t="shared" si="1"/>
        <v>22797</v>
      </c>
    </row>
    <row r="107" spans="2:5" x14ac:dyDescent="0.25">
      <c r="B107" s="7" t="s">
        <v>247</v>
      </c>
      <c r="C107" s="210">
        <v>8891</v>
      </c>
      <c r="D107" s="13">
        <f t="shared" si="0"/>
        <v>0.23881844781942316</v>
      </c>
      <c r="E107" s="210">
        <f t="shared" si="1"/>
        <v>18726</v>
      </c>
    </row>
    <row r="108" spans="2:5" x14ac:dyDescent="0.25">
      <c r="B108" s="7" t="s">
        <v>248</v>
      </c>
      <c r="C108" s="210">
        <v>10703</v>
      </c>
      <c r="D108" s="13">
        <f t="shared" si="0"/>
        <v>0.20380159712068383</v>
      </c>
      <c r="E108" s="210">
        <f t="shared" si="1"/>
        <v>26771</v>
      </c>
    </row>
    <row r="109" spans="2:5" x14ac:dyDescent="0.25">
      <c r="B109" s="7" t="s">
        <v>249</v>
      </c>
      <c r="C109" s="210">
        <v>8950</v>
      </c>
      <c r="D109" s="13">
        <f t="shared" si="0"/>
        <v>-0.16378585443333646</v>
      </c>
      <c r="E109" s="210">
        <f t="shared" si="1"/>
        <v>28544</v>
      </c>
    </row>
    <row r="110" spans="2:5" x14ac:dyDescent="0.25">
      <c r="B110" s="7" t="s">
        <v>250</v>
      </c>
      <c r="C110" s="210">
        <v>12301</v>
      </c>
      <c r="D110" s="13">
        <f t="shared" si="0"/>
        <v>0.37441340782122906</v>
      </c>
      <c r="E110" s="210">
        <f t="shared" si="1"/>
        <v>31954</v>
      </c>
    </row>
    <row r="111" spans="2:5" x14ac:dyDescent="0.25">
      <c r="B111" s="7" t="s">
        <v>236</v>
      </c>
      <c r="C111" s="210">
        <v>13721</v>
      </c>
      <c r="D111" s="13">
        <f t="shared" si="0"/>
        <v>0.11543776928704984</v>
      </c>
      <c r="E111" s="210">
        <f t="shared" si="1"/>
        <v>34972</v>
      </c>
    </row>
    <row r="112" spans="2:5" x14ac:dyDescent="0.25">
      <c r="B112" s="7" t="s">
        <v>237</v>
      </c>
      <c r="C112" s="210">
        <v>11889</v>
      </c>
      <c r="D112" s="13">
        <f t="shared" si="0"/>
        <v>-0.133517965162889</v>
      </c>
      <c r="E112" s="210">
        <f t="shared" si="1"/>
        <v>37911</v>
      </c>
    </row>
    <row r="113" spans="2:5" x14ac:dyDescent="0.25">
      <c r="B113" s="7" t="s">
        <v>238</v>
      </c>
      <c r="C113" s="210">
        <v>16488</v>
      </c>
      <c r="D113" s="13">
        <f t="shared" si="0"/>
        <v>0.38682816048448143</v>
      </c>
      <c r="E113" s="210">
        <f t="shared" si="1"/>
        <v>42098</v>
      </c>
    </row>
    <row r="114" spans="2:5" x14ac:dyDescent="0.25">
      <c r="B114" s="7" t="s">
        <v>235</v>
      </c>
      <c r="C114" s="210">
        <v>21419</v>
      </c>
      <c r="D114" s="13">
        <f t="shared" si="0"/>
        <v>0.2990659873847647</v>
      </c>
      <c r="E114" s="210">
        <f t="shared" si="1"/>
        <v>49796</v>
      </c>
    </row>
    <row r="115" spans="2:5" x14ac:dyDescent="0.25">
      <c r="B115" s="7" t="s">
        <v>234</v>
      </c>
      <c r="C115" s="210">
        <v>20464</v>
      </c>
      <c r="D115" s="13">
        <f t="shared" si="0"/>
        <v>-4.4586582006629627E-2</v>
      </c>
      <c r="E115" s="210">
        <f t="shared" si="1"/>
        <v>58371</v>
      </c>
    </row>
    <row r="116" spans="2:5" x14ac:dyDescent="0.25">
      <c r="B116" s="7" t="s">
        <v>233</v>
      </c>
      <c r="C116" s="210">
        <v>15145</v>
      </c>
      <c r="D116" s="13">
        <f t="shared" si="0"/>
        <v>-0.25991985926505085</v>
      </c>
      <c r="E116" s="210">
        <f t="shared" si="1"/>
        <v>57028</v>
      </c>
    </row>
    <row r="117" spans="2:5" x14ac:dyDescent="0.25">
      <c r="B117" s="7" t="s">
        <v>232</v>
      </c>
      <c r="C117" s="210">
        <v>6309</v>
      </c>
      <c r="D117" s="13">
        <f t="shared" si="0"/>
        <v>-0.58342687355562894</v>
      </c>
      <c r="E117" s="210">
        <f t="shared" si="1"/>
        <v>41918</v>
      </c>
    </row>
    <row r="118" spans="2:5" x14ac:dyDescent="0.25">
      <c r="B118" s="7" t="s">
        <v>231</v>
      </c>
      <c r="C118" s="210">
        <v>9603</v>
      </c>
      <c r="D118" s="13">
        <f>(C118-C117)/C117</f>
        <v>0.52211126961483589</v>
      </c>
      <c r="E118" s="210">
        <f t="shared" si="1"/>
        <v>31057</v>
      </c>
    </row>
    <row r="121" spans="2:5" x14ac:dyDescent="0.25">
      <c r="B121" s="7" t="s">
        <v>239</v>
      </c>
      <c r="C121" s="7" t="s">
        <v>216</v>
      </c>
    </row>
    <row r="122" spans="2:5" x14ac:dyDescent="0.25">
      <c r="B122" s="7" t="s">
        <v>242</v>
      </c>
      <c r="C122" s="210">
        <v>3653</v>
      </c>
    </row>
    <row r="123" spans="2:5" x14ac:dyDescent="0.25">
      <c r="B123" s="7" t="s">
        <v>246</v>
      </c>
      <c r="C123" s="210">
        <v>7177</v>
      </c>
    </row>
    <row r="124" spans="2:5" x14ac:dyDescent="0.25">
      <c r="B124" s="7" t="s">
        <v>250</v>
      </c>
      <c r="C124" s="210">
        <v>12301</v>
      </c>
    </row>
    <row r="125" spans="2:5" x14ac:dyDescent="0.25">
      <c r="B125" s="7" t="s">
        <v>235</v>
      </c>
      <c r="C125" s="210">
        <v>21419</v>
      </c>
    </row>
    <row r="126" spans="2:5" x14ac:dyDescent="0.25">
      <c r="B126" s="7" t="s">
        <v>231</v>
      </c>
      <c r="C126" s="210">
        <v>9603</v>
      </c>
    </row>
    <row r="127" spans="2:5" x14ac:dyDescent="0.25">
      <c r="C127" s="210"/>
    </row>
    <row r="128" spans="2:5" x14ac:dyDescent="0.25">
      <c r="B128" s="7" t="s">
        <v>239</v>
      </c>
      <c r="C128" s="7" t="s">
        <v>216</v>
      </c>
    </row>
    <row r="129" spans="1:23" x14ac:dyDescent="0.25">
      <c r="B129" s="7" t="s">
        <v>241</v>
      </c>
      <c r="C129" s="210">
        <v>5602</v>
      </c>
    </row>
    <row r="130" spans="1:23" x14ac:dyDescent="0.25">
      <c r="B130" s="7" t="s">
        <v>245</v>
      </c>
      <c r="C130" s="210">
        <v>2658</v>
      </c>
    </row>
    <row r="131" spans="1:23" x14ac:dyDescent="0.25">
      <c r="B131" s="7" t="s">
        <v>249</v>
      </c>
      <c r="C131" s="210">
        <v>8950</v>
      </c>
    </row>
    <row r="132" spans="1:23" x14ac:dyDescent="0.25">
      <c r="B132" s="7" t="s">
        <v>238</v>
      </c>
      <c r="C132" s="210">
        <v>16488</v>
      </c>
    </row>
    <row r="133" spans="1:23" x14ac:dyDescent="0.25">
      <c r="B133" s="7" t="s">
        <v>232</v>
      </c>
      <c r="C133" s="210">
        <v>6309</v>
      </c>
    </row>
    <row r="134" spans="1:23"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row>
    <row r="135" spans="1:23" x14ac:dyDescent="0.25">
      <c r="A135" s="31"/>
      <c r="B135" s="31"/>
      <c r="C135" s="212"/>
      <c r="D135" s="31"/>
      <c r="E135" s="31"/>
      <c r="F135" s="31"/>
      <c r="G135" s="61"/>
      <c r="H135" s="61"/>
      <c r="I135" s="61"/>
      <c r="J135" s="61"/>
      <c r="K135" s="61"/>
      <c r="L135" s="61"/>
      <c r="M135" s="61"/>
      <c r="N135" s="61"/>
      <c r="O135" s="31"/>
      <c r="P135" s="31"/>
      <c r="Q135" s="31"/>
      <c r="R135" s="31"/>
      <c r="S135" s="31"/>
      <c r="T135" s="31"/>
      <c r="U135" s="31"/>
      <c r="V135" s="31" t="s">
        <v>139</v>
      </c>
      <c r="W135" s="216">
        <f>AVERAGE(D101:D118)</f>
        <v>0.18421737143879952</v>
      </c>
    </row>
    <row r="136" spans="1:23" x14ac:dyDescent="0.25">
      <c r="A136" s="31"/>
      <c r="F136" s="31"/>
      <c r="G136" s="61"/>
      <c r="H136" s="61"/>
      <c r="I136" s="61"/>
      <c r="J136" s="61"/>
      <c r="K136" s="61"/>
      <c r="L136" s="61"/>
      <c r="M136" s="61"/>
      <c r="N136" s="61"/>
      <c r="O136" s="31"/>
      <c r="P136" s="31"/>
      <c r="Q136" s="31"/>
      <c r="R136" s="31"/>
      <c r="S136" s="31"/>
      <c r="T136" s="31"/>
      <c r="U136" s="31"/>
      <c r="V136" s="31" t="s">
        <v>140</v>
      </c>
      <c r="W136" s="216">
        <f>MEDIAN(D101:D118)</f>
        <v>0.15961968320386682</v>
      </c>
    </row>
    <row r="137" spans="1:23" x14ac:dyDescent="0.25">
      <c r="A137" s="31"/>
      <c r="F137" s="31"/>
      <c r="G137" s="214"/>
      <c r="H137" s="214"/>
      <c r="I137" s="61"/>
      <c r="J137" s="61"/>
      <c r="K137" s="61"/>
      <c r="L137" s="61"/>
      <c r="M137" s="61"/>
      <c r="N137" s="61"/>
      <c r="O137" s="31"/>
      <c r="P137" s="31"/>
      <c r="Q137" s="31"/>
      <c r="R137" s="31"/>
      <c r="S137" s="31"/>
      <c r="T137" s="31"/>
      <c r="U137" s="31"/>
      <c r="V137" s="31"/>
      <c r="W137" s="31"/>
    </row>
    <row r="138" spans="1:23" x14ac:dyDescent="0.25">
      <c r="A138" s="31"/>
      <c r="F138" s="31"/>
      <c r="G138" s="61"/>
      <c r="H138" s="61"/>
      <c r="I138" s="61"/>
      <c r="J138" s="61"/>
      <c r="K138" s="61"/>
      <c r="L138" s="61"/>
      <c r="M138" s="61"/>
      <c r="N138" s="61"/>
      <c r="O138" s="31"/>
      <c r="P138" s="31"/>
      <c r="Q138" s="31"/>
      <c r="R138" s="31"/>
      <c r="S138" s="31"/>
      <c r="T138" s="31"/>
      <c r="U138" s="31"/>
      <c r="V138" s="31"/>
      <c r="W138" s="31"/>
    </row>
    <row r="139" spans="1:23" x14ac:dyDescent="0.25">
      <c r="A139" s="31"/>
      <c r="F139" s="31"/>
      <c r="G139" s="61"/>
      <c r="H139" s="61"/>
      <c r="I139" s="61"/>
      <c r="J139" s="61"/>
      <c r="K139" s="61"/>
      <c r="L139" s="61"/>
      <c r="M139" s="61"/>
      <c r="N139" s="61"/>
      <c r="O139" s="31"/>
      <c r="P139" s="31"/>
      <c r="Q139" s="31"/>
      <c r="R139" s="31"/>
      <c r="S139" s="31"/>
      <c r="T139" s="31"/>
      <c r="U139" s="31"/>
      <c r="V139" s="31"/>
      <c r="W139" s="31"/>
    </row>
    <row r="140" spans="1:23" x14ac:dyDescent="0.25">
      <c r="A140" s="31"/>
      <c r="F140" s="31"/>
      <c r="G140" s="61"/>
      <c r="H140" s="61"/>
      <c r="I140" s="61"/>
      <c r="J140" s="61"/>
      <c r="K140" s="61"/>
      <c r="L140" s="61"/>
      <c r="M140" s="61"/>
      <c r="N140" s="61"/>
      <c r="O140" s="31"/>
      <c r="P140" s="31"/>
      <c r="Q140" s="31"/>
      <c r="R140" s="31"/>
      <c r="S140" s="31"/>
      <c r="T140" s="31"/>
      <c r="U140" s="31"/>
      <c r="V140" s="31"/>
      <c r="W140" s="31"/>
    </row>
    <row r="141" spans="1:23" x14ac:dyDescent="0.25">
      <c r="A141" s="31"/>
      <c r="F141" s="31"/>
      <c r="G141" s="61"/>
      <c r="H141" s="61"/>
      <c r="I141" s="61"/>
      <c r="J141" s="61"/>
      <c r="K141" s="61"/>
      <c r="L141" s="61"/>
      <c r="M141" s="61"/>
      <c r="N141" s="61"/>
      <c r="O141" s="31"/>
      <c r="P141" s="31"/>
      <c r="Q141" s="31"/>
      <c r="R141" s="31"/>
      <c r="S141" s="31"/>
      <c r="T141" s="31"/>
      <c r="U141" s="31"/>
      <c r="V141" s="31"/>
      <c r="W141" s="31"/>
    </row>
    <row r="142" spans="1:23" x14ac:dyDescent="0.25">
      <c r="A142" s="31"/>
      <c r="F142" s="31"/>
      <c r="G142" s="61"/>
      <c r="H142" s="61"/>
      <c r="I142" s="61"/>
      <c r="J142" s="61"/>
      <c r="K142" s="61"/>
      <c r="L142" s="61"/>
      <c r="M142" s="61"/>
      <c r="N142" s="61"/>
      <c r="O142" s="31"/>
      <c r="P142" s="31"/>
      <c r="Q142" s="31"/>
      <c r="R142" s="31"/>
      <c r="S142" s="31"/>
      <c r="T142" s="31"/>
      <c r="U142" s="31"/>
      <c r="V142" s="31"/>
      <c r="W142" s="31"/>
    </row>
    <row r="143" spans="1:23" x14ac:dyDescent="0.25">
      <c r="A143" s="31"/>
      <c r="F143" s="61"/>
      <c r="G143" s="61"/>
      <c r="H143" s="61"/>
      <c r="I143" s="61"/>
      <c r="J143" s="61"/>
      <c r="K143" s="61"/>
      <c r="L143" s="61"/>
      <c r="M143" s="61"/>
      <c r="N143" s="61"/>
      <c r="O143" s="31"/>
      <c r="P143" s="31"/>
      <c r="Q143" s="31"/>
      <c r="R143" s="31"/>
      <c r="S143" s="31"/>
      <c r="T143" s="31"/>
      <c r="U143" s="31"/>
      <c r="V143" s="31"/>
      <c r="W143" s="31"/>
    </row>
    <row r="144" spans="1:23" x14ac:dyDescent="0.25">
      <c r="A144" s="31"/>
      <c r="F144" s="31"/>
      <c r="G144" s="61"/>
      <c r="H144" s="61"/>
      <c r="I144" s="61"/>
      <c r="J144" s="61"/>
      <c r="K144" s="61"/>
      <c r="L144" s="61"/>
      <c r="M144" s="61"/>
      <c r="N144" s="61"/>
      <c r="O144" s="61"/>
      <c r="P144" s="31"/>
      <c r="Q144" s="31"/>
      <c r="R144" s="31"/>
      <c r="S144" s="31"/>
      <c r="T144" s="31"/>
      <c r="U144" s="31"/>
      <c r="V144" s="31"/>
      <c r="W144" s="31"/>
    </row>
    <row r="145" spans="1:23" x14ac:dyDescent="0.25">
      <c r="A145" s="31"/>
      <c r="F145" s="31"/>
      <c r="G145" s="213"/>
      <c r="H145" s="213"/>
      <c r="I145" s="213"/>
      <c r="J145" s="213"/>
      <c r="K145" s="213"/>
      <c r="L145" s="213"/>
      <c r="M145" s="61"/>
      <c r="N145" s="61"/>
      <c r="O145" s="61"/>
      <c r="P145" s="31"/>
      <c r="Q145" s="31"/>
      <c r="R145" s="31"/>
      <c r="S145" s="31"/>
      <c r="T145" s="31"/>
      <c r="U145" s="31"/>
      <c r="V145" s="31"/>
      <c r="W145" s="31"/>
    </row>
    <row r="146" spans="1:23" x14ac:dyDescent="0.25">
      <c r="A146" s="31"/>
      <c r="F146" s="31"/>
      <c r="G146" s="61"/>
      <c r="H146" s="61"/>
      <c r="I146" s="61"/>
      <c r="J146" s="61"/>
      <c r="K146" s="61"/>
      <c r="L146" s="61"/>
      <c r="M146" s="61"/>
      <c r="N146" s="61"/>
      <c r="O146" s="61"/>
      <c r="P146" s="31"/>
      <c r="Q146" s="31"/>
      <c r="R146" s="31"/>
      <c r="S146" s="31"/>
      <c r="T146" s="31"/>
      <c r="U146" s="31"/>
      <c r="V146" s="31"/>
      <c r="W146" s="31"/>
    </row>
    <row r="147" spans="1:23" x14ac:dyDescent="0.25">
      <c r="A147" s="31"/>
      <c r="F147" s="31"/>
      <c r="G147" s="61"/>
      <c r="H147" s="61"/>
      <c r="I147" s="61"/>
      <c r="J147" s="61"/>
      <c r="K147" s="61"/>
      <c r="L147" s="61"/>
      <c r="M147" s="61"/>
      <c r="N147" s="61"/>
      <c r="O147" s="61"/>
      <c r="P147" s="31"/>
      <c r="Q147" s="31"/>
      <c r="R147" s="31"/>
      <c r="S147" s="31"/>
      <c r="T147" s="31"/>
      <c r="U147" s="31"/>
      <c r="V147" s="31"/>
      <c r="W147" s="31"/>
    </row>
    <row r="148" spans="1:23" x14ac:dyDescent="0.25">
      <c r="A148" s="31"/>
      <c r="F148" s="31"/>
      <c r="G148" s="61"/>
      <c r="H148" s="61"/>
      <c r="I148" s="61"/>
      <c r="J148" s="61"/>
      <c r="K148" s="61"/>
      <c r="L148" s="61"/>
      <c r="M148" s="61"/>
      <c r="N148" s="61"/>
      <c r="O148" s="61"/>
      <c r="P148" s="31"/>
      <c r="Q148" s="31"/>
      <c r="R148" s="31"/>
      <c r="S148" s="31"/>
      <c r="T148" s="31"/>
      <c r="U148" s="31"/>
      <c r="V148" s="31"/>
      <c r="W148" s="31"/>
    </row>
    <row r="149" spans="1:23" x14ac:dyDescent="0.25">
      <c r="A149" s="31"/>
      <c r="F149" s="31"/>
      <c r="G149" s="61"/>
      <c r="H149" s="61"/>
      <c r="I149" s="61"/>
      <c r="J149" s="61"/>
      <c r="K149" s="61"/>
      <c r="L149" s="61"/>
      <c r="M149" s="61"/>
      <c r="N149" s="61"/>
      <c r="O149" s="61"/>
      <c r="P149" s="31"/>
      <c r="Q149" s="31"/>
      <c r="R149" s="31"/>
      <c r="S149" s="31"/>
      <c r="T149" s="31"/>
      <c r="U149" s="31"/>
      <c r="V149" s="31"/>
      <c r="W149" s="31"/>
    </row>
    <row r="150" spans="1:23" x14ac:dyDescent="0.25">
      <c r="A150" s="31"/>
      <c r="F150" s="31"/>
      <c r="G150" s="213"/>
      <c r="H150" s="213"/>
      <c r="I150" s="213"/>
      <c r="J150" s="213"/>
      <c r="K150" s="213"/>
      <c r="L150" s="213"/>
      <c r="M150" s="213"/>
      <c r="N150" s="213"/>
      <c r="O150" s="213"/>
      <c r="P150" s="31"/>
      <c r="Q150" s="31"/>
      <c r="R150" s="31"/>
      <c r="S150" s="31"/>
      <c r="T150" s="31"/>
      <c r="U150" s="31"/>
      <c r="V150" s="31"/>
      <c r="W150" s="31"/>
    </row>
    <row r="151" spans="1:23" x14ac:dyDescent="0.25">
      <c r="A151" s="31"/>
      <c r="B151" s="7" t="s">
        <v>261</v>
      </c>
      <c r="F151" s="31"/>
      <c r="G151" s="61"/>
      <c r="H151" s="61"/>
      <c r="I151" s="61"/>
      <c r="J151" s="61"/>
      <c r="K151" s="61"/>
      <c r="L151" s="61"/>
      <c r="M151" s="61"/>
      <c r="N151" s="61"/>
      <c r="O151" s="61"/>
      <c r="P151" s="31"/>
      <c r="Q151" s="31"/>
      <c r="R151" s="31"/>
      <c r="S151" s="31"/>
      <c r="T151" s="31"/>
      <c r="U151" s="31"/>
      <c r="V151" s="31"/>
      <c r="W151" s="31"/>
    </row>
    <row r="152" spans="1:23" x14ac:dyDescent="0.25">
      <c r="A152" s="31"/>
      <c r="F152" s="31"/>
      <c r="G152" s="61"/>
      <c r="H152" s="61"/>
      <c r="I152" s="61"/>
      <c r="J152" s="61"/>
      <c r="K152" s="61"/>
      <c r="L152" s="61"/>
      <c r="M152" s="61"/>
      <c r="N152" s="61"/>
      <c r="O152" s="61"/>
      <c r="P152" s="31"/>
      <c r="Q152" s="31"/>
      <c r="R152" s="31"/>
      <c r="S152" s="31"/>
      <c r="T152" s="31"/>
      <c r="U152" s="31" t="s">
        <v>139</v>
      </c>
      <c r="V152" s="216">
        <f>AVERAGE(C154:C162)</f>
        <v>0.14183055203497522</v>
      </c>
      <c r="W152" s="31"/>
    </row>
    <row r="153" spans="1:23" x14ac:dyDescent="0.25">
      <c r="A153" s="7" t="s">
        <v>239</v>
      </c>
      <c r="B153" s="7" t="s">
        <v>216</v>
      </c>
      <c r="C153" s="7" t="s">
        <v>260</v>
      </c>
      <c r="D153" s="7" t="s">
        <v>251</v>
      </c>
      <c r="E153" s="210"/>
      <c r="F153" s="31"/>
      <c r="G153" s="61"/>
      <c r="H153" s="61"/>
      <c r="I153" s="61"/>
      <c r="J153" s="61"/>
      <c r="K153" s="61"/>
      <c r="L153" s="61"/>
      <c r="M153" s="61"/>
      <c r="N153" s="61"/>
      <c r="O153" s="61"/>
      <c r="P153" s="31"/>
      <c r="Q153" s="31"/>
      <c r="R153" s="31"/>
      <c r="S153" s="31"/>
      <c r="T153" s="31"/>
      <c r="U153" s="31" t="s">
        <v>140</v>
      </c>
      <c r="V153" s="216">
        <f>MEDIAN(C154:C162)</f>
        <v>0.20380159712068383</v>
      </c>
      <c r="W153" s="31"/>
    </row>
    <row r="154" spans="1:23" x14ac:dyDescent="0.25">
      <c r="A154" s="7" t="s">
        <v>247</v>
      </c>
      <c r="B154" s="210">
        <v>8891</v>
      </c>
      <c r="C154" s="13">
        <v>0.23881844781942316</v>
      </c>
      <c r="D154" s="210">
        <v>18726</v>
      </c>
      <c r="E154" s="210"/>
      <c r="F154" s="31"/>
      <c r="G154" s="61"/>
      <c r="H154" s="61"/>
      <c r="I154" s="61"/>
      <c r="J154" s="61"/>
      <c r="K154" s="61"/>
      <c r="L154" s="61"/>
      <c r="M154" s="61"/>
      <c r="N154" s="61"/>
      <c r="O154" s="61"/>
      <c r="P154" s="31"/>
      <c r="Q154" s="31"/>
      <c r="R154" s="31"/>
      <c r="S154" s="31"/>
      <c r="T154" s="31"/>
      <c r="U154" s="31"/>
      <c r="V154" s="31"/>
      <c r="W154" s="31"/>
    </row>
    <row r="155" spans="1:23" x14ac:dyDescent="0.25">
      <c r="A155" s="7" t="s">
        <v>248</v>
      </c>
      <c r="B155" s="210">
        <v>10703</v>
      </c>
      <c r="C155" s="13">
        <v>0.20380159712068383</v>
      </c>
      <c r="D155" s="210">
        <v>26771</v>
      </c>
      <c r="E155" s="210"/>
      <c r="F155" s="61"/>
      <c r="G155" s="61"/>
      <c r="H155" s="61"/>
      <c r="I155" s="61"/>
      <c r="J155" s="61"/>
      <c r="K155" s="61"/>
      <c r="L155" s="61"/>
      <c r="M155" s="61"/>
      <c r="N155" s="61"/>
      <c r="O155" s="31"/>
      <c r="P155" s="31"/>
      <c r="Q155" s="31"/>
      <c r="R155" s="31"/>
      <c r="S155" s="31"/>
      <c r="T155" s="31"/>
      <c r="U155" s="31"/>
      <c r="V155" s="31"/>
      <c r="W155" s="31"/>
    </row>
    <row r="156" spans="1:23" x14ac:dyDescent="0.25">
      <c r="A156" s="7" t="s">
        <v>249</v>
      </c>
      <c r="B156" s="210">
        <v>8950</v>
      </c>
      <c r="C156" s="13">
        <v>-0.16378585443333646</v>
      </c>
      <c r="D156" s="210">
        <v>28544</v>
      </c>
      <c r="E156" s="31"/>
      <c r="F156" s="61"/>
      <c r="G156" s="61"/>
      <c r="H156" s="61"/>
      <c r="I156" s="61"/>
      <c r="J156" s="61"/>
      <c r="K156" s="61"/>
      <c r="L156" s="61"/>
      <c r="M156" s="61"/>
      <c r="N156" s="61"/>
      <c r="O156" s="61"/>
      <c r="P156" s="31"/>
      <c r="Q156" s="31"/>
      <c r="R156" s="31"/>
      <c r="S156" s="31"/>
      <c r="T156" s="31"/>
      <c r="U156" s="31"/>
      <c r="V156" s="31"/>
      <c r="W156" s="31"/>
    </row>
    <row r="157" spans="1:23" x14ac:dyDescent="0.25">
      <c r="A157" s="7" t="s">
        <v>250</v>
      </c>
      <c r="B157" s="210">
        <v>12301</v>
      </c>
      <c r="C157" s="13">
        <v>0.37441340782122906</v>
      </c>
      <c r="D157" s="210">
        <v>31954</v>
      </c>
      <c r="E157" s="31"/>
      <c r="F157" s="61"/>
      <c r="G157" s="61"/>
      <c r="H157" s="61"/>
      <c r="I157" s="61"/>
      <c r="J157" s="61"/>
      <c r="K157" s="61"/>
      <c r="L157" s="61"/>
      <c r="M157" s="61"/>
      <c r="N157" s="61"/>
      <c r="O157" s="61"/>
      <c r="P157" s="31"/>
      <c r="Q157" s="31"/>
      <c r="R157" s="31"/>
      <c r="S157" s="31"/>
      <c r="T157" s="31"/>
      <c r="U157" s="31"/>
      <c r="V157" s="31"/>
      <c r="W157" s="31"/>
    </row>
    <row r="158" spans="1:23" x14ac:dyDescent="0.25">
      <c r="A158" s="7" t="s">
        <v>236</v>
      </c>
      <c r="B158" s="210">
        <v>13721</v>
      </c>
      <c r="C158" s="13">
        <v>0.11543776928704984</v>
      </c>
      <c r="D158" s="210">
        <v>34972</v>
      </c>
      <c r="E158" s="31"/>
      <c r="F158" s="213"/>
      <c r="G158" s="214"/>
      <c r="H158" s="214"/>
      <c r="I158" s="61"/>
      <c r="J158" s="61"/>
      <c r="K158" s="61"/>
      <c r="L158" s="61"/>
      <c r="M158" s="61"/>
      <c r="N158" s="61"/>
      <c r="O158" s="61"/>
      <c r="P158" s="31"/>
      <c r="Q158" s="31"/>
      <c r="R158" s="31"/>
      <c r="S158" s="31"/>
      <c r="T158" s="31"/>
      <c r="U158" s="31"/>
      <c r="V158" s="31"/>
      <c r="W158" s="31"/>
    </row>
    <row r="159" spans="1:23" x14ac:dyDescent="0.25">
      <c r="A159" s="7" t="s">
        <v>237</v>
      </c>
      <c r="B159" s="210">
        <v>11889</v>
      </c>
      <c r="C159" s="13">
        <v>-0.133517965162889</v>
      </c>
      <c r="D159" s="210">
        <v>37911</v>
      </c>
      <c r="E159" s="31"/>
      <c r="F159" s="61"/>
      <c r="G159" s="61"/>
      <c r="H159" s="61"/>
      <c r="I159" s="61"/>
      <c r="J159" s="61"/>
      <c r="K159" s="61"/>
      <c r="L159" s="61"/>
      <c r="M159" s="61"/>
      <c r="N159" s="61"/>
      <c r="O159" s="61"/>
      <c r="P159" s="31"/>
      <c r="Q159" s="31"/>
      <c r="R159" s="31"/>
      <c r="S159" s="31"/>
      <c r="T159" s="31"/>
      <c r="U159" s="31"/>
      <c r="V159" s="31"/>
      <c r="W159" s="31"/>
    </row>
    <row r="160" spans="1:23" x14ac:dyDescent="0.25">
      <c r="A160" s="7" t="s">
        <v>238</v>
      </c>
      <c r="B160" s="210">
        <v>16488</v>
      </c>
      <c r="C160" s="13">
        <v>0.38682816048448143</v>
      </c>
      <c r="D160" s="210">
        <v>42098</v>
      </c>
      <c r="E160" s="31"/>
      <c r="F160" s="61"/>
      <c r="G160" s="61"/>
      <c r="H160" s="61"/>
      <c r="I160" s="61"/>
      <c r="J160" s="61"/>
      <c r="K160" s="61"/>
      <c r="L160" s="61"/>
      <c r="M160" s="61"/>
      <c r="N160" s="61"/>
      <c r="O160" s="61"/>
      <c r="P160" s="31"/>
      <c r="Q160" s="31"/>
      <c r="R160" s="31"/>
      <c r="S160" s="31"/>
      <c r="T160" s="31"/>
      <c r="U160" s="31"/>
      <c r="V160" s="31"/>
      <c r="W160" s="31"/>
    </row>
    <row r="161" spans="1:23" x14ac:dyDescent="0.25">
      <c r="A161" s="7" t="s">
        <v>235</v>
      </c>
      <c r="B161" s="210">
        <v>21419</v>
      </c>
      <c r="C161" s="13">
        <v>0.2990659873847647</v>
      </c>
      <c r="D161" s="210">
        <v>49796</v>
      </c>
      <c r="E161" s="31"/>
      <c r="F161" s="31"/>
      <c r="G161" s="61"/>
      <c r="H161" s="61"/>
      <c r="I161" s="61"/>
      <c r="J161" s="61"/>
      <c r="K161" s="61"/>
      <c r="L161" s="61"/>
      <c r="M161" s="61"/>
      <c r="N161" s="61"/>
      <c r="O161" s="61"/>
      <c r="P161" s="31"/>
      <c r="Q161" s="31"/>
      <c r="R161" s="31"/>
      <c r="S161" s="31"/>
      <c r="T161" s="31"/>
      <c r="U161" s="31"/>
      <c r="V161" s="31"/>
      <c r="W161" s="31"/>
    </row>
    <row r="162" spans="1:23" x14ac:dyDescent="0.25">
      <c r="A162" s="7" t="s">
        <v>234</v>
      </c>
      <c r="B162" s="210">
        <v>20464</v>
      </c>
      <c r="C162" s="13">
        <v>-4.4586582006629627E-2</v>
      </c>
      <c r="D162" s="210">
        <v>58371</v>
      </c>
      <c r="E162" s="31"/>
      <c r="F162" s="31"/>
      <c r="G162" s="61"/>
      <c r="H162" s="61"/>
      <c r="I162" s="61"/>
      <c r="J162" s="61"/>
      <c r="K162" s="61"/>
      <c r="L162" s="61"/>
      <c r="M162" s="61"/>
      <c r="N162" s="61"/>
      <c r="O162" s="61"/>
      <c r="P162" s="31"/>
      <c r="Q162" s="31"/>
      <c r="R162" s="31"/>
      <c r="S162" s="31"/>
      <c r="T162" s="31"/>
      <c r="U162" s="31"/>
      <c r="V162" s="31"/>
      <c r="W162" s="31"/>
    </row>
    <row r="163" spans="1:23" x14ac:dyDescent="0.25">
      <c r="A163" s="31"/>
      <c r="B163" s="31"/>
      <c r="C163" s="212"/>
      <c r="D163" s="31"/>
      <c r="E163" s="31"/>
      <c r="F163" s="31"/>
      <c r="G163" s="61"/>
      <c r="H163" s="61"/>
      <c r="I163" s="61"/>
      <c r="J163" s="61"/>
      <c r="K163" s="61"/>
      <c r="L163" s="61"/>
      <c r="M163" s="61"/>
      <c r="N163" s="61"/>
      <c r="O163" s="61"/>
      <c r="P163" s="31"/>
      <c r="Q163" s="31"/>
      <c r="R163" s="31"/>
      <c r="S163" s="31"/>
      <c r="T163" s="31"/>
      <c r="U163" s="31"/>
      <c r="V163" s="31"/>
      <c r="W163" s="31"/>
    </row>
    <row r="164" spans="1:23" x14ac:dyDescent="0.25">
      <c r="A164" s="31"/>
      <c r="B164" s="31"/>
      <c r="C164" s="212"/>
      <c r="D164" s="31"/>
      <c r="E164" s="31"/>
      <c r="F164" s="31"/>
      <c r="G164" s="61"/>
      <c r="H164" s="61"/>
      <c r="I164" s="61"/>
      <c r="J164" s="61"/>
      <c r="K164" s="61"/>
      <c r="L164" s="61"/>
      <c r="M164" s="61"/>
      <c r="N164" s="61"/>
      <c r="O164" s="61"/>
      <c r="P164" s="31"/>
      <c r="Q164" s="31"/>
      <c r="R164" s="31"/>
      <c r="S164" s="31"/>
      <c r="T164" s="31"/>
      <c r="U164" s="31"/>
      <c r="V164" s="31"/>
      <c r="W164" s="31"/>
    </row>
    <row r="165" spans="1:23" x14ac:dyDescent="0.25">
      <c r="A165" s="31"/>
      <c r="B165" s="31"/>
      <c r="C165" s="212"/>
      <c r="D165" s="31"/>
      <c r="E165" s="31"/>
      <c r="F165" s="31"/>
      <c r="G165" s="61"/>
      <c r="H165" s="61"/>
      <c r="I165" s="61"/>
      <c r="J165" s="61"/>
      <c r="K165" s="61"/>
      <c r="L165" s="61"/>
      <c r="M165" s="61"/>
      <c r="N165" s="61"/>
      <c r="O165" s="61"/>
      <c r="P165" s="31"/>
      <c r="Q165" s="31"/>
      <c r="R165" s="31"/>
      <c r="S165" s="31"/>
      <c r="T165" s="31"/>
      <c r="U165" s="31"/>
      <c r="V165" s="31"/>
      <c r="W165" s="31"/>
    </row>
    <row r="166" spans="1:23" x14ac:dyDescent="0.25">
      <c r="A166" s="31"/>
      <c r="B166" s="31"/>
      <c r="C166" s="212"/>
      <c r="D166" s="31"/>
      <c r="E166" s="31"/>
      <c r="F166" s="31"/>
      <c r="G166" s="213"/>
      <c r="H166" s="213"/>
      <c r="I166" s="213"/>
      <c r="J166" s="213"/>
      <c r="K166" s="213"/>
      <c r="L166" s="213"/>
      <c r="M166" s="61"/>
      <c r="N166" s="61"/>
      <c r="O166" s="61"/>
      <c r="P166" s="31"/>
      <c r="Q166" s="31"/>
      <c r="R166" s="31"/>
      <c r="S166" s="31"/>
      <c r="T166" s="31"/>
      <c r="U166" s="31"/>
      <c r="V166" s="31"/>
      <c r="W166" s="31"/>
    </row>
    <row r="167" spans="1:23" x14ac:dyDescent="0.25">
      <c r="A167" s="31"/>
      <c r="B167" s="31"/>
      <c r="C167" s="212"/>
      <c r="D167" s="31"/>
      <c r="E167" s="31"/>
      <c r="F167" s="31"/>
      <c r="G167" s="61"/>
      <c r="H167" s="61"/>
      <c r="I167" s="61"/>
      <c r="J167" s="61"/>
      <c r="K167" s="61"/>
      <c r="L167" s="61"/>
      <c r="M167" s="61"/>
      <c r="N167" s="61"/>
      <c r="O167" s="61"/>
      <c r="P167" s="31"/>
      <c r="Q167" s="31"/>
      <c r="R167" s="31"/>
      <c r="S167" s="31"/>
      <c r="T167" s="31"/>
      <c r="U167" s="31"/>
      <c r="V167" s="31"/>
      <c r="W167" s="31"/>
    </row>
    <row r="168" spans="1:23" x14ac:dyDescent="0.25">
      <c r="B168" s="7" t="s">
        <v>239</v>
      </c>
      <c r="C168" s="7" t="s">
        <v>216</v>
      </c>
      <c r="D168" s="7" t="s">
        <v>260</v>
      </c>
      <c r="F168" s="31"/>
      <c r="G168" s="61"/>
      <c r="H168" s="61"/>
      <c r="I168" s="61"/>
      <c r="J168" s="61"/>
      <c r="K168" s="61"/>
      <c r="L168" s="61"/>
      <c r="M168" s="61"/>
      <c r="N168" s="61"/>
      <c r="O168" s="61"/>
      <c r="P168" s="31"/>
      <c r="Q168" s="31"/>
      <c r="R168" s="31"/>
      <c r="S168" s="31"/>
      <c r="T168" s="31"/>
      <c r="U168" s="31"/>
      <c r="V168" s="31"/>
      <c r="W168" s="31"/>
    </row>
    <row r="169" spans="1:23" x14ac:dyDescent="0.25">
      <c r="B169" s="7" t="s">
        <v>240</v>
      </c>
      <c r="C169" s="210">
        <v>8044</v>
      </c>
      <c r="D169" s="13"/>
      <c r="E169" s="210"/>
      <c r="F169" s="31"/>
      <c r="G169" s="61"/>
      <c r="H169" s="61"/>
      <c r="I169" s="61"/>
      <c r="J169" s="61"/>
      <c r="K169" s="61"/>
      <c r="L169" s="61"/>
      <c r="M169" s="61"/>
      <c r="N169" s="61"/>
      <c r="O169" s="61"/>
      <c r="P169" s="31"/>
      <c r="Q169" s="31"/>
      <c r="R169" s="31"/>
      <c r="S169" s="31"/>
      <c r="T169" s="31"/>
      <c r="U169" s="31"/>
      <c r="V169" s="31"/>
      <c r="W169" s="31"/>
    </row>
    <row r="170" spans="1:23" x14ac:dyDescent="0.25">
      <c r="B170" s="7" t="s">
        <v>241</v>
      </c>
      <c r="C170" s="210">
        <v>5602</v>
      </c>
      <c r="D170" s="13">
        <f t="shared" ref="D170:D186" si="2">(C170-C169)/C169</f>
        <v>-0.3035803083043262</v>
      </c>
      <c r="E170" s="210"/>
      <c r="F170" s="31"/>
      <c r="G170" s="61"/>
      <c r="H170" s="61"/>
      <c r="I170" s="61"/>
      <c r="J170" s="61"/>
      <c r="K170" s="61"/>
      <c r="L170" s="61"/>
      <c r="M170" s="61"/>
      <c r="N170" s="61"/>
      <c r="O170" s="61"/>
      <c r="P170" s="31"/>
      <c r="Q170" s="31"/>
      <c r="R170" s="31"/>
      <c r="S170" s="31"/>
      <c r="T170" s="31"/>
      <c r="U170" s="31"/>
      <c r="V170" s="31"/>
      <c r="W170" s="31"/>
    </row>
    <row r="171" spans="1:23" x14ac:dyDescent="0.25">
      <c r="B171" s="7" t="s">
        <v>242</v>
      </c>
      <c r="C171" s="210">
        <v>3653</v>
      </c>
      <c r="D171" s="13">
        <f t="shared" si="2"/>
        <v>-0.34791146019278829</v>
      </c>
      <c r="E171" s="210"/>
      <c r="F171" s="31"/>
      <c r="G171" s="213"/>
      <c r="H171" s="213"/>
      <c r="I171" s="213"/>
      <c r="J171" s="213"/>
      <c r="K171" s="213"/>
      <c r="L171" s="213"/>
      <c r="M171" s="213"/>
      <c r="N171" s="213"/>
      <c r="O171" s="213"/>
      <c r="P171" s="31"/>
      <c r="Q171" s="31"/>
      <c r="R171" s="31"/>
      <c r="S171" s="31"/>
      <c r="T171" s="31"/>
      <c r="U171" s="31"/>
      <c r="V171" s="31"/>
      <c r="W171" s="31"/>
    </row>
    <row r="172" spans="1:23" x14ac:dyDescent="0.25">
      <c r="B172" s="7" t="s">
        <v>243</v>
      </c>
      <c r="C172" s="210">
        <v>10488</v>
      </c>
      <c r="D172" s="13">
        <f t="shared" si="2"/>
        <v>1.8710648781823158</v>
      </c>
      <c r="E172" s="210"/>
      <c r="F172" s="31"/>
      <c r="G172" s="61"/>
      <c r="H172" s="61"/>
      <c r="I172" s="61"/>
      <c r="J172" s="61"/>
      <c r="K172" s="61"/>
      <c r="L172" s="61"/>
      <c r="M172" s="61"/>
      <c r="N172" s="61"/>
      <c r="O172" s="61"/>
      <c r="P172" s="31"/>
      <c r="Q172" s="31"/>
      <c r="R172" s="31"/>
      <c r="S172" s="31"/>
      <c r="T172" s="31"/>
      <c r="U172" s="31"/>
      <c r="V172" s="31"/>
      <c r="W172" s="31"/>
    </row>
    <row r="173" spans="1:23" x14ac:dyDescent="0.25">
      <c r="B173" s="7" t="s">
        <v>244</v>
      </c>
      <c r="C173" s="210">
        <v>12962</v>
      </c>
      <c r="D173" s="13">
        <f t="shared" si="2"/>
        <v>0.23588863463005338</v>
      </c>
      <c r="E173" s="210"/>
      <c r="F173" s="31"/>
      <c r="G173" s="61"/>
      <c r="H173" s="215"/>
      <c r="I173" s="61"/>
      <c r="J173" s="61"/>
      <c r="K173" s="61"/>
      <c r="L173" s="61"/>
      <c r="M173" s="61"/>
      <c r="N173" s="61"/>
      <c r="O173" s="61"/>
      <c r="P173" s="31"/>
      <c r="Q173" s="31"/>
      <c r="R173" s="31"/>
      <c r="S173" s="31"/>
      <c r="T173" s="31"/>
      <c r="U173" s="31"/>
      <c r="V173" s="31"/>
      <c r="W173" s="31"/>
    </row>
    <row r="174" spans="1:23" x14ac:dyDescent="0.25">
      <c r="B174" s="7" t="s">
        <v>245</v>
      </c>
      <c r="C174" s="210">
        <v>2658</v>
      </c>
      <c r="D174" s="13">
        <f t="shared" si="2"/>
        <v>-0.79493905261533715</v>
      </c>
      <c r="E174" s="210"/>
      <c r="F174" s="31"/>
      <c r="G174" s="61"/>
      <c r="H174" s="61"/>
      <c r="I174" s="61"/>
      <c r="J174" s="61"/>
      <c r="K174" s="61"/>
      <c r="L174" s="61"/>
      <c r="M174" s="61"/>
      <c r="N174" s="61"/>
      <c r="O174" s="61"/>
      <c r="P174" s="31"/>
      <c r="Q174" s="31"/>
      <c r="R174" s="31"/>
      <c r="S174" s="31"/>
      <c r="T174" s="31"/>
      <c r="U174" s="31"/>
      <c r="V174" s="31"/>
      <c r="W174" s="31"/>
    </row>
    <row r="175" spans="1:23" x14ac:dyDescent="0.25">
      <c r="B175" s="7" t="s">
        <v>246</v>
      </c>
      <c r="C175" s="210">
        <v>7177</v>
      </c>
      <c r="D175" s="13">
        <f t="shared" si="2"/>
        <v>1.7001504890895409</v>
      </c>
      <c r="E175" s="210"/>
      <c r="F175" s="31"/>
      <c r="G175" s="31"/>
      <c r="H175" s="31"/>
      <c r="I175" s="31"/>
      <c r="J175" s="31"/>
      <c r="K175" s="31"/>
      <c r="L175" s="31"/>
      <c r="M175" s="31"/>
      <c r="N175" s="31"/>
      <c r="O175" s="31"/>
      <c r="P175" s="31"/>
      <c r="Q175" s="31"/>
      <c r="R175" s="31"/>
      <c r="S175" s="31"/>
      <c r="T175" s="31"/>
      <c r="U175" s="31"/>
      <c r="V175" s="31"/>
      <c r="W175" s="31"/>
    </row>
    <row r="176" spans="1:23" x14ac:dyDescent="0.25">
      <c r="B176" s="7" t="s">
        <v>247</v>
      </c>
      <c r="C176" s="210">
        <v>8891</v>
      </c>
      <c r="D176" s="13">
        <f t="shared" si="2"/>
        <v>0.23881844781942316</v>
      </c>
      <c r="E176" s="210"/>
      <c r="F176" s="31"/>
      <c r="G176" s="31"/>
      <c r="H176" s="31"/>
      <c r="I176" s="31"/>
      <c r="J176" s="31"/>
      <c r="K176" s="31"/>
      <c r="L176" s="31"/>
      <c r="M176" s="31"/>
      <c r="N176" s="31"/>
      <c r="O176" s="31"/>
      <c r="P176" s="31"/>
      <c r="Q176" s="31"/>
      <c r="R176" s="31"/>
      <c r="S176" s="31"/>
      <c r="T176" s="31"/>
      <c r="U176" s="31"/>
      <c r="V176" s="31"/>
      <c r="W176" s="31"/>
    </row>
    <row r="177" spans="2:23" x14ac:dyDescent="0.25">
      <c r="B177" s="7" t="s">
        <v>248</v>
      </c>
      <c r="C177" s="210">
        <v>10703</v>
      </c>
      <c r="D177" s="13">
        <f t="shared" si="2"/>
        <v>0.20380159712068383</v>
      </c>
      <c r="E177" s="210"/>
      <c r="F177" s="31"/>
      <c r="G177" s="31"/>
      <c r="H177" s="61"/>
      <c r="I177" s="61"/>
      <c r="J177" s="61"/>
      <c r="K177" s="61"/>
      <c r="L177" s="61"/>
      <c r="M177" s="61"/>
      <c r="N177" s="61"/>
      <c r="O177" s="61"/>
      <c r="P177" s="31"/>
      <c r="Q177" s="31"/>
      <c r="R177" s="31"/>
      <c r="S177" s="31"/>
      <c r="T177" s="31"/>
      <c r="U177" s="31"/>
      <c r="V177" s="31"/>
      <c r="W177" s="31"/>
    </row>
    <row r="178" spans="2:23" x14ac:dyDescent="0.25">
      <c r="B178" s="7" t="s">
        <v>249</v>
      </c>
      <c r="C178" s="210">
        <v>8950</v>
      </c>
      <c r="D178" s="13">
        <f t="shared" si="2"/>
        <v>-0.16378585443333646</v>
      </c>
      <c r="E178" s="210"/>
      <c r="F178" s="31"/>
      <c r="G178" s="31"/>
      <c r="H178" s="31"/>
      <c r="I178" s="31"/>
      <c r="J178" s="61"/>
      <c r="K178" s="61"/>
      <c r="L178" s="61"/>
      <c r="M178" s="61"/>
      <c r="N178" s="61"/>
      <c r="O178" s="61"/>
      <c r="P178" s="31"/>
      <c r="Q178" s="31"/>
      <c r="R178" s="31"/>
      <c r="S178" s="31"/>
      <c r="T178" s="31"/>
      <c r="U178" s="31"/>
      <c r="V178" s="31"/>
      <c r="W178" s="31"/>
    </row>
    <row r="179" spans="2:23" x14ac:dyDescent="0.25">
      <c r="B179" s="7" t="s">
        <v>250</v>
      </c>
      <c r="C179" s="210">
        <v>12301</v>
      </c>
      <c r="D179" s="13">
        <f t="shared" si="2"/>
        <v>0.37441340782122906</v>
      </c>
      <c r="E179" s="210"/>
      <c r="F179" s="31"/>
      <c r="G179" s="31"/>
      <c r="H179" s="61"/>
      <c r="I179" s="61"/>
      <c r="J179" s="61"/>
      <c r="K179" s="61"/>
      <c r="L179" s="61"/>
      <c r="M179" s="61"/>
      <c r="N179" s="61"/>
      <c r="O179" s="61"/>
      <c r="P179" s="31"/>
      <c r="Q179" s="31"/>
      <c r="R179" s="31"/>
      <c r="S179" s="31"/>
      <c r="T179" s="31"/>
      <c r="U179" s="31"/>
      <c r="V179" s="31"/>
      <c r="W179" s="31"/>
    </row>
    <row r="180" spans="2:23" x14ac:dyDescent="0.25">
      <c r="B180" s="7" t="s">
        <v>236</v>
      </c>
      <c r="C180" s="210">
        <v>13721</v>
      </c>
      <c r="D180" s="13">
        <f t="shared" si="2"/>
        <v>0.11543776928704984</v>
      </c>
      <c r="E180" s="210"/>
      <c r="F180" s="31"/>
      <c r="G180" s="61"/>
      <c r="H180" s="61"/>
      <c r="I180" s="61"/>
      <c r="J180" s="61"/>
      <c r="K180" s="61"/>
      <c r="L180" s="61"/>
      <c r="M180" s="61"/>
      <c r="N180" s="61"/>
      <c r="O180" s="61"/>
      <c r="P180" s="31"/>
      <c r="Q180" s="31"/>
      <c r="R180" s="31"/>
      <c r="S180" s="31"/>
      <c r="T180" s="31"/>
      <c r="U180" s="31"/>
      <c r="V180" s="31"/>
      <c r="W180" s="31"/>
    </row>
    <row r="181" spans="2:23" x14ac:dyDescent="0.25">
      <c r="B181" s="7" t="s">
        <v>237</v>
      </c>
      <c r="C181" s="210">
        <v>11889</v>
      </c>
      <c r="D181" s="13">
        <f t="shared" si="2"/>
        <v>-0.133517965162889</v>
      </c>
      <c r="E181" s="210"/>
      <c r="F181" s="31"/>
      <c r="G181" s="213"/>
      <c r="H181" s="213"/>
      <c r="I181" s="213"/>
      <c r="J181" s="213"/>
      <c r="K181" s="61"/>
      <c r="L181" s="61"/>
      <c r="M181" s="61"/>
      <c r="N181" s="61"/>
      <c r="O181" s="61"/>
      <c r="P181" s="31"/>
      <c r="Q181" s="31"/>
      <c r="R181" s="31"/>
      <c r="S181" s="31"/>
      <c r="T181" s="31"/>
      <c r="U181" s="31"/>
      <c r="V181" s="31"/>
      <c r="W181" s="31"/>
    </row>
    <row r="182" spans="2:23" x14ac:dyDescent="0.25">
      <c r="B182" s="7" t="s">
        <v>238</v>
      </c>
      <c r="C182" s="210">
        <v>16488</v>
      </c>
      <c r="D182" s="13">
        <f t="shared" si="2"/>
        <v>0.38682816048448143</v>
      </c>
      <c r="E182" s="210"/>
      <c r="F182" s="31"/>
      <c r="G182" s="61"/>
      <c r="H182" s="61"/>
      <c r="I182" s="61"/>
      <c r="J182" s="61"/>
      <c r="K182" s="61"/>
      <c r="L182" s="61"/>
      <c r="M182" s="61"/>
      <c r="N182" s="61"/>
      <c r="O182" s="61"/>
      <c r="P182" s="31"/>
      <c r="Q182" s="31"/>
      <c r="R182" s="31"/>
      <c r="S182" s="31"/>
      <c r="T182" s="31"/>
      <c r="U182" s="31"/>
      <c r="V182" s="31"/>
      <c r="W182" s="31"/>
    </row>
    <row r="183" spans="2:23" x14ac:dyDescent="0.25">
      <c r="B183" s="7" t="s">
        <v>235</v>
      </c>
      <c r="C183" s="210">
        <v>21419</v>
      </c>
      <c r="D183" s="13">
        <f t="shared" si="2"/>
        <v>0.2990659873847647</v>
      </c>
      <c r="E183" s="210"/>
      <c r="F183" s="31"/>
      <c r="G183" s="61"/>
      <c r="H183" s="61"/>
      <c r="I183" s="61"/>
      <c r="J183" s="61"/>
      <c r="K183" s="61"/>
      <c r="L183" s="61"/>
      <c r="M183" s="61"/>
      <c r="N183" s="61"/>
      <c r="O183" s="61"/>
      <c r="P183" s="31"/>
      <c r="Q183" s="31"/>
      <c r="R183" s="31"/>
      <c r="S183" s="31"/>
      <c r="T183" s="31"/>
      <c r="U183" s="31"/>
      <c r="V183" s="31"/>
      <c r="W183" s="31"/>
    </row>
    <row r="184" spans="2:23" x14ac:dyDescent="0.25">
      <c r="B184" s="7" t="s">
        <v>234</v>
      </c>
      <c r="C184" s="210">
        <v>20464</v>
      </c>
      <c r="D184" s="13">
        <f t="shared" si="2"/>
        <v>-4.4586582006629627E-2</v>
      </c>
      <c r="E184" s="210"/>
      <c r="F184" s="31"/>
      <c r="G184" s="61"/>
      <c r="H184" s="61"/>
      <c r="I184" s="61"/>
      <c r="J184" s="61"/>
      <c r="K184" s="61"/>
      <c r="L184" s="61"/>
      <c r="M184" s="61"/>
      <c r="N184" s="61"/>
      <c r="O184" s="61"/>
      <c r="P184" s="31"/>
      <c r="Q184" s="31"/>
      <c r="R184" s="31"/>
      <c r="S184" s="31"/>
      <c r="T184" s="31"/>
      <c r="U184" s="31"/>
      <c r="V184" s="31"/>
      <c r="W184" s="31"/>
    </row>
    <row r="185" spans="2:23" x14ac:dyDescent="0.25">
      <c r="B185" s="7" t="s">
        <v>233</v>
      </c>
      <c r="C185" s="210">
        <v>15145</v>
      </c>
      <c r="D185" s="13">
        <f t="shared" si="2"/>
        <v>-0.25991985926505085</v>
      </c>
      <c r="E185" s="210"/>
      <c r="G185"/>
      <c r="H185"/>
      <c r="I185"/>
      <c r="J185"/>
      <c r="K185"/>
      <c r="L185"/>
      <c r="M185"/>
      <c r="N185"/>
      <c r="O185"/>
    </row>
    <row r="186" spans="2:23" x14ac:dyDescent="0.25">
      <c r="B186" s="7" t="s">
        <v>232</v>
      </c>
      <c r="C186" s="210">
        <v>6309</v>
      </c>
      <c r="D186" s="13">
        <f t="shared" si="2"/>
        <v>-0.58342687355562894</v>
      </c>
      <c r="E186" s="210"/>
      <c r="G186"/>
      <c r="H186"/>
      <c r="I186"/>
      <c r="J186"/>
      <c r="K186"/>
      <c r="L186"/>
      <c r="M186"/>
      <c r="N186"/>
      <c r="O186"/>
    </row>
    <row r="187" spans="2:23" x14ac:dyDescent="0.25">
      <c r="B187" s="7" t="s">
        <v>231</v>
      </c>
      <c r="C187" s="210">
        <v>9603</v>
      </c>
      <c r="D187" s="13">
        <f>(C187-C186)/C186</f>
        <v>0.52211126961483589</v>
      </c>
      <c r="E187" s="210"/>
      <c r="G187"/>
      <c r="H187"/>
      <c r="I187"/>
      <c r="J187"/>
      <c r="K187"/>
      <c r="L187"/>
      <c r="M187"/>
      <c r="N187"/>
      <c r="O187"/>
    </row>
    <row r="188" spans="2:23" x14ac:dyDescent="0.25">
      <c r="B188" s="27" t="s">
        <v>252</v>
      </c>
      <c r="C188" s="211">
        <f>C187*(1+D188)</f>
        <v>10947.420000000002</v>
      </c>
      <c r="D188" s="217">
        <v>0.14000000000000001</v>
      </c>
      <c r="G188"/>
      <c r="H188"/>
      <c r="I188"/>
      <c r="J188"/>
      <c r="K188"/>
      <c r="L188"/>
      <c r="M188"/>
      <c r="N188"/>
      <c r="O188"/>
    </row>
    <row r="189" spans="2:23" x14ac:dyDescent="0.25">
      <c r="B189" s="27" t="s">
        <v>253</v>
      </c>
      <c r="C189" s="211">
        <f t="shared" ref="C189:C194" si="3">C188*(1+D189)</f>
        <v>12480.058800000004</v>
      </c>
      <c r="D189" s="217">
        <v>0.14000000000000001</v>
      </c>
      <c r="G189"/>
      <c r="H189"/>
      <c r="I189"/>
      <c r="J189"/>
      <c r="K189"/>
      <c r="L189"/>
      <c r="M189"/>
      <c r="N189"/>
      <c r="O189"/>
    </row>
    <row r="190" spans="2:23" x14ac:dyDescent="0.25">
      <c r="B190" s="27" t="s">
        <v>254</v>
      </c>
      <c r="C190" s="211">
        <f t="shared" si="3"/>
        <v>14227.267032000007</v>
      </c>
      <c r="D190" s="217">
        <v>0.14000000000000001</v>
      </c>
      <c r="F190" s="7" t="s">
        <v>264</v>
      </c>
      <c r="G190" s="218">
        <f>SUM(C187:C190)</f>
        <v>47257.745832000015</v>
      </c>
      <c r="H190"/>
      <c r="I190"/>
      <c r="J190"/>
      <c r="K190"/>
      <c r="L190"/>
      <c r="M190"/>
      <c r="N190"/>
      <c r="O190"/>
    </row>
    <row r="191" spans="2:23" x14ac:dyDescent="0.25">
      <c r="B191" s="27" t="s">
        <v>255</v>
      </c>
      <c r="C191" s="211">
        <f t="shared" si="3"/>
        <v>16219.084416480009</v>
      </c>
      <c r="D191" s="217">
        <v>0.14000000000000001</v>
      </c>
      <c r="F191" s="7" t="s">
        <v>263</v>
      </c>
      <c r="G191" s="218">
        <f>SUM(C191:C194)</f>
        <v>79816.449961654114</v>
      </c>
      <c r="H191"/>
      <c r="I191"/>
      <c r="J191"/>
      <c r="K191"/>
      <c r="L191"/>
      <c r="M191"/>
      <c r="N191"/>
      <c r="O191"/>
    </row>
    <row r="192" spans="2:23" x14ac:dyDescent="0.25">
      <c r="B192" s="27" t="s">
        <v>256</v>
      </c>
      <c r="C192" s="211">
        <f t="shared" si="3"/>
        <v>18489.756234787212</v>
      </c>
      <c r="D192" s="217">
        <v>0.14000000000000001</v>
      </c>
      <c r="G192"/>
      <c r="H192"/>
      <c r="I192"/>
      <c r="J192"/>
      <c r="K192"/>
      <c r="L192"/>
      <c r="M192"/>
      <c r="N192"/>
      <c r="O192"/>
    </row>
    <row r="193" spans="2:24" x14ac:dyDescent="0.25">
      <c r="B193" s="27" t="s">
        <v>257</v>
      </c>
      <c r="C193" s="211">
        <f t="shared" si="3"/>
        <v>21078.322107657423</v>
      </c>
      <c r="D193" s="217">
        <v>0.14000000000000001</v>
      </c>
    </row>
    <row r="194" spans="2:24" x14ac:dyDescent="0.25">
      <c r="B194" s="27" t="s">
        <v>258</v>
      </c>
      <c r="C194" s="211">
        <f t="shared" si="3"/>
        <v>24029.287202729465</v>
      </c>
      <c r="D194" s="217">
        <v>0.14000000000000001</v>
      </c>
    </row>
    <row r="198" spans="2:24" x14ac:dyDescent="0.25">
      <c r="B198" s="7" t="s">
        <v>14</v>
      </c>
      <c r="C198" s="7" t="s">
        <v>216</v>
      </c>
      <c r="X198" s="7" t="s">
        <v>262</v>
      </c>
    </row>
    <row r="199" spans="2:24" x14ac:dyDescent="0.25">
      <c r="B199" s="7">
        <v>2011</v>
      </c>
      <c r="C199" s="11">
        <v>31</v>
      </c>
    </row>
    <row r="200" spans="2:24" x14ac:dyDescent="0.25">
      <c r="B200" s="7">
        <v>2012</v>
      </c>
      <c r="C200" s="11">
        <v>29</v>
      </c>
    </row>
    <row r="201" spans="2:24" x14ac:dyDescent="0.25">
      <c r="B201" s="7">
        <v>2013</v>
      </c>
      <c r="C201" s="11">
        <v>21</v>
      </c>
    </row>
    <row r="202" spans="2:24" x14ac:dyDescent="0.25">
      <c r="B202" s="7">
        <v>2014</v>
      </c>
      <c r="C202" s="11">
        <v>13</v>
      </c>
    </row>
    <row r="203" spans="2:24" x14ac:dyDescent="0.25">
      <c r="B203" s="7">
        <v>2015</v>
      </c>
      <c r="C203" s="11">
        <v>7</v>
      </c>
    </row>
    <row r="204" spans="2:24" x14ac:dyDescent="0.25">
      <c r="B204" s="7">
        <v>2016</v>
      </c>
      <c r="C204" s="11">
        <v>15</v>
      </c>
    </row>
    <row r="205" spans="2:24" x14ac:dyDescent="0.25">
      <c r="B205" s="7">
        <v>2017</v>
      </c>
      <c r="C205" s="11">
        <v>13</v>
      </c>
    </row>
    <row r="206" spans="2:24" x14ac:dyDescent="0.25">
      <c r="B206" s="7">
        <v>2018</v>
      </c>
      <c r="C206" s="11">
        <v>27</v>
      </c>
    </row>
    <row r="207" spans="2:24" x14ac:dyDescent="0.25">
      <c r="B207" s="7">
        <v>2019</v>
      </c>
      <c r="C207" s="11">
        <v>23</v>
      </c>
    </row>
    <row r="208" spans="2:24" x14ac:dyDescent="0.25">
      <c r="B208" s="7">
        <v>2020</v>
      </c>
      <c r="C208" s="11">
        <v>30</v>
      </c>
    </row>
    <row r="209" spans="2:25" x14ac:dyDescent="0.25">
      <c r="B209" s="7">
        <v>2021</v>
      </c>
      <c r="C209" s="11">
        <v>36</v>
      </c>
    </row>
    <row r="210" spans="2:25" x14ac:dyDescent="0.25">
      <c r="B210" s="7">
        <v>2022</v>
      </c>
      <c r="C210" s="11">
        <v>54</v>
      </c>
    </row>
    <row r="211" spans="2:25" x14ac:dyDescent="0.25">
      <c r="B211" s="7">
        <v>2023</v>
      </c>
      <c r="C211" s="11">
        <v>63</v>
      </c>
    </row>
    <row r="212" spans="2:25" x14ac:dyDescent="0.25">
      <c r="B212" s="7">
        <v>2024</v>
      </c>
      <c r="C212" s="158">
        <f>G190/1000</f>
        <v>47.257745832000012</v>
      </c>
    </row>
    <row r="213" spans="2:25" x14ac:dyDescent="0.25">
      <c r="B213" s="7">
        <v>2025</v>
      </c>
      <c r="C213" s="158">
        <f>G191/1000</f>
        <v>79.816449961654115</v>
      </c>
    </row>
    <row r="215" spans="2:25" x14ac:dyDescent="0.25">
      <c r="Y215" s="7" t="s">
        <v>265</v>
      </c>
    </row>
    <row r="218" spans="2:25" x14ac:dyDescent="0.25">
      <c r="B218" s="7" t="s">
        <v>239</v>
      </c>
      <c r="C218" s="7" t="s">
        <v>216</v>
      </c>
      <c r="D218" s="7" t="s">
        <v>260</v>
      </c>
      <c r="E218" s="7" t="s">
        <v>332</v>
      </c>
      <c r="F218" s="7" t="s">
        <v>339</v>
      </c>
      <c r="G218" s="7" t="s">
        <v>333</v>
      </c>
    </row>
    <row r="219" spans="2:25" x14ac:dyDescent="0.25">
      <c r="B219" s="7" t="s">
        <v>240</v>
      </c>
      <c r="C219" s="11">
        <v>8.0440000000000005</v>
      </c>
      <c r="D219" s="13"/>
      <c r="E219" s="11">
        <v>119.217</v>
      </c>
      <c r="G219" s="12">
        <f>C219/E219</f>
        <v>6.7473598563963191E-2</v>
      </c>
      <c r="I219" s="210"/>
      <c r="J219" s="11"/>
    </row>
    <row r="220" spans="2:25" x14ac:dyDescent="0.25">
      <c r="B220" s="7" t="s">
        <v>241</v>
      </c>
      <c r="C220" s="11">
        <v>5.6020000000000003</v>
      </c>
      <c r="D220" s="13">
        <v>-0.3035803083043262</v>
      </c>
      <c r="E220" s="11">
        <v>113.649</v>
      </c>
      <c r="F220" s="13">
        <f t="shared" ref="F220:F236" si="4">(E220-E219)/E219</f>
        <v>-4.6704748483857153E-2</v>
      </c>
      <c r="G220" s="12">
        <f t="shared" ref="G220:G237" si="5">C220/E220</f>
        <v>4.9292118716398742E-2</v>
      </c>
      <c r="I220" s="210"/>
      <c r="J220" s="11"/>
    </row>
    <row r="221" spans="2:25" x14ac:dyDescent="0.25">
      <c r="B221" s="7" t="s">
        <v>242</v>
      </c>
      <c r="C221" s="11">
        <v>3.653</v>
      </c>
      <c r="D221" s="13">
        <v>-0.34791146019278829</v>
      </c>
      <c r="E221" s="11">
        <v>102.852</v>
      </c>
      <c r="F221" s="13">
        <f t="shared" si="4"/>
        <v>-9.5003035662434315E-2</v>
      </c>
      <c r="G221" s="12">
        <f t="shared" si="5"/>
        <v>3.5517053630459303E-2</v>
      </c>
      <c r="I221" s="210"/>
      <c r="J221" s="11"/>
    </row>
    <row r="222" spans="2:25" x14ac:dyDescent="0.25">
      <c r="B222" s="7" t="s">
        <v>243</v>
      </c>
      <c r="C222" s="11">
        <v>10.488</v>
      </c>
      <c r="D222" s="13">
        <v>1.8710648781823158</v>
      </c>
      <c r="E222" s="11">
        <v>117.629</v>
      </c>
      <c r="F222" s="13">
        <f t="shared" si="4"/>
        <v>0.14367246140084783</v>
      </c>
      <c r="G222" s="12">
        <f t="shared" si="5"/>
        <v>8.9161686318849936E-2</v>
      </c>
      <c r="I222" s="210"/>
      <c r="J222" s="11"/>
    </row>
    <row r="223" spans="2:25" x14ac:dyDescent="0.25">
      <c r="B223" s="7" t="s">
        <v>244</v>
      </c>
      <c r="C223" s="11">
        <v>12.962</v>
      </c>
      <c r="D223" s="13">
        <v>0.23588863463005338</v>
      </c>
      <c r="E223" s="11">
        <v>127.46299999999999</v>
      </c>
      <c r="F223" s="13">
        <f t="shared" si="4"/>
        <v>8.3601832881347191E-2</v>
      </c>
      <c r="G223" s="12">
        <f t="shared" si="5"/>
        <v>0.10169225579187686</v>
      </c>
      <c r="I223" s="210"/>
      <c r="J223" s="11"/>
    </row>
    <row r="224" spans="2:25" x14ac:dyDescent="0.25">
      <c r="B224" s="7" t="s">
        <v>245</v>
      </c>
      <c r="C224" s="11">
        <v>2.6579999999999999</v>
      </c>
      <c r="D224" s="13">
        <v>-0.79493905261533715</v>
      </c>
      <c r="E224" s="11">
        <v>118.505</v>
      </c>
      <c r="F224" s="13">
        <f t="shared" si="4"/>
        <v>-7.0279218282952693E-2</v>
      </c>
      <c r="G224" s="12">
        <f t="shared" si="5"/>
        <v>2.2429433357242311E-2</v>
      </c>
      <c r="I224" s="210"/>
      <c r="J224" s="11"/>
    </row>
    <row r="225" spans="2:10" x14ac:dyDescent="0.25">
      <c r="B225" s="7" t="s">
        <v>246</v>
      </c>
      <c r="C225" s="11">
        <v>7.1769999999999996</v>
      </c>
      <c r="D225" s="13">
        <v>1.7001504890895409</v>
      </c>
      <c r="E225" s="11">
        <v>117.553</v>
      </c>
      <c r="F225" s="13">
        <f t="shared" si="4"/>
        <v>-8.0334163115480216E-3</v>
      </c>
      <c r="G225" s="12">
        <f t="shared" si="5"/>
        <v>6.1053312123042373E-2</v>
      </c>
      <c r="I225" s="210"/>
      <c r="J225" s="11"/>
    </row>
    <row r="226" spans="2:10" x14ac:dyDescent="0.25">
      <c r="B226" s="7" t="s">
        <v>247</v>
      </c>
      <c r="C226" s="11">
        <v>8.891</v>
      </c>
      <c r="D226" s="13">
        <v>0.23881844781942316</v>
      </c>
      <c r="E226" s="11">
        <v>133.03800000000001</v>
      </c>
      <c r="F226" s="13">
        <f t="shared" si="4"/>
        <v>0.13172781638920328</v>
      </c>
      <c r="G226" s="12">
        <f t="shared" si="5"/>
        <v>6.6830529623115198E-2</v>
      </c>
      <c r="I226" s="210"/>
      <c r="J226" s="11"/>
    </row>
    <row r="227" spans="2:10" x14ac:dyDescent="0.25">
      <c r="B227" s="7" t="s">
        <v>248</v>
      </c>
      <c r="C227" s="11">
        <v>10.702999999999999</v>
      </c>
      <c r="D227" s="13">
        <v>0.20380159712068383</v>
      </c>
      <c r="E227" s="11">
        <v>135.38</v>
      </c>
      <c r="F227" s="13">
        <f t="shared" si="4"/>
        <v>1.7603992844149673E-2</v>
      </c>
      <c r="G227" s="12">
        <f t="shared" si="5"/>
        <v>7.9058945191313332E-2</v>
      </c>
      <c r="I227" s="210"/>
      <c r="J227" s="11"/>
    </row>
    <row r="228" spans="2:10" x14ac:dyDescent="0.25">
      <c r="B228" s="7" t="s">
        <v>249</v>
      </c>
      <c r="C228" s="11">
        <v>8.9499999999999993</v>
      </c>
      <c r="D228" s="13">
        <v>-0.16378585443333646</v>
      </c>
      <c r="E228" s="11">
        <v>131.446</v>
      </c>
      <c r="F228" s="13">
        <f t="shared" si="4"/>
        <v>-2.9058945191313322E-2</v>
      </c>
      <c r="G228" s="12">
        <f t="shared" si="5"/>
        <v>6.8088796920408381E-2</v>
      </c>
      <c r="I228" s="210"/>
      <c r="J228" s="11"/>
    </row>
    <row r="229" spans="2:10" x14ac:dyDescent="0.25">
      <c r="B229" s="7" t="s">
        <v>250</v>
      </c>
      <c r="C229" s="11">
        <v>12.301</v>
      </c>
      <c r="D229" s="13">
        <v>0.37441340782122906</v>
      </c>
      <c r="E229" s="11">
        <v>138.22300000000001</v>
      </c>
      <c r="F229" s="13">
        <f t="shared" si="4"/>
        <v>5.1557293489341745E-2</v>
      </c>
      <c r="G229" s="12">
        <f t="shared" si="5"/>
        <v>8.8993872220976239E-2</v>
      </c>
      <c r="I229" s="210"/>
      <c r="J229" s="11"/>
    </row>
    <row r="230" spans="2:10" x14ac:dyDescent="0.25">
      <c r="B230" s="7" t="s">
        <v>236</v>
      </c>
      <c r="C230" s="11">
        <v>13.721</v>
      </c>
      <c r="D230" s="13">
        <v>0.11543776928704984</v>
      </c>
      <c r="E230" s="11">
        <v>163.74100000000001</v>
      </c>
      <c r="F230" s="13">
        <f t="shared" si="4"/>
        <v>0.18461471679821737</v>
      </c>
      <c r="G230" s="12">
        <f t="shared" si="5"/>
        <v>8.3796972047318619E-2</v>
      </c>
      <c r="I230" s="210"/>
      <c r="J230" s="11"/>
    </row>
    <row r="231" spans="2:10" x14ac:dyDescent="0.25">
      <c r="B231" s="7" t="s">
        <v>237</v>
      </c>
      <c r="C231" s="11">
        <v>11.888999999999999</v>
      </c>
      <c r="D231" s="13">
        <v>-0.133517965162889</v>
      </c>
      <c r="E231" s="11">
        <v>165.40199999999999</v>
      </c>
      <c r="F231" s="13">
        <f t="shared" si="4"/>
        <v>1.0144068986997592E-2</v>
      </c>
      <c r="G231" s="12">
        <f t="shared" si="5"/>
        <v>7.187942104690391E-2</v>
      </c>
      <c r="I231" s="210"/>
      <c r="J231" s="11"/>
    </row>
    <row r="232" spans="2:10" x14ac:dyDescent="0.25">
      <c r="B232" s="7" t="s">
        <v>238</v>
      </c>
      <c r="C232" s="11">
        <v>16.488</v>
      </c>
      <c r="D232" s="13">
        <v>0.38682816048448143</v>
      </c>
      <c r="E232" s="11">
        <v>169.92500000000001</v>
      </c>
      <c r="F232" s="13">
        <f t="shared" si="4"/>
        <v>2.7345497636062591E-2</v>
      </c>
      <c r="G232" s="12">
        <f t="shared" si="5"/>
        <v>9.703104310725319E-2</v>
      </c>
      <c r="I232" s="210"/>
      <c r="J232" s="11"/>
    </row>
    <row r="233" spans="2:10" x14ac:dyDescent="0.25">
      <c r="B233" s="7" t="s">
        <v>235</v>
      </c>
      <c r="C233" s="11">
        <v>21.419</v>
      </c>
      <c r="D233" s="13">
        <v>0.2990659873847647</v>
      </c>
      <c r="E233" s="11">
        <v>181.82400000000001</v>
      </c>
      <c r="F233" s="13">
        <f t="shared" si="4"/>
        <v>7.0025011034279827E-2</v>
      </c>
      <c r="G233" s="12">
        <f t="shared" si="5"/>
        <v>0.11780073037662794</v>
      </c>
      <c r="I233" s="210"/>
      <c r="J233" s="11"/>
    </row>
    <row r="234" spans="2:10" x14ac:dyDescent="0.25">
      <c r="B234" s="7" t="s">
        <v>234</v>
      </c>
      <c r="C234" s="11">
        <v>20.463999999999999</v>
      </c>
      <c r="D234" s="13">
        <v>-4.4586582006629627E-2</v>
      </c>
      <c r="E234" s="11">
        <v>181.81299999999999</v>
      </c>
      <c r="F234" s="13">
        <f t="shared" si="4"/>
        <v>-6.0498064062082566E-5</v>
      </c>
      <c r="G234" s="12">
        <f t="shared" si="5"/>
        <v>0.11255520782342297</v>
      </c>
      <c r="I234" s="210"/>
      <c r="J234" s="11"/>
    </row>
    <row r="235" spans="2:10" x14ac:dyDescent="0.25">
      <c r="B235" s="7" t="s">
        <v>233</v>
      </c>
      <c r="C235" s="11">
        <v>15.145</v>
      </c>
      <c r="D235" s="13">
        <v>-0.25991985926505085</v>
      </c>
      <c r="E235" s="11">
        <v>160.43799999999999</v>
      </c>
      <c r="F235" s="13">
        <f t="shared" si="4"/>
        <v>-0.11756585062674287</v>
      </c>
      <c r="G235" s="12">
        <f t="shared" si="5"/>
        <v>9.4397835924157625E-2</v>
      </c>
      <c r="I235" s="210"/>
      <c r="J235" s="11"/>
    </row>
    <row r="236" spans="2:10" x14ac:dyDescent="0.25">
      <c r="B236" s="7" t="s">
        <v>232</v>
      </c>
      <c r="C236" s="11">
        <v>6.3090000000000002</v>
      </c>
      <c r="D236" s="13">
        <v>-0.58342687355562894</v>
      </c>
      <c r="E236" s="11">
        <v>145.60400000000001</v>
      </c>
      <c r="F236" s="13">
        <f t="shared" si="4"/>
        <v>-9.2459392413268532E-2</v>
      </c>
      <c r="G236" s="12">
        <f t="shared" si="5"/>
        <v>4.3329853575451223E-2</v>
      </c>
      <c r="I236" s="210"/>
      <c r="J236" s="11"/>
    </row>
    <row r="237" spans="2:10" x14ac:dyDescent="0.25">
      <c r="B237" s="7" t="s">
        <v>231</v>
      </c>
      <c r="C237" s="11">
        <v>9.6029999999999998</v>
      </c>
      <c r="D237" s="13">
        <v>0.52211126961483589</v>
      </c>
      <c r="E237" s="11">
        <v>140.904</v>
      </c>
      <c r="F237" s="13">
        <f>(E237-E236)/E236</f>
        <v>-3.2279332985357657E-2</v>
      </c>
      <c r="G237" s="12">
        <f t="shared" si="5"/>
        <v>6.8152784874808386E-2</v>
      </c>
      <c r="I237" s="210"/>
      <c r="J237" s="11"/>
    </row>
    <row r="238" spans="2:10" x14ac:dyDescent="0.25">
      <c r="F238" s="13"/>
    </row>
    <row r="241" spans="2:24" x14ac:dyDescent="0.25">
      <c r="B241" s="7" t="s">
        <v>239</v>
      </c>
      <c r="C241" s="7" t="s">
        <v>216</v>
      </c>
      <c r="D241" s="7" t="s">
        <v>260</v>
      </c>
      <c r="E241" s="7" t="s">
        <v>318</v>
      </c>
    </row>
    <row r="242" spans="2:24" x14ac:dyDescent="0.25">
      <c r="B242" s="7" t="s">
        <v>243</v>
      </c>
      <c r="C242" s="210">
        <v>10488</v>
      </c>
      <c r="D242" s="13">
        <v>1.8710648781823158</v>
      </c>
      <c r="E242" s="12" t="e">
        <f t="shared" ref="E242:E244" si="6">(C242-C241)/C241</f>
        <v>#VALUE!</v>
      </c>
    </row>
    <row r="243" spans="2:24" x14ac:dyDescent="0.25">
      <c r="B243" s="7" t="s">
        <v>247</v>
      </c>
      <c r="C243" s="210">
        <v>8891</v>
      </c>
      <c r="D243" s="13">
        <v>0.23881844781942316</v>
      </c>
      <c r="E243" s="12">
        <f t="shared" si="6"/>
        <v>-0.15226926010678871</v>
      </c>
    </row>
    <row r="244" spans="2:24" x14ac:dyDescent="0.25">
      <c r="B244" s="248" t="s">
        <v>236</v>
      </c>
      <c r="C244" s="249">
        <v>13721</v>
      </c>
      <c r="D244" s="250">
        <v>0.11543776928704984</v>
      </c>
      <c r="E244" s="251">
        <f t="shared" si="6"/>
        <v>0.54324597907996852</v>
      </c>
    </row>
    <row r="245" spans="2:24" x14ac:dyDescent="0.25">
      <c r="B245" s="248" t="s">
        <v>234</v>
      </c>
      <c r="C245" s="249">
        <v>20464</v>
      </c>
      <c r="D245" s="250">
        <v>-4.4586582006629599E-2</v>
      </c>
      <c r="E245" s="251">
        <f>(C245-C244)/C244</f>
        <v>0.49143648422126668</v>
      </c>
    </row>
    <row r="246" spans="2:24" x14ac:dyDescent="0.25">
      <c r="C246" s="210"/>
      <c r="D246" s="13"/>
    </row>
    <row r="247" spans="2:24" x14ac:dyDescent="0.25">
      <c r="C247" s="210"/>
      <c r="D247" s="13"/>
    </row>
    <row r="248" spans="2:24" x14ac:dyDescent="0.25">
      <c r="C248" s="210"/>
      <c r="D248" s="13"/>
    </row>
    <row r="250" spans="2:24" x14ac:dyDescent="0.25">
      <c r="C250" s="210"/>
      <c r="D250" s="13"/>
    </row>
    <row r="251" spans="2:24" x14ac:dyDescent="0.25">
      <c r="C251" s="210"/>
      <c r="D251" s="13"/>
    </row>
    <row r="252" spans="2:24" x14ac:dyDescent="0.25">
      <c r="C252" s="210"/>
      <c r="D252" s="13"/>
    </row>
    <row r="254" spans="2:24" x14ac:dyDescent="0.25">
      <c r="C254" s="210"/>
      <c r="D254" s="13"/>
    </row>
    <row r="255" spans="2:24" x14ac:dyDescent="0.25">
      <c r="C255" s="210"/>
      <c r="D255" s="13"/>
      <c r="T255" s="7" t="s">
        <v>332</v>
      </c>
      <c r="U255" s="7" t="s">
        <v>339</v>
      </c>
    </row>
    <row r="256" spans="2:24" x14ac:dyDescent="0.25">
      <c r="C256" s="210"/>
      <c r="D256" s="13"/>
      <c r="T256" s="11">
        <v>117.629</v>
      </c>
      <c r="U256" s="13">
        <v>0.14367246140084783</v>
      </c>
      <c r="W256" s="7" t="s">
        <v>139</v>
      </c>
      <c r="X256" s="19">
        <f>AVERAGE(U256:U265)</f>
        <v>7.2023219339638511E-2</v>
      </c>
    </row>
    <row r="257" spans="3:24" x14ac:dyDescent="0.25">
      <c r="T257" s="11">
        <v>127.46299999999999</v>
      </c>
      <c r="U257" s="13">
        <v>8.3601832881347191E-2</v>
      </c>
      <c r="W257" s="7" t="s">
        <v>140</v>
      </c>
      <c r="X257" s="19">
        <f>MEDIAN(U256:U265)</f>
        <v>6.0791152261810782E-2</v>
      </c>
    </row>
    <row r="258" spans="3:24" x14ac:dyDescent="0.25">
      <c r="C258" s="210"/>
      <c r="D258" s="13"/>
      <c r="T258" s="11">
        <v>133.03800000000001</v>
      </c>
      <c r="U258" s="13">
        <v>0.13172781638920328</v>
      </c>
    </row>
    <row r="259" spans="3:24" x14ac:dyDescent="0.25">
      <c r="C259" s="210"/>
      <c r="D259" s="13"/>
      <c r="T259" s="11">
        <v>135.38</v>
      </c>
      <c r="U259" s="13">
        <v>1.7603992844149673E-2</v>
      </c>
    </row>
    <row r="260" spans="3:24" x14ac:dyDescent="0.25">
      <c r="C260" s="210"/>
      <c r="D260" s="13"/>
      <c r="T260" s="11">
        <v>138.22300000000001</v>
      </c>
      <c r="U260" s="13">
        <v>5.1557293489341745E-2</v>
      </c>
    </row>
    <row r="261" spans="3:24" x14ac:dyDescent="0.25">
      <c r="T261" s="11">
        <v>163.74100000000001</v>
      </c>
      <c r="U261" s="13">
        <v>0.18461471679821737</v>
      </c>
    </row>
    <row r="262" spans="3:24" x14ac:dyDescent="0.25">
      <c r="T262" s="11">
        <v>165.40199999999999</v>
      </c>
      <c r="U262" s="13">
        <v>1.0144068986997592E-2</v>
      </c>
    </row>
    <row r="263" spans="3:24" x14ac:dyDescent="0.25">
      <c r="T263" s="11">
        <v>169.92500000000001</v>
      </c>
      <c r="U263" s="13">
        <v>2.7345497636062591E-2</v>
      </c>
    </row>
    <row r="264" spans="3:24" x14ac:dyDescent="0.25">
      <c r="T264" s="11">
        <v>181.82400000000001</v>
      </c>
      <c r="U264" s="13">
        <v>7.0025011034279827E-2</v>
      </c>
    </row>
    <row r="265" spans="3:24" x14ac:dyDescent="0.25">
      <c r="T265" s="11">
        <v>181.81299999999999</v>
      </c>
      <c r="U265" s="13">
        <v>-6.0498064062082566E-5</v>
      </c>
    </row>
    <row r="272" spans="3:24" x14ac:dyDescent="0.25">
      <c r="C272" s="7" t="s">
        <v>139</v>
      </c>
      <c r="D272" s="19">
        <f>AVERAGE(F220:F237)</f>
        <v>1.271379185771725E-2</v>
      </c>
    </row>
    <row r="273" spans="3:17" x14ac:dyDescent="0.25">
      <c r="C273" s="7" t="s">
        <v>140</v>
      </c>
      <c r="D273" s="19">
        <f>MEDIAN(F220:F237)</f>
        <v>5.0417854614677547E-3</v>
      </c>
    </row>
    <row r="274" spans="3:17" x14ac:dyDescent="0.25">
      <c r="L274" s="7" t="s">
        <v>14</v>
      </c>
      <c r="M274" s="7" t="s">
        <v>15</v>
      </c>
      <c r="O274" s="7" t="s">
        <v>239</v>
      </c>
      <c r="P274" s="7" t="s">
        <v>332</v>
      </c>
      <c r="Q274" s="7" t="s">
        <v>339</v>
      </c>
    </row>
    <row r="275" spans="3:17" x14ac:dyDescent="0.25">
      <c r="L275" s="7">
        <v>1996</v>
      </c>
      <c r="M275" s="11">
        <v>184.77799999999999</v>
      </c>
      <c r="O275" s="7" t="s">
        <v>240</v>
      </c>
      <c r="P275" s="11">
        <v>119.217</v>
      </c>
    </row>
    <row r="276" spans="3:17" x14ac:dyDescent="0.25">
      <c r="L276" s="7">
        <v>1997</v>
      </c>
      <c r="M276" s="11">
        <v>204.64400000000001</v>
      </c>
      <c r="O276" s="7" t="s">
        <v>241</v>
      </c>
      <c r="P276" s="11">
        <v>113.649</v>
      </c>
      <c r="Q276" s="13">
        <v>-4.6704748483857153E-2</v>
      </c>
    </row>
    <row r="277" spans="3:17" x14ac:dyDescent="0.25">
      <c r="D277" s="11"/>
      <c r="E277" s="13"/>
      <c r="F277" s="11"/>
      <c r="L277" s="7">
        <v>1998</v>
      </c>
      <c r="M277" s="11">
        <v>216.244</v>
      </c>
      <c r="O277" s="7" t="s">
        <v>242</v>
      </c>
      <c r="P277" s="11">
        <v>102.852</v>
      </c>
      <c r="Q277" s="13">
        <v>-9.5003035662434315E-2</v>
      </c>
    </row>
    <row r="278" spans="3:17" x14ac:dyDescent="0.25">
      <c r="L278" s="7">
        <v>1999</v>
      </c>
      <c r="M278" s="11">
        <v>195.245</v>
      </c>
      <c r="O278" s="7" t="s">
        <v>243</v>
      </c>
      <c r="P278" s="11">
        <v>117.629</v>
      </c>
      <c r="Q278" s="13">
        <v>0.14367246140084783</v>
      </c>
    </row>
    <row r="279" spans="3:17" x14ac:dyDescent="0.25">
      <c r="L279" s="7">
        <v>2000</v>
      </c>
      <c r="M279" s="11">
        <v>207.33199999999999</v>
      </c>
      <c r="O279" s="7" t="s">
        <v>244</v>
      </c>
      <c r="P279" s="11">
        <v>127.46299999999999</v>
      </c>
      <c r="Q279" s="13">
        <v>8.3601832881347191E-2</v>
      </c>
    </row>
    <row r="280" spans="3:17" x14ac:dyDescent="0.25">
      <c r="L280" s="7">
        <v>2001</v>
      </c>
      <c r="M280" s="11">
        <v>196.36500000000001</v>
      </c>
      <c r="O280" s="7" t="s">
        <v>245</v>
      </c>
      <c r="P280" s="11">
        <v>118.505</v>
      </c>
      <c r="Q280" s="13">
        <v>-7.0279218282952693E-2</v>
      </c>
    </row>
    <row r="281" spans="3:17" x14ac:dyDescent="0.25">
      <c r="L281" s="7">
        <v>2002</v>
      </c>
      <c r="M281" s="11">
        <v>169.84200000000001</v>
      </c>
      <c r="O281" s="7" t="s">
        <v>246</v>
      </c>
      <c r="P281" s="11">
        <v>117.553</v>
      </c>
      <c r="Q281" s="13">
        <v>-8.0334163115480216E-3</v>
      </c>
    </row>
    <row r="282" spans="3:17" x14ac:dyDescent="0.25">
      <c r="L282" s="7">
        <v>2003</v>
      </c>
      <c r="M282" s="11">
        <v>153.333</v>
      </c>
      <c r="O282" s="7" t="s">
        <v>247</v>
      </c>
      <c r="P282" s="11">
        <v>133.03800000000001</v>
      </c>
      <c r="Q282" s="13">
        <v>0.13172781638920328</v>
      </c>
    </row>
    <row r="283" spans="3:17" x14ac:dyDescent="0.25">
      <c r="L283" s="7">
        <v>2004</v>
      </c>
      <c r="M283" s="11">
        <v>183.11199999999999</v>
      </c>
      <c r="O283" s="7" t="s">
        <v>248</v>
      </c>
      <c r="P283" s="11">
        <v>135.38</v>
      </c>
      <c r="Q283" s="13">
        <v>1.7603992844149673E-2</v>
      </c>
    </row>
    <row r="284" spans="3:17" x14ac:dyDescent="0.25">
      <c r="L284" s="7">
        <v>2005</v>
      </c>
      <c r="M284" s="11">
        <v>205.804</v>
      </c>
      <c r="O284" s="7" t="s">
        <v>249</v>
      </c>
      <c r="P284" s="11">
        <v>131.446</v>
      </c>
      <c r="Q284" s="13">
        <v>-2.9058945191313322E-2</v>
      </c>
    </row>
    <row r="285" spans="3:17" x14ac:dyDescent="0.25">
      <c r="L285" s="7">
        <v>2006</v>
      </c>
      <c r="M285" s="11">
        <v>216.93700000000001</v>
      </c>
      <c r="O285" s="7" t="s">
        <v>250</v>
      </c>
      <c r="P285" s="11">
        <v>138.22300000000001</v>
      </c>
      <c r="Q285" s="13">
        <v>5.1557293489341745E-2</v>
      </c>
    </row>
    <row r="286" spans="3:17" x14ac:dyDescent="0.25">
      <c r="L286" s="7">
        <v>2007</v>
      </c>
      <c r="M286" s="11">
        <v>233.28899999999999</v>
      </c>
      <c r="O286" s="7" t="s">
        <v>236</v>
      </c>
      <c r="P286" s="11">
        <v>163.74100000000001</v>
      </c>
      <c r="Q286" s="13">
        <v>0.18461471679821737</v>
      </c>
    </row>
    <row r="287" spans="3:17" x14ac:dyDescent="0.25">
      <c r="L287" s="7">
        <v>2008</v>
      </c>
      <c r="M287" s="11">
        <v>269.74200000000002</v>
      </c>
      <c r="O287" s="7" t="s">
        <v>237</v>
      </c>
      <c r="P287" s="11">
        <v>165.40199999999999</v>
      </c>
      <c r="Q287" s="13">
        <v>1.0144068986997592E-2</v>
      </c>
    </row>
    <row r="288" spans="3:17" x14ac:dyDescent="0.25">
      <c r="L288" s="7">
        <v>2009</v>
      </c>
      <c r="M288" s="11">
        <v>257</v>
      </c>
      <c r="O288" s="7" t="s">
        <v>238</v>
      </c>
      <c r="P288" s="11">
        <v>169.92500000000001</v>
      </c>
      <c r="Q288" s="13">
        <v>2.7345497636062591E-2</v>
      </c>
    </row>
    <row r="289" spans="12:23" x14ac:dyDescent="0.25">
      <c r="L289" s="7">
        <v>2010</v>
      </c>
      <c r="M289" s="11">
        <v>338</v>
      </c>
      <c r="O289" s="7" t="s">
        <v>235</v>
      </c>
      <c r="P289" s="11">
        <v>181.82400000000001</v>
      </c>
      <c r="Q289" s="13">
        <v>7.0025011034279827E-2</v>
      </c>
    </row>
    <row r="290" spans="12:23" x14ac:dyDescent="0.25">
      <c r="L290" s="7">
        <v>2011</v>
      </c>
      <c r="M290" s="11">
        <v>424</v>
      </c>
      <c r="O290" s="7" t="s">
        <v>234</v>
      </c>
      <c r="P290" s="11">
        <v>181.81299999999999</v>
      </c>
      <c r="Q290" s="13">
        <v>-6.0498064062082566E-5</v>
      </c>
    </row>
    <row r="291" spans="12:23" x14ac:dyDescent="0.25">
      <c r="L291" s="7">
        <v>2012</v>
      </c>
      <c r="M291" s="11">
        <v>439</v>
      </c>
      <c r="O291" s="7" t="s">
        <v>233</v>
      </c>
      <c r="P291" s="11">
        <v>160.43799999999999</v>
      </c>
      <c r="Q291" s="13">
        <v>-0.11756585062674287</v>
      </c>
    </row>
    <row r="292" spans="12:23" x14ac:dyDescent="0.25">
      <c r="L292" s="7">
        <v>2013</v>
      </c>
      <c r="M292" s="11">
        <v>410</v>
      </c>
      <c r="O292" s="7" t="s">
        <v>232</v>
      </c>
      <c r="P292" s="11">
        <v>145.60400000000001</v>
      </c>
      <c r="Q292" s="13">
        <v>-9.2459392413268532E-2</v>
      </c>
    </row>
    <row r="293" spans="12:23" x14ac:dyDescent="0.25">
      <c r="L293" s="7">
        <v>2014</v>
      </c>
      <c r="M293" s="11">
        <v>388</v>
      </c>
      <c r="O293" s="7" t="s">
        <v>231</v>
      </c>
      <c r="P293" s="11">
        <v>140.904</v>
      </c>
      <c r="Q293" s="13">
        <v>-3.2279332985357657E-2</v>
      </c>
    </row>
    <row r="294" spans="12:23" x14ac:dyDescent="0.25">
      <c r="L294" s="7">
        <v>2015</v>
      </c>
      <c r="M294" s="11">
        <v>355</v>
      </c>
      <c r="O294" s="27" t="s">
        <v>252</v>
      </c>
      <c r="P294" s="252">
        <f>P293*(1+Q294)</f>
        <v>140.904</v>
      </c>
      <c r="Q294" s="28">
        <v>0</v>
      </c>
    </row>
    <row r="295" spans="12:23" x14ac:dyDescent="0.25">
      <c r="L295" s="7">
        <v>2016</v>
      </c>
      <c r="M295" s="11">
        <v>337</v>
      </c>
      <c r="O295" s="27" t="s">
        <v>253</v>
      </c>
      <c r="P295" s="252">
        <f t="shared" ref="P295:P300" si="7">P294*(1+Q295)</f>
        <v>149.35824</v>
      </c>
      <c r="Q295" s="28">
        <v>0.06</v>
      </c>
    </row>
    <row r="296" spans="12:23" x14ac:dyDescent="0.25">
      <c r="L296" s="7">
        <v>2017</v>
      </c>
      <c r="M296" s="11">
        <v>378</v>
      </c>
      <c r="O296" s="27" t="s">
        <v>254</v>
      </c>
      <c r="P296" s="252">
        <f t="shared" si="7"/>
        <v>158.31973440000002</v>
      </c>
      <c r="Q296" s="28">
        <v>0.06</v>
      </c>
    </row>
    <row r="297" spans="12:23" x14ac:dyDescent="0.25">
      <c r="L297" s="7">
        <v>2018</v>
      </c>
      <c r="M297" s="11">
        <v>421</v>
      </c>
      <c r="O297" s="7" t="s">
        <v>255</v>
      </c>
      <c r="P297" s="252">
        <f t="shared" si="7"/>
        <v>167.81891846400003</v>
      </c>
      <c r="Q297" s="28">
        <v>0.06</v>
      </c>
    </row>
    <row r="298" spans="12:23" x14ac:dyDescent="0.25">
      <c r="L298" s="7">
        <v>2019</v>
      </c>
      <c r="M298" s="11">
        <v>444.9</v>
      </c>
      <c r="O298" s="27" t="s">
        <v>256</v>
      </c>
      <c r="P298" s="252">
        <f t="shared" si="7"/>
        <v>177.88805357184003</v>
      </c>
      <c r="Q298" s="28">
        <v>0.06</v>
      </c>
      <c r="S298" s="7" t="s">
        <v>342</v>
      </c>
      <c r="U298" s="11">
        <f>SUM(P293:P296)</f>
        <v>589.48597440000003</v>
      </c>
    </row>
    <row r="299" spans="12:23" x14ac:dyDescent="0.25">
      <c r="L299" s="7">
        <v>2020</v>
      </c>
      <c r="M299" s="11">
        <v>466.4</v>
      </c>
      <c r="O299" s="27" t="s">
        <v>257</v>
      </c>
      <c r="P299" s="252">
        <f t="shared" si="7"/>
        <v>188.56133678615043</v>
      </c>
      <c r="Q299" s="28">
        <v>0.06</v>
      </c>
    </row>
    <row r="300" spans="12:23" x14ac:dyDescent="0.25">
      <c r="L300" s="7">
        <v>2021</v>
      </c>
      <c r="M300" s="11">
        <v>517.4</v>
      </c>
      <c r="O300" s="27" t="s">
        <v>258</v>
      </c>
      <c r="P300" s="252">
        <f t="shared" si="7"/>
        <v>199.87501699331946</v>
      </c>
      <c r="Q300" s="28">
        <v>0.06</v>
      </c>
      <c r="S300" s="7" t="s">
        <v>343</v>
      </c>
      <c r="U300" s="11">
        <f>SUM(P297:P300)</f>
        <v>734.14332581531005</v>
      </c>
      <c r="W300" s="13">
        <f>(U300-U298)/U298</f>
        <v>0.24539574764700289</v>
      </c>
    </row>
    <row r="301" spans="12:23" x14ac:dyDescent="0.25">
      <c r="L301" s="7">
        <v>2022</v>
      </c>
      <c r="M301" s="11">
        <v>637</v>
      </c>
    </row>
    <row r="302" spans="12:23" x14ac:dyDescent="0.25">
      <c r="L302" s="7">
        <v>2023</v>
      </c>
      <c r="M302" s="11">
        <v>669.7</v>
      </c>
    </row>
    <row r="303" spans="12:23" x14ac:dyDescent="0.25">
      <c r="L303" s="27">
        <v>2024</v>
      </c>
      <c r="M303" s="252">
        <f>U298</f>
        <v>589.48597440000003</v>
      </c>
      <c r="N303" s="12">
        <f>(M303-M302)/M302</f>
        <v>-0.11977605733910708</v>
      </c>
    </row>
    <row r="304" spans="12:23" x14ac:dyDescent="0.25">
      <c r="L304" s="7">
        <v>2025</v>
      </c>
      <c r="M304" s="11">
        <f>U300</f>
        <v>734.14332581531005</v>
      </c>
    </row>
    <row r="308" spans="7:21" x14ac:dyDescent="0.25">
      <c r="U308" s="7" t="s">
        <v>334</v>
      </c>
    </row>
    <row r="309" spans="7:21" x14ac:dyDescent="0.25">
      <c r="I309" s="7" t="s">
        <v>32</v>
      </c>
    </row>
    <row r="310" spans="7:21" x14ac:dyDescent="0.25">
      <c r="G310" s="248" t="s">
        <v>231</v>
      </c>
      <c r="H310" s="249">
        <v>9603</v>
      </c>
      <c r="I310" s="250">
        <v>0.52211126961483589</v>
      </c>
      <c r="U310" s="7" t="s">
        <v>335</v>
      </c>
    </row>
    <row r="312" spans="7:21" x14ac:dyDescent="0.25">
      <c r="U312" s="7" t="s">
        <v>336</v>
      </c>
    </row>
    <row r="314" spans="7:21" x14ac:dyDescent="0.25">
      <c r="U314" s="7" t="s">
        <v>337</v>
      </c>
    </row>
    <row r="316" spans="7:21" x14ac:dyDescent="0.25">
      <c r="U316" s="7" t="s">
        <v>338</v>
      </c>
    </row>
    <row r="318" spans="7:21" x14ac:dyDescent="0.25">
      <c r="U318" s="7" t="s">
        <v>340</v>
      </c>
    </row>
    <row r="320" spans="7:21" x14ac:dyDescent="0.25">
      <c r="U320" s="7" t="s">
        <v>341</v>
      </c>
    </row>
  </sheetData>
  <mergeCells count="1">
    <mergeCell ref="C79:E79"/>
  </mergeCells>
  <phoneticPr fontId="4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5C9E-5A00-4DA5-A7C9-D3CC617D2AEC}">
  <dimension ref="A2:AG249"/>
  <sheetViews>
    <sheetView showGridLines="0" topLeftCell="A188" workbookViewId="0">
      <selection activeCell="E197" sqref="E197:E212"/>
    </sheetView>
  </sheetViews>
  <sheetFormatPr defaultRowHeight="15" x14ac:dyDescent="0.25"/>
  <cols>
    <col min="1" max="1" width="9.140625" style="7"/>
    <col min="2" max="2" width="22.85546875" style="7" customWidth="1"/>
    <col min="3" max="3" width="20.85546875" style="7" bestFit="1" customWidth="1"/>
    <col min="4" max="4" width="18.7109375" style="7" bestFit="1" customWidth="1"/>
    <col min="5" max="5" width="9.140625" style="7"/>
    <col min="6" max="6" width="11.5703125" style="7" bestFit="1" customWidth="1"/>
    <col min="7" max="8" width="9.140625" style="7"/>
    <col min="9" max="9" width="11.7109375" style="7" customWidth="1"/>
    <col min="10" max="11" width="9.140625" style="7"/>
    <col min="12" max="12" width="12.5703125" style="7" customWidth="1"/>
    <col min="13" max="16384" width="9.140625" style="7"/>
  </cols>
  <sheetData>
    <row r="2" spans="1:7" x14ac:dyDescent="0.25">
      <c r="A2" s="14"/>
      <c r="B2" s="14"/>
      <c r="C2" s="14"/>
      <c r="D2" s="14"/>
      <c r="E2" s="14"/>
      <c r="F2" s="14"/>
      <c r="G2" s="14"/>
    </row>
    <row r="3" spans="1:7" x14ac:dyDescent="0.25">
      <c r="A3" s="15" t="s">
        <v>33</v>
      </c>
    </row>
    <row r="5" spans="1:7" x14ac:dyDescent="0.25">
      <c r="B5" s="16" t="s">
        <v>34</v>
      </c>
    </row>
    <row r="7" spans="1:7" x14ac:dyDescent="0.25">
      <c r="B7" s="7" t="s">
        <v>35</v>
      </c>
      <c r="D7" s="17">
        <v>4.3990000000000001E-2</v>
      </c>
    </row>
    <row r="8" spans="1:7" x14ac:dyDescent="0.25">
      <c r="B8" s="7" t="s">
        <v>36</v>
      </c>
      <c r="D8" s="18">
        <v>0.03</v>
      </c>
    </row>
    <row r="10" spans="1:7" x14ac:dyDescent="0.25">
      <c r="B10" s="7" t="s">
        <v>37</v>
      </c>
    </row>
    <row r="11" spans="1:7" x14ac:dyDescent="0.25">
      <c r="B11" s="17">
        <f>D7</f>
        <v>4.3990000000000001E-2</v>
      </c>
      <c r="F11" s="17">
        <f>D8</f>
        <v>0.03</v>
      </c>
    </row>
    <row r="14" spans="1:7" x14ac:dyDescent="0.25">
      <c r="B14" s="16"/>
    </row>
    <row r="16" spans="1:7" x14ac:dyDescent="0.25">
      <c r="B16" s="16" t="s">
        <v>38</v>
      </c>
    </row>
    <row r="18" spans="2:6" x14ac:dyDescent="0.25">
      <c r="B18" s="7" t="s">
        <v>39</v>
      </c>
    </row>
    <row r="19" spans="2:6" x14ac:dyDescent="0.25">
      <c r="B19" s="7" t="s">
        <v>40</v>
      </c>
    </row>
    <row r="21" spans="2:6" x14ac:dyDescent="0.25">
      <c r="B21" s="7" t="s">
        <v>41</v>
      </c>
      <c r="F21" s="17">
        <v>3.9699999999999999E-2</v>
      </c>
    </row>
    <row r="22" spans="2:6" x14ac:dyDescent="0.25">
      <c r="B22" s="7" t="s">
        <v>42</v>
      </c>
      <c r="F22" s="17">
        <v>4.1200000000000001E-2</v>
      </c>
    </row>
    <row r="25" spans="2:6" x14ac:dyDescent="0.25">
      <c r="B25" s="7" t="s">
        <v>47</v>
      </c>
    </row>
    <row r="26" spans="2:6" x14ac:dyDescent="0.25">
      <c r="B26" s="17" t="s">
        <v>48</v>
      </c>
      <c r="F26" s="17"/>
    </row>
    <row r="27" spans="2:6" x14ac:dyDescent="0.25">
      <c r="B27" s="7" t="s">
        <v>49</v>
      </c>
    </row>
    <row r="29" spans="2:6" x14ac:dyDescent="0.25">
      <c r="E29" s="7" t="s">
        <v>54</v>
      </c>
      <c r="F29" s="7" t="s">
        <v>56</v>
      </c>
    </row>
    <row r="30" spans="2:6" x14ac:dyDescent="0.25">
      <c r="B30" s="7" t="s">
        <v>50</v>
      </c>
      <c r="E30" s="7">
        <v>378.56299999999999</v>
      </c>
      <c r="F30" s="12">
        <f>E30/E34</f>
        <v>0.56529023606832529</v>
      </c>
    </row>
    <row r="31" spans="2:6" x14ac:dyDescent="0.25">
      <c r="B31" s="7" t="s">
        <v>51</v>
      </c>
      <c r="E31" s="7">
        <v>86.058999999999997</v>
      </c>
      <c r="F31" s="12">
        <f>E31/E34</f>
        <v>0.12850783733699281</v>
      </c>
    </row>
    <row r="32" spans="2:6" x14ac:dyDescent="0.25">
      <c r="B32" s="7" t="s">
        <v>52</v>
      </c>
      <c r="E32" s="7">
        <v>102.13</v>
      </c>
      <c r="F32" s="12">
        <f>E32/E34</f>
        <v>0.15250590208144499</v>
      </c>
    </row>
    <row r="33" spans="2:12" x14ac:dyDescent="0.25">
      <c r="B33" s="7" t="s">
        <v>53</v>
      </c>
      <c r="E33" s="7">
        <v>102.92700000000001</v>
      </c>
      <c r="F33" s="12">
        <f>E33/E34</f>
        <v>0.15369602451323697</v>
      </c>
    </row>
    <row r="34" spans="2:12" x14ac:dyDescent="0.25">
      <c r="B34" s="7" t="s">
        <v>55</v>
      </c>
      <c r="E34" s="7">
        <v>669.67899999999997</v>
      </c>
      <c r="F34" s="20">
        <f>SUM(F30:F33)</f>
        <v>1</v>
      </c>
    </row>
    <row r="37" spans="2:12" x14ac:dyDescent="0.25">
      <c r="B37" s="7" t="s">
        <v>64</v>
      </c>
    </row>
    <row r="39" spans="2:12" x14ac:dyDescent="0.25">
      <c r="B39" s="7" t="s">
        <v>65</v>
      </c>
    </row>
    <row r="47" spans="2:12" x14ac:dyDescent="0.25">
      <c r="B47" s="21" t="s">
        <v>57</v>
      </c>
    </row>
    <row r="48" spans="2:12" x14ac:dyDescent="0.25">
      <c r="E48" s="7" t="s">
        <v>54</v>
      </c>
      <c r="F48" s="261" t="s">
        <v>56</v>
      </c>
      <c r="G48" s="261"/>
      <c r="H48" s="7" t="s">
        <v>58</v>
      </c>
      <c r="I48" s="7" t="s">
        <v>59</v>
      </c>
      <c r="J48" s="261" t="s">
        <v>38</v>
      </c>
      <c r="K48" s="261"/>
      <c r="L48" s="7" t="s">
        <v>61</v>
      </c>
    </row>
    <row r="49" spans="2:12" x14ac:dyDescent="0.25">
      <c r="B49" s="262" t="s">
        <v>50</v>
      </c>
      <c r="C49" s="262"/>
      <c r="D49" s="262"/>
      <c r="E49" s="22">
        <v>378.56299999999999</v>
      </c>
      <c r="F49" s="23">
        <f>E49/E53</f>
        <v>0.56529023606832529</v>
      </c>
      <c r="G49" s="22"/>
      <c r="H49" s="24">
        <f>F21</f>
        <v>3.9699999999999999E-2</v>
      </c>
      <c r="I49" s="26">
        <v>0</v>
      </c>
      <c r="J49" s="263">
        <f>H49+I49</f>
        <v>3.9699999999999999E-2</v>
      </c>
      <c r="K49" s="263"/>
      <c r="L49" s="24">
        <f>J49*F49</f>
        <v>2.2442022371912514E-2</v>
      </c>
    </row>
    <row r="50" spans="2:12" x14ac:dyDescent="0.25">
      <c r="B50" s="262" t="s">
        <v>51</v>
      </c>
      <c r="C50" s="262"/>
      <c r="D50" s="262"/>
      <c r="E50" s="22">
        <v>86.058999999999997</v>
      </c>
      <c r="F50" s="23">
        <f>E50/E53</f>
        <v>0.12850783733699281</v>
      </c>
      <c r="G50" s="22"/>
      <c r="H50" s="24">
        <f>H49</f>
        <v>3.9699999999999999E-2</v>
      </c>
      <c r="I50" s="26">
        <v>0.02</v>
      </c>
      <c r="J50" s="263">
        <f t="shared" ref="J50:J53" si="0">H50+I50</f>
        <v>5.9700000000000003E-2</v>
      </c>
      <c r="K50" s="263"/>
      <c r="L50" s="24">
        <f t="shared" ref="L50:L52" si="1">J50*F50</f>
        <v>7.6719178890184711E-3</v>
      </c>
    </row>
    <row r="51" spans="2:12" x14ac:dyDescent="0.25">
      <c r="B51" s="262" t="s">
        <v>52</v>
      </c>
      <c r="C51" s="262"/>
      <c r="D51" s="262"/>
      <c r="E51" s="22">
        <v>102.13</v>
      </c>
      <c r="F51" s="23">
        <f>E51/E53</f>
        <v>0.15250590208144499</v>
      </c>
      <c r="G51" s="22"/>
      <c r="H51" s="24">
        <f t="shared" ref="H51:H53" si="2">H50</f>
        <v>3.9699999999999999E-2</v>
      </c>
      <c r="I51" s="26">
        <v>0.04</v>
      </c>
      <c r="J51" s="263">
        <f t="shared" si="0"/>
        <v>7.9699999999999993E-2</v>
      </c>
      <c r="K51" s="263"/>
      <c r="L51" s="24">
        <f t="shared" si="1"/>
        <v>1.2154720395891164E-2</v>
      </c>
    </row>
    <row r="52" spans="2:12" x14ac:dyDescent="0.25">
      <c r="B52" s="262" t="s">
        <v>53</v>
      </c>
      <c r="C52" s="262"/>
      <c r="D52" s="262"/>
      <c r="E52" s="22">
        <v>102.92700000000001</v>
      </c>
      <c r="F52" s="23">
        <f>E52/E53</f>
        <v>0.15369602451323697</v>
      </c>
      <c r="G52" s="22"/>
      <c r="H52" s="24">
        <f t="shared" si="2"/>
        <v>3.9699999999999999E-2</v>
      </c>
      <c r="I52" s="26">
        <v>0.02</v>
      </c>
      <c r="J52" s="263">
        <f t="shared" si="0"/>
        <v>5.9700000000000003E-2</v>
      </c>
      <c r="K52" s="263"/>
      <c r="L52" s="24">
        <f t="shared" si="1"/>
        <v>9.1756526634402466E-3</v>
      </c>
    </row>
    <row r="53" spans="2:12" x14ac:dyDescent="0.25">
      <c r="B53" s="262" t="s">
        <v>55</v>
      </c>
      <c r="C53" s="262"/>
      <c r="D53" s="262"/>
      <c r="E53" s="22">
        <v>669.67899999999997</v>
      </c>
      <c r="F53" s="25">
        <f>SUM(F49:F52)</f>
        <v>1</v>
      </c>
      <c r="G53" s="22"/>
      <c r="H53" s="24">
        <f t="shared" si="2"/>
        <v>3.9699999999999999E-2</v>
      </c>
      <c r="I53" s="23"/>
      <c r="J53" s="263">
        <f t="shared" si="0"/>
        <v>3.9699999999999999E-2</v>
      </c>
      <c r="K53" s="263"/>
      <c r="L53" s="24"/>
    </row>
    <row r="54" spans="2:12" x14ac:dyDescent="0.25">
      <c r="K54" s="21" t="s">
        <v>63</v>
      </c>
      <c r="L54" s="28">
        <f>SUM(L49:L53)</f>
        <v>5.1444313320262398E-2</v>
      </c>
    </row>
    <row r="56" spans="2:12" x14ac:dyDescent="0.25">
      <c r="B56" s="21" t="s">
        <v>60</v>
      </c>
    </row>
    <row r="57" spans="2:12" x14ac:dyDescent="0.25">
      <c r="E57" s="7" t="s">
        <v>54</v>
      </c>
      <c r="F57" s="261" t="s">
        <v>56</v>
      </c>
      <c r="G57" s="261"/>
      <c r="H57" s="7" t="s">
        <v>58</v>
      </c>
      <c r="I57" s="7" t="s">
        <v>59</v>
      </c>
      <c r="J57" s="261" t="s">
        <v>38</v>
      </c>
      <c r="K57" s="261"/>
      <c r="L57" s="7" t="s">
        <v>61</v>
      </c>
    </row>
    <row r="58" spans="2:12" x14ac:dyDescent="0.25">
      <c r="B58" s="262" t="s">
        <v>50</v>
      </c>
      <c r="C58" s="262"/>
      <c r="D58" s="262"/>
      <c r="E58" s="22">
        <v>378.56299999999999</v>
      </c>
      <c r="F58" s="29">
        <f>40%</f>
        <v>0.4</v>
      </c>
      <c r="G58" s="22"/>
      <c r="H58" s="24">
        <f>4.12%</f>
        <v>4.1200000000000001E-2</v>
      </c>
      <c r="I58" s="26">
        <v>0</v>
      </c>
      <c r="J58" s="263">
        <f>H58+I58</f>
        <v>4.1200000000000001E-2</v>
      </c>
      <c r="K58" s="263"/>
      <c r="L58" s="24">
        <f>F58*J58</f>
        <v>1.6480000000000002E-2</v>
      </c>
    </row>
    <row r="59" spans="2:12" x14ac:dyDescent="0.25">
      <c r="B59" s="262" t="s">
        <v>51</v>
      </c>
      <c r="C59" s="262"/>
      <c r="D59" s="262"/>
      <c r="E59" s="22">
        <v>86.058999999999997</v>
      </c>
      <c r="F59" s="29">
        <v>0.2</v>
      </c>
      <c r="G59" s="22"/>
      <c r="H59" s="24">
        <f>H58</f>
        <v>4.1200000000000001E-2</v>
      </c>
      <c r="I59" s="26">
        <v>0.02</v>
      </c>
      <c r="J59" s="263">
        <f t="shared" ref="J59:J62" si="3">H59+I59</f>
        <v>6.1200000000000004E-2</v>
      </c>
      <c r="K59" s="263"/>
      <c r="L59" s="24">
        <f t="shared" ref="L59:L61" si="4">F59*J59</f>
        <v>1.2240000000000001E-2</v>
      </c>
    </row>
    <row r="60" spans="2:12" x14ac:dyDescent="0.25">
      <c r="B60" s="262" t="s">
        <v>52</v>
      </c>
      <c r="C60" s="262"/>
      <c r="D60" s="262"/>
      <c r="E60" s="22">
        <v>102.13</v>
      </c>
      <c r="F60" s="29">
        <v>0.2</v>
      </c>
      <c r="G60" s="22"/>
      <c r="H60" s="24">
        <f t="shared" ref="H60:H62" si="5">H59</f>
        <v>4.1200000000000001E-2</v>
      </c>
      <c r="I60" s="26">
        <v>0.04</v>
      </c>
      <c r="J60" s="263">
        <f t="shared" si="3"/>
        <v>8.1199999999999994E-2</v>
      </c>
      <c r="K60" s="263"/>
      <c r="L60" s="24">
        <f t="shared" si="4"/>
        <v>1.6240000000000001E-2</v>
      </c>
    </row>
    <row r="61" spans="2:12" x14ac:dyDescent="0.25">
      <c r="B61" s="262" t="s">
        <v>53</v>
      </c>
      <c r="C61" s="262"/>
      <c r="D61" s="262"/>
      <c r="E61" s="22">
        <v>102.92700000000001</v>
      </c>
      <c r="F61" s="29">
        <v>0.2</v>
      </c>
      <c r="G61" s="22"/>
      <c r="H61" s="24">
        <f t="shared" si="5"/>
        <v>4.1200000000000001E-2</v>
      </c>
      <c r="I61" s="26">
        <v>0.02</v>
      </c>
      <c r="J61" s="263">
        <f t="shared" si="3"/>
        <v>6.1200000000000004E-2</v>
      </c>
      <c r="K61" s="263"/>
      <c r="L61" s="24">
        <f t="shared" si="4"/>
        <v>1.2240000000000001E-2</v>
      </c>
    </row>
    <row r="62" spans="2:12" x14ac:dyDescent="0.25">
      <c r="B62" s="262" t="s">
        <v>55</v>
      </c>
      <c r="C62" s="262"/>
      <c r="D62" s="262"/>
      <c r="E62" s="22">
        <v>669.67899999999997</v>
      </c>
      <c r="F62" s="25">
        <f>SUM(F58:F61)</f>
        <v>1</v>
      </c>
      <c r="G62" s="22"/>
      <c r="H62" s="24">
        <f t="shared" si="5"/>
        <v>4.1200000000000001E-2</v>
      </c>
      <c r="I62" s="23"/>
      <c r="J62" s="263">
        <f t="shared" si="3"/>
        <v>4.1200000000000001E-2</v>
      </c>
      <c r="K62" s="263"/>
      <c r="L62" s="24"/>
    </row>
    <row r="63" spans="2:12" x14ac:dyDescent="0.25">
      <c r="K63" s="21" t="s">
        <v>63</v>
      </c>
      <c r="L63" s="28">
        <f>SUM(L58:L62)</f>
        <v>5.7200000000000001E-2</v>
      </c>
    </row>
    <row r="64" spans="2:12" x14ac:dyDescent="0.25">
      <c r="K64" s="21"/>
      <c r="L64" s="32"/>
    </row>
    <row r="65" spans="2:12" x14ac:dyDescent="0.25">
      <c r="B65" s="7" t="s">
        <v>72</v>
      </c>
      <c r="K65" s="21"/>
      <c r="L65" s="32"/>
    </row>
    <row r="66" spans="2:12" x14ac:dyDescent="0.25">
      <c r="B66" s="17">
        <f>L54</f>
        <v>5.1444313320262398E-2</v>
      </c>
      <c r="F66" s="17">
        <f>L63</f>
        <v>5.7200000000000001E-2</v>
      </c>
      <c r="K66" s="21"/>
      <c r="L66" s="32"/>
    </row>
    <row r="67" spans="2:12" x14ac:dyDescent="0.25">
      <c r="K67" s="21"/>
      <c r="L67" s="32"/>
    </row>
    <row r="68" spans="2:12" x14ac:dyDescent="0.25">
      <c r="K68" s="21"/>
      <c r="L68" s="32"/>
    </row>
    <row r="69" spans="2:12" x14ac:dyDescent="0.25">
      <c r="K69" s="21"/>
      <c r="L69" s="32"/>
    </row>
    <row r="70" spans="2:12" x14ac:dyDescent="0.25">
      <c r="K70" s="21"/>
      <c r="L70" s="32"/>
    </row>
    <row r="72" spans="2:12" x14ac:dyDescent="0.25">
      <c r="B72" s="16" t="s">
        <v>45</v>
      </c>
    </row>
    <row r="74" spans="2:12" x14ac:dyDescent="0.25">
      <c r="B74" s="7" t="s">
        <v>66</v>
      </c>
    </row>
    <row r="89" spans="2:2" x14ac:dyDescent="0.25">
      <c r="B89" s="7" t="s">
        <v>46</v>
      </c>
    </row>
    <row r="102" spans="2:13" x14ac:dyDescent="0.25">
      <c r="D102" s="7" t="s">
        <v>69</v>
      </c>
      <c r="F102" s="7" t="s">
        <v>70</v>
      </c>
      <c r="H102" s="7" t="s">
        <v>61</v>
      </c>
    </row>
    <row r="103" spans="2:13" x14ac:dyDescent="0.25">
      <c r="B103" s="22" t="s">
        <v>67</v>
      </c>
      <c r="C103" s="22"/>
      <c r="D103" s="36">
        <v>0.64</v>
      </c>
      <c r="E103" s="22"/>
      <c r="F103" s="22">
        <v>1.401</v>
      </c>
      <c r="G103" s="22"/>
      <c r="H103" s="22">
        <f>D103*F103</f>
        <v>0.89663999999999999</v>
      </c>
    </row>
    <row r="104" spans="2:13" x14ac:dyDescent="0.25">
      <c r="B104" s="22" t="s">
        <v>2</v>
      </c>
      <c r="C104" s="22"/>
      <c r="D104" s="36">
        <v>0.28999999999999998</v>
      </c>
      <c r="E104" s="22"/>
      <c r="F104" s="22">
        <v>1.1839999999999999</v>
      </c>
      <c r="G104" s="22"/>
      <c r="H104" s="22">
        <f t="shared" ref="H104:H105" si="6">D104*F104</f>
        <v>0.34335999999999994</v>
      </c>
      <c r="I104" s="31"/>
      <c r="J104" s="264"/>
      <c r="K104" s="264"/>
      <c r="L104" s="31"/>
      <c r="M104" s="31"/>
    </row>
    <row r="105" spans="2:13" x14ac:dyDescent="0.25">
      <c r="B105" s="256" t="s">
        <v>68</v>
      </c>
      <c r="C105" s="256"/>
      <c r="D105" s="257">
        <v>7.0000000000000007E-2</v>
      </c>
      <c r="E105" s="22"/>
      <c r="F105" s="258">
        <f>AVERAGE(0.6,1)</f>
        <v>0.8</v>
      </c>
      <c r="G105" s="22"/>
      <c r="H105" s="22">
        <f t="shared" si="6"/>
        <v>5.6000000000000008E-2</v>
      </c>
      <c r="I105" s="33"/>
      <c r="J105" s="265"/>
      <c r="K105" s="265"/>
      <c r="L105" s="32"/>
      <c r="M105" s="31"/>
    </row>
    <row r="106" spans="2:13" x14ac:dyDescent="0.25">
      <c r="B106" s="256" t="s">
        <v>62</v>
      </c>
      <c r="C106" s="256"/>
      <c r="D106" s="257">
        <f>SUM(D103:D105)</f>
        <v>1</v>
      </c>
      <c r="E106" s="22"/>
      <c r="F106" s="23"/>
      <c r="G106" s="22"/>
      <c r="H106" s="259">
        <f>SUM(H103:H105)</f>
        <v>1.296</v>
      </c>
      <c r="I106" s="33"/>
      <c r="J106" s="265"/>
      <c r="K106" s="265"/>
      <c r="L106" s="32"/>
      <c r="M106" s="31"/>
    </row>
    <row r="107" spans="2:13" x14ac:dyDescent="0.25">
      <c r="B107" s="266"/>
      <c r="C107" s="266"/>
      <c r="D107" s="266"/>
      <c r="F107" s="34"/>
      <c r="H107" s="32"/>
      <c r="I107" s="33"/>
      <c r="J107" s="265"/>
      <c r="K107" s="265"/>
      <c r="L107" s="32"/>
      <c r="M107" s="31"/>
    </row>
    <row r="108" spans="2:13" x14ac:dyDescent="0.25">
      <c r="B108" s="266"/>
      <c r="C108" s="266"/>
      <c r="D108" s="266"/>
      <c r="F108" s="34"/>
      <c r="H108" s="32"/>
      <c r="I108" s="33"/>
      <c r="J108" s="265"/>
      <c r="K108" s="265"/>
      <c r="L108" s="32"/>
      <c r="M108" s="31"/>
    </row>
    <row r="109" spans="2:13" x14ac:dyDescent="0.25">
      <c r="B109" s="7" t="s">
        <v>71</v>
      </c>
      <c r="H109" s="32"/>
      <c r="I109" s="33"/>
      <c r="J109" s="265"/>
      <c r="K109" s="265"/>
      <c r="L109" s="32"/>
      <c r="M109" s="31"/>
    </row>
    <row r="110" spans="2:13" x14ac:dyDescent="0.25">
      <c r="B110" s="7">
        <f>H106</f>
        <v>1.296</v>
      </c>
      <c r="F110" s="7">
        <v>1</v>
      </c>
      <c r="H110" s="31"/>
      <c r="I110" s="31"/>
      <c r="J110" s="31"/>
      <c r="K110" s="31"/>
      <c r="L110" s="31"/>
      <c r="M110" s="31"/>
    </row>
    <row r="112" spans="2:13" x14ac:dyDescent="0.25">
      <c r="C112" s="17"/>
      <c r="G112" s="17"/>
    </row>
    <row r="114" spans="2:5" x14ac:dyDescent="0.25">
      <c r="B114" s="15" t="s">
        <v>73</v>
      </c>
    </row>
    <row r="116" spans="2:5" x14ac:dyDescent="0.25">
      <c r="D116" s="35" t="s">
        <v>74</v>
      </c>
      <c r="E116" s="35" t="s">
        <v>60</v>
      </c>
    </row>
    <row r="117" spans="2:5" x14ac:dyDescent="0.25">
      <c r="B117" s="267" t="s">
        <v>34</v>
      </c>
      <c r="C117" s="268"/>
      <c r="D117" s="24">
        <f>D7</f>
        <v>4.3990000000000001E-2</v>
      </c>
      <c r="E117" s="36">
        <f>D8</f>
        <v>0.03</v>
      </c>
    </row>
    <row r="118" spans="2:5" x14ac:dyDescent="0.25">
      <c r="B118" s="267" t="s">
        <v>38</v>
      </c>
      <c r="C118" s="268"/>
      <c r="D118" s="24">
        <f>B66</f>
        <v>5.1444313320262398E-2</v>
      </c>
      <c r="E118" s="24">
        <f>F66</f>
        <v>5.7200000000000001E-2</v>
      </c>
    </row>
    <row r="119" spans="2:5" ht="15.75" thickBot="1" x14ac:dyDescent="0.3">
      <c r="B119" s="269" t="s">
        <v>75</v>
      </c>
      <c r="C119" s="270"/>
      <c r="D119" s="37">
        <f>B110</f>
        <v>1.296</v>
      </c>
      <c r="E119" s="37">
        <f>F110</f>
        <v>1</v>
      </c>
    </row>
    <row r="120" spans="2:5" ht="15.75" thickBot="1" x14ac:dyDescent="0.3">
      <c r="B120" s="271" t="s">
        <v>73</v>
      </c>
      <c r="C120" s="272"/>
      <c r="D120" s="260">
        <f>D117+(D118*D119)</f>
        <v>0.11066183006306007</v>
      </c>
      <c r="E120" s="50">
        <f>E117+(E118*E119)</f>
        <v>8.72E-2</v>
      </c>
    </row>
    <row r="123" spans="2:5" x14ac:dyDescent="0.25">
      <c r="B123" s="7" t="s">
        <v>76</v>
      </c>
    </row>
    <row r="124" spans="2:5" x14ac:dyDescent="0.25">
      <c r="B124" s="17">
        <f>D120</f>
        <v>0.11066183006306007</v>
      </c>
      <c r="E124" s="17">
        <f>E120</f>
        <v>8.72E-2</v>
      </c>
    </row>
    <row r="127" spans="2:5" x14ac:dyDescent="0.25">
      <c r="B127" s="16" t="s">
        <v>85</v>
      </c>
    </row>
    <row r="128" spans="2:5" x14ac:dyDescent="0.25">
      <c r="B128" s="7" t="s">
        <v>120</v>
      </c>
      <c r="C128" s="11">
        <v>119</v>
      </c>
    </row>
    <row r="129" spans="1:33" x14ac:dyDescent="0.25">
      <c r="B129" s="7" t="s">
        <v>121</v>
      </c>
      <c r="C129" s="7">
        <v>4.92</v>
      </c>
      <c r="D129" s="7" t="s">
        <v>122</v>
      </c>
    </row>
    <row r="130" spans="1:33" x14ac:dyDescent="0.25">
      <c r="B130" s="7" t="s">
        <v>123</v>
      </c>
      <c r="C130" s="11">
        <f>C128*C129</f>
        <v>585.48</v>
      </c>
    </row>
    <row r="135" spans="1:33"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8" spans="1:33" x14ac:dyDescent="0.25">
      <c r="A138" s="15" t="s">
        <v>77</v>
      </c>
    </row>
    <row r="140" spans="1:33" x14ac:dyDescent="0.25">
      <c r="B140" s="16" t="s">
        <v>78</v>
      </c>
    </row>
    <row r="141" spans="1:33" x14ac:dyDescent="0.25">
      <c r="B141" s="7" t="s">
        <v>79</v>
      </c>
    </row>
    <row r="143" spans="1:33" x14ac:dyDescent="0.25">
      <c r="B143" s="7" t="s">
        <v>37</v>
      </c>
    </row>
    <row r="144" spans="1:33" x14ac:dyDescent="0.25">
      <c r="B144" s="17">
        <v>4.3990000000000001E-2</v>
      </c>
      <c r="F144" s="17">
        <v>0.03</v>
      </c>
    </row>
    <row r="148" spans="2:9" x14ac:dyDescent="0.25">
      <c r="B148" s="14" t="s">
        <v>80</v>
      </c>
      <c r="C148" s="14"/>
      <c r="D148" s="14"/>
    </row>
    <row r="149" spans="2:9" x14ac:dyDescent="0.25">
      <c r="B149" s="14" t="s">
        <v>81</v>
      </c>
      <c r="C149" s="14"/>
      <c r="D149" s="14"/>
    </row>
    <row r="150" spans="2:9" x14ac:dyDescent="0.25">
      <c r="B150" s="14" t="s">
        <v>82</v>
      </c>
      <c r="C150" s="14"/>
      <c r="D150" s="14"/>
    </row>
    <row r="151" spans="2:9" x14ac:dyDescent="0.25">
      <c r="C151" s="39"/>
      <c r="D151" s="39"/>
    </row>
    <row r="152" spans="2:9" x14ac:dyDescent="0.25">
      <c r="B152" s="7" t="s">
        <v>344</v>
      </c>
    </row>
    <row r="154" spans="2:9" x14ac:dyDescent="0.25">
      <c r="B154" s="7" t="s">
        <v>83</v>
      </c>
      <c r="G154" s="7">
        <f>11559/708</f>
        <v>16.326271186440678</v>
      </c>
      <c r="I154" s="17">
        <v>5.8999999999999999E-3</v>
      </c>
    </row>
    <row r="158" spans="2:9" x14ac:dyDescent="0.25">
      <c r="B158" s="7" t="s">
        <v>84</v>
      </c>
    </row>
    <row r="159" spans="2:9" x14ac:dyDescent="0.25">
      <c r="B159" s="17">
        <f>B144+I154</f>
        <v>4.9890000000000004E-2</v>
      </c>
      <c r="F159" s="17">
        <f>F144+I154</f>
        <v>3.5900000000000001E-2</v>
      </c>
    </row>
    <row r="163" spans="1:10" x14ac:dyDescent="0.25">
      <c r="D163" s="7" t="s">
        <v>74</v>
      </c>
      <c r="E163" s="7">
        <v>1</v>
      </c>
      <c r="F163" s="7">
        <v>2</v>
      </c>
      <c r="G163" s="7">
        <v>3</v>
      </c>
      <c r="H163" s="7">
        <v>4</v>
      </c>
      <c r="I163" s="7">
        <v>5</v>
      </c>
      <c r="J163" s="7" t="s">
        <v>60</v>
      </c>
    </row>
    <row r="164" spans="1:10" x14ac:dyDescent="0.25">
      <c r="D164" s="17">
        <f>B159</f>
        <v>4.9890000000000004E-2</v>
      </c>
      <c r="E164" s="17">
        <f>D164+E165</f>
        <v>4.7558333333333334E-2</v>
      </c>
      <c r="F164" s="17">
        <f t="shared" ref="F164:I164" si="7">E164+F165</f>
        <v>4.5226666666666665E-2</v>
      </c>
      <c r="G164" s="17">
        <f t="shared" si="7"/>
        <v>4.2894999999999996E-2</v>
      </c>
      <c r="H164" s="17">
        <f t="shared" si="7"/>
        <v>4.0563333333333326E-2</v>
      </c>
      <c r="I164" s="17">
        <f t="shared" si="7"/>
        <v>3.8231666666666657E-2</v>
      </c>
      <c r="J164" s="17">
        <f>F159</f>
        <v>3.5900000000000001E-2</v>
      </c>
    </row>
    <row r="165" spans="1:10" x14ac:dyDescent="0.25">
      <c r="E165" s="7">
        <f>(J164-D164)/6</f>
        <v>-2.3316666666666672E-3</v>
      </c>
      <c r="F165" s="7">
        <f>E165</f>
        <v>-2.3316666666666672E-3</v>
      </c>
      <c r="G165" s="7">
        <f t="shared" ref="G165:I165" si="8">F165</f>
        <v>-2.3316666666666672E-3</v>
      </c>
      <c r="H165" s="7">
        <f t="shared" si="8"/>
        <v>-2.3316666666666672E-3</v>
      </c>
      <c r="I165" s="7">
        <f t="shared" si="8"/>
        <v>-2.3316666666666672E-3</v>
      </c>
    </row>
    <row r="166" spans="1:10" x14ac:dyDescent="0.25">
      <c r="B166" s="16" t="s">
        <v>85</v>
      </c>
    </row>
    <row r="168" spans="1:10" x14ac:dyDescent="0.25">
      <c r="B168" s="7" t="s">
        <v>86</v>
      </c>
    </row>
    <row r="171" spans="1:10" x14ac:dyDescent="0.25">
      <c r="B171" s="7" t="s">
        <v>87</v>
      </c>
      <c r="C171" s="7" t="s">
        <v>88</v>
      </c>
      <c r="D171" s="7" t="s">
        <v>89</v>
      </c>
    </row>
    <row r="172" spans="1:10" x14ac:dyDescent="0.25">
      <c r="A172" s="40">
        <v>2024</v>
      </c>
      <c r="B172" s="7">
        <v>2025</v>
      </c>
      <c r="C172" s="7">
        <v>1</v>
      </c>
      <c r="D172" s="11">
        <f>1000+191</f>
        <v>1191</v>
      </c>
    </row>
    <row r="173" spans="1:10" x14ac:dyDescent="0.25">
      <c r="A173" s="40">
        <v>2024</v>
      </c>
      <c r="B173" s="7">
        <v>2026</v>
      </c>
      <c r="C173" s="7">
        <v>2</v>
      </c>
      <c r="D173" s="11">
        <f>22653+7691+1387+2538+160</f>
        <v>34429</v>
      </c>
    </row>
    <row r="174" spans="1:10" x14ac:dyDescent="0.25">
      <c r="A174" s="40">
        <v>2024</v>
      </c>
      <c r="B174" s="7">
        <v>2031</v>
      </c>
      <c r="C174" s="7">
        <f>B174-A174</f>
        <v>7</v>
      </c>
      <c r="D174" s="11">
        <f>14693+703</f>
        <v>15396</v>
      </c>
    </row>
    <row r="175" spans="1:10" x14ac:dyDescent="0.25">
      <c r="A175" s="40">
        <v>2024</v>
      </c>
      <c r="B175" s="7" t="s">
        <v>62</v>
      </c>
      <c r="C175" s="27">
        <f>SUM(C172:C174)</f>
        <v>10</v>
      </c>
      <c r="D175" s="11"/>
    </row>
    <row r="176" spans="1:10" x14ac:dyDescent="0.25">
      <c r="A176" s="40">
        <v>2024</v>
      </c>
    </row>
    <row r="177" spans="1:33" x14ac:dyDescent="0.25">
      <c r="A177" s="40">
        <v>2024</v>
      </c>
      <c r="B177" s="7" t="s">
        <v>90</v>
      </c>
    </row>
    <row r="178" spans="1:33" x14ac:dyDescent="0.25">
      <c r="A178" s="40">
        <v>2024</v>
      </c>
    </row>
    <row r="179" spans="1:33" x14ac:dyDescent="0.25">
      <c r="A179" s="40">
        <v>2024</v>
      </c>
    </row>
    <row r="180" spans="1:33" x14ac:dyDescent="0.25">
      <c r="A180" s="40">
        <v>2024</v>
      </c>
      <c r="B180" s="7" t="s">
        <v>14</v>
      </c>
      <c r="C180" s="7">
        <v>1</v>
      </c>
      <c r="D180" s="7">
        <v>2</v>
      </c>
      <c r="E180" s="7">
        <v>3</v>
      </c>
      <c r="F180" s="7">
        <v>4</v>
      </c>
      <c r="G180" s="7">
        <v>5</v>
      </c>
      <c r="H180" s="7">
        <v>6</v>
      </c>
      <c r="I180" s="7">
        <v>7</v>
      </c>
      <c r="J180" s="7">
        <v>8</v>
      </c>
      <c r="K180" s="7">
        <v>9</v>
      </c>
      <c r="L180" s="7">
        <v>10</v>
      </c>
    </row>
    <row r="181" spans="1:33" x14ac:dyDescent="0.25">
      <c r="A181" s="40">
        <v>2024</v>
      </c>
      <c r="B181" s="22" t="s">
        <v>91</v>
      </c>
      <c r="C181" s="22">
        <v>3547</v>
      </c>
      <c r="D181" s="22">
        <v>3547</v>
      </c>
      <c r="E181" s="22">
        <v>3547</v>
      </c>
      <c r="F181" s="22">
        <v>3547</v>
      </c>
      <c r="G181" s="22">
        <v>3547</v>
      </c>
      <c r="H181" s="22">
        <v>3547</v>
      </c>
      <c r="I181" s="22">
        <v>3547</v>
      </c>
      <c r="J181" s="22">
        <v>3547</v>
      </c>
      <c r="K181" s="22">
        <v>3547</v>
      </c>
      <c r="L181" s="22">
        <v>3547</v>
      </c>
    </row>
    <row r="182" spans="1:33" x14ac:dyDescent="0.25">
      <c r="A182" s="40">
        <v>2024</v>
      </c>
      <c r="B182" s="22" t="s">
        <v>78</v>
      </c>
      <c r="C182" s="24">
        <f>E164</f>
        <v>4.7558333333333334E-2</v>
      </c>
      <c r="D182" s="24">
        <f t="shared" ref="D182:H182" si="9">F164</f>
        <v>4.5226666666666665E-2</v>
      </c>
      <c r="E182" s="24">
        <f t="shared" si="9"/>
        <v>4.2894999999999996E-2</v>
      </c>
      <c r="F182" s="24">
        <f t="shared" si="9"/>
        <v>4.0563333333333326E-2</v>
      </c>
      <c r="G182" s="24">
        <f t="shared" si="9"/>
        <v>3.8231666666666657E-2</v>
      </c>
      <c r="H182" s="24">
        <f t="shared" si="9"/>
        <v>3.5900000000000001E-2</v>
      </c>
      <c r="I182" s="24">
        <f t="shared" ref="I182" si="10">H182+I179</f>
        <v>3.5900000000000001E-2</v>
      </c>
      <c r="J182" s="24">
        <f>I182+J179</f>
        <v>3.5900000000000001E-2</v>
      </c>
      <c r="K182" s="24">
        <f>J182+K179</f>
        <v>3.5900000000000001E-2</v>
      </c>
      <c r="L182" s="24">
        <f>K182+L179</f>
        <v>3.5900000000000001E-2</v>
      </c>
    </row>
    <row r="183" spans="1:33" x14ac:dyDescent="0.25">
      <c r="B183" s="22" t="s">
        <v>92</v>
      </c>
      <c r="C183" s="22">
        <f>C181/((1+C182)^C180)</f>
        <v>3385.9689595647019</v>
      </c>
      <c r="D183" s="22">
        <f t="shared" ref="D183:K183" si="11">D181/((1+D182)^D180)</f>
        <v>3246.6855337856787</v>
      </c>
      <c r="E183" s="22">
        <f t="shared" si="11"/>
        <v>3127.0831726947872</v>
      </c>
      <c r="F183" s="22">
        <f t="shared" si="11"/>
        <v>3025.4300392231125</v>
      </c>
      <c r="G183" s="22">
        <f t="shared" si="11"/>
        <v>2940.2877435499981</v>
      </c>
      <c r="H183" s="22">
        <f t="shared" si="11"/>
        <v>2870.4777843518741</v>
      </c>
      <c r="I183" s="22">
        <f t="shared" si="11"/>
        <v>2770.9989230156139</v>
      </c>
      <c r="J183" s="22">
        <f t="shared" si="11"/>
        <v>2674.96758665471</v>
      </c>
      <c r="K183" s="22">
        <f t="shared" si="11"/>
        <v>2582.2642983441547</v>
      </c>
      <c r="L183" s="22">
        <f>L181/((1+L182)^L180)</f>
        <v>2492.7737217339077</v>
      </c>
    </row>
    <row r="185" spans="1:33" x14ac:dyDescent="0.25">
      <c r="B185" s="7" t="s">
        <v>63</v>
      </c>
      <c r="C185" s="11">
        <f>SUM(C183:L183)</f>
        <v>29116.93776291854</v>
      </c>
      <c r="D185" s="7" t="s">
        <v>93</v>
      </c>
    </row>
    <row r="186" spans="1:33" x14ac:dyDescent="0.25">
      <c r="B186" s="7" t="s">
        <v>94</v>
      </c>
      <c r="C186" s="11">
        <v>62250</v>
      </c>
    </row>
    <row r="187" spans="1:33" x14ac:dyDescent="0.25">
      <c r="B187" s="7" t="s">
        <v>95</v>
      </c>
      <c r="C187" s="11">
        <f>SUM(C185:C186)</f>
        <v>91366.937762918533</v>
      </c>
      <c r="D187" s="7" t="s">
        <v>124</v>
      </c>
      <c r="E187" s="11">
        <f>C187/1000</f>
        <v>91.366937762918539</v>
      </c>
      <c r="F187" s="7" t="s">
        <v>122</v>
      </c>
    </row>
    <row r="190" spans="1:33"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2" spans="1:33" x14ac:dyDescent="0.25">
      <c r="A192" s="21" t="s">
        <v>96</v>
      </c>
    </row>
    <row r="194" spans="2:23" ht="15.75" thickBot="1" x14ac:dyDescent="0.3">
      <c r="B194" s="7" t="s">
        <v>97</v>
      </c>
      <c r="C194" s="8">
        <f>2255/11858</f>
        <v>0.19016697588126161</v>
      </c>
    </row>
    <row r="195" spans="2:23" ht="15.75" thickBot="1" x14ac:dyDescent="0.3">
      <c r="T195" s="7" t="str" cm="1">
        <f t="array" ref="T195:T209">_xlfn.SORTBY(W195:W209,_xlfn.SEQUENCE(ROWS(W195:W209)),-1)</f>
        <v>$7</v>
      </c>
      <c r="V195" s="9">
        <v>2023</v>
      </c>
      <c r="W195" s="9" t="s">
        <v>100</v>
      </c>
    </row>
    <row r="196" spans="2:23" ht="15.75" thickBot="1" x14ac:dyDescent="0.3">
      <c r="B196" s="7" t="s">
        <v>14</v>
      </c>
      <c r="C196" s="7" t="s">
        <v>98</v>
      </c>
      <c r="D196" s="7" t="s">
        <v>99</v>
      </c>
      <c r="E196" s="7" t="s">
        <v>96</v>
      </c>
      <c r="T196" s="7" t="str">
        <v>$7</v>
      </c>
      <c r="V196" s="9">
        <v>2022</v>
      </c>
      <c r="W196" s="9" t="s">
        <v>100</v>
      </c>
    </row>
    <row r="197" spans="2:23" ht="15.75" thickBot="1" x14ac:dyDescent="0.3">
      <c r="B197" s="7">
        <v>2009</v>
      </c>
      <c r="C197" s="11">
        <v>30</v>
      </c>
      <c r="D197" s="11">
        <v>7</v>
      </c>
      <c r="E197" s="13">
        <f>D197/C197</f>
        <v>0.23333333333333334</v>
      </c>
      <c r="T197" s="7" t="str">
        <v>$15</v>
      </c>
      <c r="V197" s="9">
        <v>2021</v>
      </c>
      <c r="W197" s="9" t="s">
        <v>101</v>
      </c>
    </row>
    <row r="198" spans="2:23" ht="15.75" thickBot="1" x14ac:dyDescent="0.3">
      <c r="B198" s="7">
        <v>2010</v>
      </c>
      <c r="C198" s="11">
        <v>30</v>
      </c>
      <c r="D198" s="11">
        <v>7</v>
      </c>
      <c r="E198" s="13">
        <f t="shared" ref="E198:E211" si="12">D198/C198</f>
        <v>0.23333333333333334</v>
      </c>
      <c r="T198" s="7" t="str">
        <v>$16</v>
      </c>
      <c r="V198" s="9">
        <v>2020</v>
      </c>
      <c r="W198" s="9" t="s">
        <v>102</v>
      </c>
    </row>
    <row r="199" spans="2:23" ht="15.75" thickBot="1" x14ac:dyDescent="0.3">
      <c r="B199" s="7">
        <v>2011</v>
      </c>
      <c r="C199" s="11">
        <v>46</v>
      </c>
      <c r="D199" s="11">
        <v>15</v>
      </c>
      <c r="E199" s="13">
        <f t="shared" si="12"/>
        <v>0.32608695652173914</v>
      </c>
      <c r="T199" s="7" t="str">
        <v>$11</v>
      </c>
      <c r="V199" s="9">
        <v>2019</v>
      </c>
      <c r="W199" s="9" t="s">
        <v>103</v>
      </c>
    </row>
    <row r="200" spans="2:23" ht="15.75" thickBot="1" x14ac:dyDescent="0.3">
      <c r="B200" s="7">
        <v>2012</v>
      </c>
      <c r="C200" s="11">
        <v>45</v>
      </c>
      <c r="D200" s="11">
        <v>16</v>
      </c>
      <c r="E200" s="13">
        <f t="shared" si="12"/>
        <v>0.35555555555555557</v>
      </c>
      <c r="T200" s="7" t="str">
        <v>$9</v>
      </c>
      <c r="V200" s="9">
        <v>2018</v>
      </c>
      <c r="W200" s="9" t="s">
        <v>104</v>
      </c>
    </row>
    <row r="201" spans="2:23" ht="15.75" thickBot="1" x14ac:dyDescent="0.3">
      <c r="B201" s="41">
        <v>2013</v>
      </c>
      <c r="C201" s="42">
        <v>32</v>
      </c>
      <c r="D201" s="42">
        <v>11</v>
      </c>
      <c r="E201" s="43">
        <f t="shared" si="12"/>
        <v>0.34375</v>
      </c>
      <c r="T201" s="7" t="str">
        <v>$5</v>
      </c>
      <c r="V201" s="9">
        <v>2017</v>
      </c>
      <c r="W201" s="9" t="s">
        <v>101</v>
      </c>
    </row>
    <row r="202" spans="2:23" ht="15.75" thickBot="1" x14ac:dyDescent="0.3">
      <c r="B202" s="41">
        <v>2014</v>
      </c>
      <c r="C202" s="42">
        <v>21</v>
      </c>
      <c r="D202" s="42">
        <v>9</v>
      </c>
      <c r="E202" s="43">
        <f t="shared" si="12"/>
        <v>0.42857142857142855</v>
      </c>
      <c r="T202" s="7" t="str">
        <v>$6</v>
      </c>
      <c r="V202" s="9">
        <v>2016</v>
      </c>
      <c r="W202" s="9" t="s">
        <v>104</v>
      </c>
    </row>
    <row r="203" spans="2:23" ht="15.75" thickBot="1" x14ac:dyDescent="0.3">
      <c r="B203" s="41">
        <v>2015</v>
      </c>
      <c r="C203" s="42">
        <v>12</v>
      </c>
      <c r="D203" s="42">
        <v>5</v>
      </c>
      <c r="E203" s="43">
        <f t="shared" si="12"/>
        <v>0.41666666666666669</v>
      </c>
      <c r="T203" s="7" t="str">
        <v>$13</v>
      </c>
      <c r="V203" s="9">
        <v>2015</v>
      </c>
      <c r="W203" s="9" t="s">
        <v>105</v>
      </c>
    </row>
    <row r="204" spans="2:23" ht="15.75" thickBot="1" x14ac:dyDescent="0.3">
      <c r="B204" s="41">
        <v>2016</v>
      </c>
      <c r="C204" s="42">
        <v>21</v>
      </c>
      <c r="D204" s="42">
        <v>6</v>
      </c>
      <c r="E204" s="43">
        <f t="shared" si="12"/>
        <v>0.2857142857142857</v>
      </c>
      <c r="T204" s="7" t="str">
        <v>$6</v>
      </c>
      <c r="V204" s="9">
        <v>2014</v>
      </c>
      <c r="W204" s="9" t="s">
        <v>106</v>
      </c>
    </row>
    <row r="205" spans="2:23" ht="15.75" thickBot="1" x14ac:dyDescent="0.3">
      <c r="B205" s="41">
        <v>2017</v>
      </c>
      <c r="C205" s="42">
        <v>26</v>
      </c>
      <c r="D205" s="42">
        <v>13</v>
      </c>
      <c r="E205" s="43">
        <f t="shared" si="12"/>
        <v>0.5</v>
      </c>
      <c r="T205" s="7" t="str">
        <v>$8</v>
      </c>
      <c r="V205" s="9">
        <v>2013</v>
      </c>
      <c r="W205" s="9" t="s">
        <v>102</v>
      </c>
    </row>
    <row r="206" spans="2:23" ht="15.75" thickBot="1" x14ac:dyDescent="0.3">
      <c r="B206" s="7">
        <v>2018</v>
      </c>
      <c r="C206" s="11">
        <v>33</v>
      </c>
      <c r="D206" s="11">
        <v>6</v>
      </c>
      <c r="E206" s="13">
        <f t="shared" si="12"/>
        <v>0.18181818181818182</v>
      </c>
      <c r="T206" s="7" t="str">
        <v>$11</v>
      </c>
      <c r="V206" s="9">
        <v>2012</v>
      </c>
      <c r="W206" s="9" t="s">
        <v>107</v>
      </c>
    </row>
    <row r="207" spans="2:23" ht="15.75" thickBot="1" x14ac:dyDescent="0.3">
      <c r="B207" s="7">
        <v>2019</v>
      </c>
      <c r="C207" s="11">
        <v>31</v>
      </c>
      <c r="D207" s="11">
        <v>8</v>
      </c>
      <c r="E207" s="13">
        <f t="shared" si="12"/>
        <v>0.25806451612903225</v>
      </c>
      <c r="T207" s="7" t="str">
        <v>$13</v>
      </c>
      <c r="V207" s="9">
        <v>2011</v>
      </c>
      <c r="W207" s="9" t="s">
        <v>108</v>
      </c>
    </row>
    <row r="208" spans="2:23" ht="15.75" thickBot="1" x14ac:dyDescent="0.3">
      <c r="B208" s="7">
        <v>2020</v>
      </c>
      <c r="C208" s="11">
        <v>41</v>
      </c>
      <c r="D208" s="11">
        <v>11</v>
      </c>
      <c r="E208" s="13">
        <f t="shared" si="12"/>
        <v>0.26829268292682928</v>
      </c>
      <c r="T208" s="7" t="str">
        <v>$19</v>
      </c>
      <c r="V208" s="9">
        <v>2010</v>
      </c>
      <c r="W208" s="9" t="s">
        <v>109</v>
      </c>
    </row>
    <row r="209" spans="2:23" x14ac:dyDescent="0.25">
      <c r="B209" s="7">
        <v>2021</v>
      </c>
      <c r="C209" s="11">
        <v>49</v>
      </c>
      <c r="D209" s="11">
        <v>13</v>
      </c>
      <c r="E209" s="13">
        <f t="shared" si="12"/>
        <v>0.26530612244897961</v>
      </c>
      <c r="G209" s="19">
        <f>AVERAGE(E206:E211)</f>
        <v>0.24365759619215843</v>
      </c>
      <c r="H209" s="19">
        <f>MEDIAN(E206:E211)</f>
        <v>0.25741063644289452</v>
      </c>
      <c r="T209" s="7" t="str">
        <v>$19</v>
      </c>
      <c r="V209" s="9">
        <v>2009</v>
      </c>
      <c r="W209" s="9" t="s">
        <v>109</v>
      </c>
    </row>
    <row r="210" spans="2:23" x14ac:dyDescent="0.25">
      <c r="B210" s="7">
        <v>2022</v>
      </c>
      <c r="C210" s="11">
        <v>74</v>
      </c>
      <c r="D210" s="11">
        <v>19</v>
      </c>
      <c r="E210" s="13">
        <f t="shared" si="12"/>
        <v>0.25675675675675674</v>
      </c>
    </row>
    <row r="211" spans="2:23" x14ac:dyDescent="0.25">
      <c r="B211" s="7">
        <v>2023</v>
      </c>
      <c r="C211" s="11">
        <v>82</v>
      </c>
      <c r="D211" s="11">
        <v>19</v>
      </c>
      <c r="E211" s="13">
        <f t="shared" si="12"/>
        <v>0.23170731707317074</v>
      </c>
    </row>
    <row r="212" spans="2:23" x14ac:dyDescent="0.25">
      <c r="B212" s="7">
        <v>2024</v>
      </c>
      <c r="C212" s="11"/>
      <c r="E212" s="17">
        <f>C194</f>
        <v>0.19016697588126161</v>
      </c>
    </row>
    <row r="215" spans="2:23" x14ac:dyDescent="0.25">
      <c r="B215" s="7" t="s">
        <v>110</v>
      </c>
    </row>
    <row r="216" spans="2:23" x14ac:dyDescent="0.25">
      <c r="B216" s="17" t="s">
        <v>111</v>
      </c>
      <c r="F216" s="17" t="s">
        <v>112</v>
      </c>
    </row>
    <row r="218" spans="2:23" x14ac:dyDescent="0.25">
      <c r="B218" s="17">
        <f>E212</f>
        <v>0.19016697588126161</v>
      </c>
      <c r="F218" s="17">
        <v>0.21</v>
      </c>
    </row>
    <row r="220" spans="2:23" x14ac:dyDescent="0.25">
      <c r="B220" s="7" t="s">
        <v>74</v>
      </c>
      <c r="C220" s="7">
        <v>1</v>
      </c>
      <c r="D220" s="7">
        <v>2</v>
      </c>
      <c r="E220" s="7">
        <v>3</v>
      </c>
      <c r="F220" s="7">
        <v>4</v>
      </c>
      <c r="G220" s="7">
        <v>5</v>
      </c>
      <c r="H220" s="7" t="s">
        <v>60</v>
      </c>
    </row>
    <row r="221" spans="2:23" x14ac:dyDescent="0.25">
      <c r="B221" s="17">
        <f>B218</f>
        <v>0.19016697588126161</v>
      </c>
      <c r="C221" s="17">
        <f>B221+C222</f>
        <v>0.19347247990105135</v>
      </c>
      <c r="D221" s="17">
        <f t="shared" ref="D221" si="13">C221+D222</f>
        <v>0.19677798392084109</v>
      </c>
      <c r="E221" s="17">
        <f t="shared" ref="E221" si="14">D221+E222</f>
        <v>0.20008348794063083</v>
      </c>
      <c r="F221" s="17">
        <f t="shared" ref="F221" si="15">E221+F222</f>
        <v>0.20338899196042057</v>
      </c>
      <c r="G221" s="17">
        <f t="shared" ref="G221" si="16">F221+G222</f>
        <v>0.20669449598021031</v>
      </c>
      <c r="H221" s="17">
        <f>F218</f>
        <v>0.21</v>
      </c>
    </row>
    <row r="222" spans="2:23" x14ac:dyDescent="0.25">
      <c r="C222" s="40">
        <f>(H221-B221)/6</f>
        <v>3.305504019789731E-3</v>
      </c>
      <c r="D222" s="40">
        <f>C222</f>
        <v>3.305504019789731E-3</v>
      </c>
      <c r="E222" s="40">
        <f t="shared" ref="E222:G222" si="17">D222</f>
        <v>3.305504019789731E-3</v>
      </c>
      <c r="F222" s="40">
        <f t="shared" si="17"/>
        <v>3.305504019789731E-3</v>
      </c>
      <c r="G222" s="40">
        <f t="shared" si="17"/>
        <v>3.305504019789731E-3</v>
      </c>
    </row>
    <row r="225" spans="1:33"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7" spans="1:33" x14ac:dyDescent="0.25">
      <c r="A227" s="15" t="s">
        <v>119</v>
      </c>
    </row>
    <row r="230" spans="1:33" x14ac:dyDescent="0.25">
      <c r="B230" s="7" t="s">
        <v>113</v>
      </c>
      <c r="C230" s="35" t="s">
        <v>74</v>
      </c>
      <c r="D230" s="35" t="s">
        <v>60</v>
      </c>
      <c r="E230" s="35"/>
      <c r="F230" s="35"/>
      <c r="G230" s="35"/>
    </row>
    <row r="231" spans="1:33" x14ac:dyDescent="0.25">
      <c r="B231" s="22" t="s">
        <v>73</v>
      </c>
      <c r="C231" s="30">
        <f>B124</f>
        <v>0.11066183006306007</v>
      </c>
      <c r="D231" s="30">
        <f>E124</f>
        <v>8.72E-2</v>
      </c>
      <c r="E231" s="17"/>
      <c r="F231" s="17"/>
      <c r="G231" s="17"/>
    </row>
    <row r="232" spans="1:33" x14ac:dyDescent="0.25">
      <c r="B232" s="22" t="s">
        <v>114</v>
      </c>
      <c r="C232" s="45">
        <f>C130</f>
        <v>585.48</v>
      </c>
      <c r="D232" s="44">
        <f>C232</f>
        <v>585.48</v>
      </c>
      <c r="E232" s="11"/>
      <c r="F232" s="11"/>
      <c r="G232" s="11"/>
    </row>
    <row r="233" spans="1:33" x14ac:dyDescent="0.25">
      <c r="B233" s="22" t="s">
        <v>78</v>
      </c>
      <c r="C233" s="30">
        <f>B159</f>
        <v>4.9890000000000004E-2</v>
      </c>
      <c r="D233" s="30">
        <f>F159</f>
        <v>3.5900000000000001E-2</v>
      </c>
      <c r="E233" s="17"/>
      <c r="F233" s="17"/>
      <c r="G233" s="17"/>
    </row>
    <row r="234" spans="1:33" x14ac:dyDescent="0.25">
      <c r="B234" s="22" t="s">
        <v>96</v>
      </c>
      <c r="C234" s="46">
        <f>B218</f>
        <v>0.19016697588126161</v>
      </c>
      <c r="D234" s="46">
        <f>F218</f>
        <v>0.21</v>
      </c>
      <c r="E234" s="51"/>
      <c r="F234" s="51"/>
      <c r="G234" s="51"/>
    </row>
    <row r="235" spans="1:33" x14ac:dyDescent="0.25">
      <c r="B235" s="22" t="s">
        <v>115</v>
      </c>
      <c r="C235" s="47">
        <f>C233*(1-C234)</f>
        <v>4.0402569573283857E-2</v>
      </c>
      <c r="D235" s="47">
        <f>D233*(1-D234)</f>
        <v>2.8361000000000001E-2</v>
      </c>
      <c r="E235" s="52"/>
      <c r="F235" s="52"/>
      <c r="G235" s="52"/>
    </row>
    <row r="236" spans="1:33" x14ac:dyDescent="0.25">
      <c r="B236" s="22" t="s">
        <v>85</v>
      </c>
      <c r="C236" s="45">
        <f>E187</f>
        <v>91.366937762918539</v>
      </c>
      <c r="D236" s="48">
        <f>C236</f>
        <v>91.366937762918539</v>
      </c>
      <c r="E236" s="53"/>
      <c r="F236" s="53"/>
      <c r="G236" s="53"/>
    </row>
    <row r="237" spans="1:33" x14ac:dyDescent="0.25">
      <c r="B237" s="22" t="s">
        <v>116</v>
      </c>
      <c r="C237" s="56">
        <f>C236/(C236+C232)</f>
        <v>0.13498906867319233</v>
      </c>
      <c r="D237" s="56">
        <f>D236/(D236+D232)</f>
        <v>0.13498906867319233</v>
      </c>
      <c r="E237" s="54"/>
      <c r="F237" s="54"/>
      <c r="G237" s="54"/>
    </row>
    <row r="238" spans="1:33" ht="15.75" thickBot="1" x14ac:dyDescent="0.3">
      <c r="B238" s="37" t="s">
        <v>117</v>
      </c>
      <c r="C238" s="56">
        <f>C232/(C232+C236)</f>
        <v>0.86501093132680773</v>
      </c>
      <c r="D238" s="56">
        <f>D232/(D232+D236)</f>
        <v>0.86501093132680773</v>
      </c>
      <c r="E238" s="55"/>
      <c r="F238" s="55"/>
      <c r="G238" s="55"/>
    </row>
    <row r="239" spans="1:33" ht="15.75" thickBot="1" x14ac:dyDescent="0.3">
      <c r="B239" s="49" t="s">
        <v>118</v>
      </c>
      <c r="C239" s="50">
        <f>(C231*C238)+(C235*C237)</f>
        <v>0.10117759792387797</v>
      </c>
      <c r="D239" s="50">
        <f>(D231*D238)+(D235*D237)</f>
        <v>7.9257378188338043E-2</v>
      </c>
      <c r="E239" s="32"/>
      <c r="F239" s="32"/>
      <c r="G239" s="32"/>
    </row>
    <row r="240" spans="1:33" x14ac:dyDescent="0.25">
      <c r="D240" s="31"/>
      <c r="E240" s="31"/>
      <c r="F240" s="31"/>
      <c r="G240" s="31"/>
    </row>
    <row r="241" spans="2:12" x14ac:dyDescent="0.25">
      <c r="B241" s="7" t="s">
        <v>125</v>
      </c>
    </row>
    <row r="242" spans="2:12" x14ac:dyDescent="0.25">
      <c r="B242" s="17">
        <f>C239</f>
        <v>0.10117759792387797</v>
      </c>
      <c r="F242" s="17">
        <f>D239</f>
        <v>7.9257378188338043E-2</v>
      </c>
    </row>
    <row r="245" spans="2:12" x14ac:dyDescent="0.25">
      <c r="B245" s="7" t="s">
        <v>14</v>
      </c>
      <c r="C245" s="7" t="s">
        <v>74</v>
      </c>
      <c r="D245" s="7">
        <v>1</v>
      </c>
      <c r="E245" s="7">
        <v>2</v>
      </c>
      <c r="F245" s="7">
        <v>3</v>
      </c>
      <c r="G245" s="7">
        <v>4</v>
      </c>
      <c r="H245" s="7">
        <v>5</v>
      </c>
      <c r="I245" s="7">
        <v>6</v>
      </c>
      <c r="J245" s="7">
        <v>7</v>
      </c>
      <c r="K245" s="7">
        <v>8</v>
      </c>
      <c r="L245" s="7" t="s">
        <v>60</v>
      </c>
    </row>
    <row r="246" spans="2:12" x14ac:dyDescent="0.25">
      <c r="C246" s="17">
        <f>C239</f>
        <v>0.10117759792387797</v>
      </c>
      <c r="D246" s="17">
        <f>C246+D247</f>
        <v>9.8742017953262415E-2</v>
      </c>
      <c r="E246" s="17">
        <f t="shared" ref="E246:G246" si="18">D246+E247</f>
        <v>9.6306437982646861E-2</v>
      </c>
      <c r="F246" s="17">
        <f t="shared" si="18"/>
        <v>9.3870858012031308E-2</v>
      </c>
      <c r="G246" s="17">
        <f t="shared" si="18"/>
        <v>9.1435278041415755E-2</v>
      </c>
      <c r="H246" s="17">
        <f>G246+H247</f>
        <v>8.8999698070800201E-2</v>
      </c>
      <c r="I246" s="17">
        <f t="shared" ref="I246" si="19">H246+I247</f>
        <v>8.6564118100184648E-2</v>
      </c>
      <c r="J246" s="17">
        <f>I246+J247</f>
        <v>8.4128538129569094E-2</v>
      </c>
      <c r="K246" s="17">
        <f>J246+K247</f>
        <v>8.1692958158953541E-2</v>
      </c>
      <c r="L246" s="17">
        <f>D239</f>
        <v>7.9257378188338043E-2</v>
      </c>
    </row>
    <row r="247" spans="2:12" s="255" customFormat="1" x14ac:dyDescent="0.25">
      <c r="D247" s="40">
        <f>(L246-C246)/9</f>
        <v>-2.4355799706155474E-3</v>
      </c>
      <c r="E247" s="40">
        <f>D247</f>
        <v>-2.4355799706155474E-3</v>
      </c>
      <c r="F247" s="40">
        <f>E247</f>
        <v>-2.4355799706155474E-3</v>
      </c>
      <c r="G247" s="40">
        <f>F247</f>
        <v>-2.4355799706155474E-3</v>
      </c>
      <c r="H247" s="40">
        <f t="shared" ref="H247" si="20">G247</f>
        <v>-2.4355799706155474E-3</v>
      </c>
      <c r="I247" s="40">
        <f t="shared" ref="I247" si="21">H247</f>
        <v>-2.4355799706155474E-3</v>
      </c>
      <c r="J247" s="40">
        <f t="shared" ref="J247" si="22">I247</f>
        <v>-2.4355799706155474E-3</v>
      </c>
      <c r="K247" s="40">
        <f t="shared" ref="K247" si="23">J247</f>
        <v>-2.4355799706155474E-3</v>
      </c>
      <c r="L247" s="40">
        <f t="shared" ref="L247" si="24">K247</f>
        <v>-2.4355799706155474E-3</v>
      </c>
    </row>
    <row r="249" spans="2:12" x14ac:dyDescent="0.25">
      <c r="H249" s="17"/>
    </row>
  </sheetData>
  <mergeCells count="36">
    <mergeCell ref="J109:K109"/>
    <mergeCell ref="B117:C117"/>
    <mergeCell ref="B118:C118"/>
    <mergeCell ref="B119:C119"/>
    <mergeCell ref="B120:C120"/>
    <mergeCell ref="J106:K106"/>
    <mergeCell ref="B107:D107"/>
    <mergeCell ref="J107:K107"/>
    <mergeCell ref="B108:D108"/>
    <mergeCell ref="J108:K108"/>
    <mergeCell ref="J61:K61"/>
    <mergeCell ref="J62:K62"/>
    <mergeCell ref="J104:K104"/>
    <mergeCell ref="J105:K105"/>
    <mergeCell ref="B61:D61"/>
    <mergeCell ref="B62:D62"/>
    <mergeCell ref="J58:K58"/>
    <mergeCell ref="J59:K59"/>
    <mergeCell ref="J60:K60"/>
    <mergeCell ref="J48:K48"/>
    <mergeCell ref="F57:G57"/>
    <mergeCell ref="J57:K57"/>
    <mergeCell ref="F48:G48"/>
    <mergeCell ref="J49:K49"/>
    <mergeCell ref="J50:K50"/>
    <mergeCell ref="J51:K51"/>
    <mergeCell ref="J52:K52"/>
    <mergeCell ref="J53:K53"/>
    <mergeCell ref="B58:D58"/>
    <mergeCell ref="B59:D59"/>
    <mergeCell ref="B60:D60"/>
    <mergeCell ref="B49:D49"/>
    <mergeCell ref="B50:D50"/>
    <mergeCell ref="B51:D51"/>
    <mergeCell ref="B52:D52"/>
    <mergeCell ref="B53:D5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FDEA-3E53-4065-AA26-2BFAE7551621}">
  <dimension ref="A3:AD276"/>
  <sheetViews>
    <sheetView showGridLines="0" topLeftCell="A236" zoomScale="85" zoomScaleNormal="85" workbookViewId="0">
      <selection activeCell="A50" sqref="A50:F50"/>
    </sheetView>
  </sheetViews>
  <sheetFormatPr defaultRowHeight="15" x14ac:dyDescent="0.25"/>
  <cols>
    <col min="1" max="1" width="9.28515625" style="7" customWidth="1"/>
    <col min="2" max="2" width="9.140625" style="7"/>
    <col min="3" max="3" width="10.28515625" style="7" customWidth="1"/>
    <col min="4" max="4" width="17.140625" style="7" customWidth="1"/>
    <col min="5" max="5" width="14.5703125" style="7" customWidth="1"/>
    <col min="6" max="6" width="15.5703125" style="7" customWidth="1"/>
    <col min="7" max="7" width="18.140625" style="7" customWidth="1"/>
    <col min="8" max="8" width="15.140625" style="7" customWidth="1"/>
    <col min="9" max="9" width="10.5703125" style="7" customWidth="1"/>
    <col min="10" max="10" width="22.42578125" style="7" customWidth="1"/>
    <col min="11" max="11" width="16.85546875" style="7" customWidth="1"/>
    <col min="12" max="12" width="14" style="7" customWidth="1"/>
    <col min="13" max="13" width="12.140625" style="7" customWidth="1"/>
    <col min="14" max="14" width="24.140625" style="7" customWidth="1"/>
    <col min="15" max="15" width="20.28515625" style="7" customWidth="1"/>
    <col min="16" max="16" width="18.140625" style="7" customWidth="1"/>
    <col min="17" max="17" width="17.85546875" style="7" customWidth="1"/>
    <col min="18" max="18" width="15.42578125" style="7" customWidth="1"/>
    <col min="19" max="16384" width="9.140625" style="7"/>
  </cols>
  <sheetData>
    <row r="3" spans="1:14" x14ac:dyDescent="0.25">
      <c r="A3" s="15" t="s">
        <v>129</v>
      </c>
    </row>
    <row r="4" spans="1:14" x14ac:dyDescent="0.25">
      <c r="B4" s="7" t="s">
        <v>130</v>
      </c>
    </row>
    <row r="7" spans="1:14" x14ac:dyDescent="0.25">
      <c r="B7" s="7" t="s">
        <v>266</v>
      </c>
    </row>
    <row r="8" spans="1:14" x14ac:dyDescent="0.25">
      <c r="B8" s="7" t="s">
        <v>267</v>
      </c>
    </row>
    <row r="15" spans="1:14" x14ac:dyDescent="0.25">
      <c r="B15" s="15" t="s">
        <v>131</v>
      </c>
    </row>
    <row r="16" spans="1:14" x14ac:dyDescent="0.25">
      <c r="N16" s="7" t="s">
        <v>32</v>
      </c>
    </row>
    <row r="17" spans="2:27" x14ac:dyDescent="0.25">
      <c r="B17" s="7" t="s">
        <v>14</v>
      </c>
      <c r="C17" s="7" t="s">
        <v>15</v>
      </c>
      <c r="D17" s="7" t="s">
        <v>32</v>
      </c>
      <c r="Y17" s="7" t="s">
        <v>14</v>
      </c>
      <c r="Z17" s="7" t="s">
        <v>15</v>
      </c>
      <c r="AA17" s="7" t="s">
        <v>32</v>
      </c>
    </row>
    <row r="18" spans="2:27" x14ac:dyDescent="0.25">
      <c r="B18" s="7">
        <v>1996</v>
      </c>
      <c r="C18" s="11">
        <v>184.77799999999999</v>
      </c>
      <c r="N18" s="13">
        <v>0.10751279914275517</v>
      </c>
      <c r="Y18" s="7">
        <v>1999</v>
      </c>
      <c r="Z18" s="11">
        <v>195.245</v>
      </c>
      <c r="AA18" s="13">
        <v>-9.710789663528234E-2</v>
      </c>
    </row>
    <row r="19" spans="2:27" x14ac:dyDescent="0.25">
      <c r="B19" s="7">
        <v>1997</v>
      </c>
      <c r="C19" s="11">
        <v>204.64400000000001</v>
      </c>
      <c r="D19" s="13">
        <v>0.10751279914275517</v>
      </c>
      <c r="N19" s="13">
        <v>5.6683802114892171E-2</v>
      </c>
      <c r="Y19" s="7">
        <v>2001</v>
      </c>
      <c r="Z19" s="11">
        <v>196.36500000000001</v>
      </c>
      <c r="AA19" s="13">
        <v>-5.2895838558447247E-2</v>
      </c>
    </row>
    <row r="20" spans="2:27" x14ac:dyDescent="0.25">
      <c r="B20" s="7">
        <v>1998</v>
      </c>
      <c r="C20" s="11">
        <v>216.244</v>
      </c>
      <c r="D20" s="13">
        <v>5.6683802114892171E-2</v>
      </c>
      <c r="N20" s="13">
        <v>6.1906835002176697E-2</v>
      </c>
      <c r="Y20" s="7">
        <v>2002</v>
      </c>
      <c r="Z20" s="11">
        <v>169.84200000000001</v>
      </c>
      <c r="AA20" s="13">
        <v>-0.13506989534794894</v>
      </c>
    </row>
    <row r="21" spans="2:27" x14ac:dyDescent="0.25">
      <c r="B21" s="7">
        <v>1999</v>
      </c>
      <c r="C21" s="11">
        <v>195.245</v>
      </c>
      <c r="D21" s="13">
        <v>-9.710789663528234E-2</v>
      </c>
      <c r="N21" s="13">
        <v>0.19421129176367771</v>
      </c>
      <c r="Y21" s="7">
        <v>2003</v>
      </c>
      <c r="Z21" s="11">
        <v>153.333</v>
      </c>
      <c r="AA21" s="13">
        <v>-9.7202105486275558E-2</v>
      </c>
    </row>
    <row r="22" spans="2:27" x14ac:dyDescent="0.25">
      <c r="B22" s="7">
        <v>2000</v>
      </c>
      <c r="C22" s="11">
        <v>207.33199999999999</v>
      </c>
      <c r="D22" s="13">
        <v>6.1906835002176697E-2</v>
      </c>
      <c r="N22" s="13">
        <v>0.12392415570798204</v>
      </c>
      <c r="Y22" s="7">
        <v>2009</v>
      </c>
      <c r="Z22" s="11">
        <v>257</v>
      </c>
      <c r="AA22" s="13">
        <v>-4.7237730868756135E-2</v>
      </c>
    </row>
    <row r="23" spans="2:27" x14ac:dyDescent="0.25">
      <c r="B23" s="7">
        <v>2001</v>
      </c>
      <c r="C23" s="11">
        <v>196.36500000000001</v>
      </c>
      <c r="D23" s="13">
        <v>-5.2895838558447247E-2</v>
      </c>
      <c r="N23" s="13">
        <v>5.4095158500320741E-2</v>
      </c>
      <c r="Y23" s="7">
        <v>2013</v>
      </c>
      <c r="Z23" s="11">
        <v>410</v>
      </c>
      <c r="AA23" s="13">
        <v>-6.6059225512528477E-2</v>
      </c>
    </row>
    <row r="24" spans="2:27" x14ac:dyDescent="0.25">
      <c r="B24" s="7">
        <v>2002</v>
      </c>
      <c r="C24" s="11">
        <v>169.84200000000001</v>
      </c>
      <c r="D24" s="13">
        <v>-0.13506989534794894</v>
      </c>
      <c r="N24" s="13">
        <v>7.5376722274208524E-2</v>
      </c>
      <c r="Y24" s="7">
        <v>2014</v>
      </c>
      <c r="Z24" s="11">
        <v>388</v>
      </c>
      <c r="AA24" s="13">
        <v>-5.3658536585365853E-2</v>
      </c>
    </row>
    <row r="25" spans="2:27" x14ac:dyDescent="0.25">
      <c r="B25" s="7">
        <v>2003</v>
      </c>
      <c r="C25" s="11">
        <v>153.333</v>
      </c>
      <c r="D25" s="13">
        <v>-9.7202105486275558E-2</v>
      </c>
      <c r="N25" s="13">
        <v>0.15625683165515747</v>
      </c>
      <c r="Y25" s="7">
        <v>2015</v>
      </c>
      <c r="Z25" s="11">
        <v>355</v>
      </c>
      <c r="AA25" s="13">
        <v>-8.505154639175258E-2</v>
      </c>
    </row>
    <row r="26" spans="2:27" x14ac:dyDescent="0.25">
      <c r="B26" s="7">
        <v>2004</v>
      </c>
      <c r="C26" s="11">
        <v>183.11199999999999</v>
      </c>
      <c r="D26" s="13">
        <v>0.19421129176367771</v>
      </c>
      <c r="J26" s="19">
        <f>D21</f>
        <v>-9.710789663528234E-2</v>
      </c>
      <c r="N26" s="13">
        <v>3.5377358490566037E-2</v>
      </c>
      <c r="Y26" s="7">
        <v>2016</v>
      </c>
      <c r="Z26" s="11">
        <v>337</v>
      </c>
      <c r="AA26" s="13">
        <v>-5.0704225352112678E-2</v>
      </c>
    </row>
    <row r="27" spans="2:27" x14ac:dyDescent="0.25">
      <c r="B27" s="7">
        <v>2005</v>
      </c>
      <c r="C27" s="11">
        <v>205.804</v>
      </c>
      <c r="D27" s="13">
        <v>0.12392415570798204</v>
      </c>
      <c r="J27" s="19">
        <f>D23</f>
        <v>-5.2895838558447247E-2</v>
      </c>
      <c r="L27" s="19">
        <f>AVERAGE(J26:J34)</f>
        <v>-7.6109666748718885E-2</v>
      </c>
      <c r="N27" s="13">
        <v>0.12166172106824925</v>
      </c>
    </row>
    <row r="28" spans="2:27" x14ac:dyDescent="0.25">
      <c r="B28" s="7">
        <v>2006</v>
      </c>
      <c r="C28" s="11">
        <v>216.93700000000001</v>
      </c>
      <c r="D28" s="13">
        <v>5.4095158500320741E-2</v>
      </c>
      <c r="J28" s="19">
        <f>D24</f>
        <v>-0.13506989534794894</v>
      </c>
      <c r="L28" s="19">
        <f>MEDIAN(J26:J34)</f>
        <v>-6.6059225512528477E-2</v>
      </c>
      <c r="N28" s="13">
        <v>0.11375661375661375</v>
      </c>
    </row>
    <row r="29" spans="2:27" x14ac:dyDescent="0.25">
      <c r="B29" s="7">
        <v>2007</v>
      </c>
      <c r="C29" s="11">
        <v>233.28899999999999</v>
      </c>
      <c r="D29" s="13">
        <v>7.5376722274208524E-2</v>
      </c>
      <c r="J29" s="19">
        <f>D25</f>
        <v>-9.7202105486275558E-2</v>
      </c>
      <c r="N29" s="13">
        <v>5.6769596199524888E-2</v>
      </c>
    </row>
    <row r="30" spans="2:27" x14ac:dyDescent="0.25">
      <c r="B30" s="7">
        <v>2008</v>
      </c>
      <c r="C30" s="11">
        <v>269.74200000000002</v>
      </c>
      <c r="D30" s="13">
        <v>0.15625683165515747</v>
      </c>
      <c r="J30" s="19">
        <f>D31</f>
        <v>-4.7237730868756135E-2</v>
      </c>
      <c r="N30" s="13">
        <v>4.8325466396943136E-2</v>
      </c>
    </row>
    <row r="31" spans="2:27" x14ac:dyDescent="0.25">
      <c r="B31" s="7">
        <v>2009</v>
      </c>
      <c r="C31" s="11">
        <v>257</v>
      </c>
      <c r="D31" s="13">
        <v>-4.7237730868756135E-2</v>
      </c>
      <c r="G31" s="7" t="s">
        <v>43</v>
      </c>
      <c r="H31" s="19">
        <f>AVERAGE(D19:D45)</f>
        <v>5.4900839859424781E-2</v>
      </c>
      <c r="J31" s="19">
        <f>D35</f>
        <v>-6.6059225512528477E-2</v>
      </c>
      <c r="N31" s="13">
        <v>0.10934819897084049</v>
      </c>
    </row>
    <row r="32" spans="2:27" x14ac:dyDescent="0.25">
      <c r="B32" s="7">
        <v>2010</v>
      </c>
      <c r="C32" s="11">
        <v>338</v>
      </c>
      <c r="D32" s="13">
        <v>0.31517509727626458</v>
      </c>
      <c r="G32" s="7" t="s">
        <v>44</v>
      </c>
      <c r="H32" s="19">
        <f>MEDIAN(D19:D45)</f>
        <v>5.6683802114892171E-2</v>
      </c>
      <c r="J32" s="19">
        <f>D36</f>
        <v>-5.3658536585365853E-2</v>
      </c>
      <c r="N32" s="13">
        <v>0.23115577889447242</v>
      </c>
    </row>
    <row r="33" spans="2:27" x14ac:dyDescent="0.25">
      <c r="B33" s="7">
        <v>2011</v>
      </c>
      <c r="C33" s="11">
        <v>424</v>
      </c>
      <c r="D33" s="13">
        <v>0.25443786982248523</v>
      </c>
      <c r="G33" s="7" t="s">
        <v>132</v>
      </c>
      <c r="J33" s="19">
        <f>D37</f>
        <v>-8.505154639175258E-2</v>
      </c>
      <c r="N33" s="13">
        <v>5.1334379905808546E-2</v>
      </c>
    </row>
    <row r="34" spans="2:27" x14ac:dyDescent="0.25">
      <c r="B34" s="7">
        <v>2012</v>
      </c>
      <c r="C34" s="11">
        <v>439</v>
      </c>
      <c r="D34" s="13">
        <v>3.5377358490566037E-2</v>
      </c>
      <c r="G34" s="7" t="s">
        <v>43</v>
      </c>
      <c r="H34" s="19">
        <f>AVERAGE(N18:N33)</f>
        <v>9.9856044365261826E-2</v>
      </c>
      <c r="J34" s="19">
        <f>D38</f>
        <v>-5.0704225352112678E-2</v>
      </c>
    </row>
    <row r="35" spans="2:27" x14ac:dyDescent="0.25">
      <c r="B35" s="7">
        <v>2013</v>
      </c>
      <c r="C35" s="11">
        <v>410</v>
      </c>
      <c r="D35" s="13">
        <v>-6.6059225512528477E-2</v>
      </c>
      <c r="G35" s="7" t="s">
        <v>44</v>
      </c>
      <c r="H35" s="19">
        <f>MEDIAN(N18:N33)</f>
        <v>9.1444760708481843E-2</v>
      </c>
    </row>
    <row r="36" spans="2:27" x14ac:dyDescent="0.25">
      <c r="B36" s="7">
        <v>2014</v>
      </c>
      <c r="C36" s="11">
        <v>388</v>
      </c>
      <c r="D36" s="13">
        <v>-5.3658536585365853E-2</v>
      </c>
    </row>
    <row r="37" spans="2:27" x14ac:dyDescent="0.25">
      <c r="B37" s="7">
        <v>2015</v>
      </c>
      <c r="C37" s="11">
        <v>355</v>
      </c>
      <c r="D37" s="13">
        <v>-8.505154639175258E-2</v>
      </c>
    </row>
    <row r="38" spans="2:27" x14ac:dyDescent="0.25">
      <c r="B38" s="7">
        <v>2016</v>
      </c>
      <c r="C38" s="11">
        <v>337</v>
      </c>
      <c r="D38" s="13">
        <v>-5.0704225352112678E-2</v>
      </c>
      <c r="E38" s="8">
        <f>AVEDEV(D42:D45)</f>
        <v>6.0557411426228142E-2</v>
      </c>
    </row>
    <row r="39" spans="2:27" x14ac:dyDescent="0.25">
      <c r="B39" s="7">
        <v>2017</v>
      </c>
      <c r="C39" s="11">
        <v>378</v>
      </c>
      <c r="D39" s="13">
        <v>0.12166172106824925</v>
      </c>
      <c r="Z39" s="11"/>
      <c r="AA39" s="13"/>
    </row>
    <row r="40" spans="2:27" x14ac:dyDescent="0.25">
      <c r="B40" s="7">
        <v>2018</v>
      </c>
      <c r="C40" s="11">
        <v>421</v>
      </c>
      <c r="D40" s="13">
        <v>0.11375661375661375</v>
      </c>
      <c r="Z40" s="11"/>
      <c r="AA40" s="13"/>
    </row>
    <row r="41" spans="2:27" x14ac:dyDescent="0.25">
      <c r="B41" s="7">
        <v>2019</v>
      </c>
      <c r="C41" s="11">
        <v>444.9</v>
      </c>
      <c r="D41" s="13">
        <v>5.6769596199524888E-2</v>
      </c>
      <c r="E41" s="19">
        <f>AVERAGE(D39:D45)</f>
        <v>0.10462167931320751</v>
      </c>
      <c r="Z41" s="11"/>
      <c r="AA41" s="13"/>
    </row>
    <row r="42" spans="2:27" x14ac:dyDescent="0.25">
      <c r="B42" s="7">
        <v>2020</v>
      </c>
      <c r="C42" s="11">
        <v>466.4</v>
      </c>
      <c r="D42" s="13">
        <v>4.8325466396943136E-2</v>
      </c>
      <c r="Z42" s="11"/>
      <c r="AA42" s="13"/>
    </row>
    <row r="43" spans="2:27" x14ac:dyDescent="0.25">
      <c r="B43" s="7">
        <v>2021</v>
      </c>
      <c r="C43" s="11">
        <v>517.4</v>
      </c>
      <c r="D43" s="13">
        <v>0.10934819897084049</v>
      </c>
      <c r="Z43" s="11"/>
      <c r="AA43" s="13"/>
    </row>
    <row r="44" spans="2:27" x14ac:dyDescent="0.25">
      <c r="B44" s="7">
        <v>2022</v>
      </c>
      <c r="C44" s="11">
        <v>637</v>
      </c>
      <c r="D44" s="13">
        <v>0.23115577889447242</v>
      </c>
      <c r="G44" s="7" t="s">
        <v>133</v>
      </c>
      <c r="J44" s="17">
        <v>9.8799999999999999E-2</v>
      </c>
      <c r="Z44" s="11"/>
      <c r="AA44" s="13"/>
    </row>
    <row r="45" spans="2:27" x14ac:dyDescent="0.25">
      <c r="B45" s="7">
        <v>2023</v>
      </c>
      <c r="C45" s="11">
        <v>669.7</v>
      </c>
      <c r="D45" s="13">
        <v>5.1334379905808546E-2</v>
      </c>
      <c r="Z45" s="11"/>
      <c r="AA45" s="13"/>
    </row>
    <row r="46" spans="2:27" x14ac:dyDescent="0.25">
      <c r="G46" s="7" t="s">
        <v>134</v>
      </c>
    </row>
    <row r="49" spans="2:12" x14ac:dyDescent="0.25">
      <c r="C49" s="7" t="s">
        <v>14</v>
      </c>
      <c r="D49" s="7">
        <v>1</v>
      </c>
      <c r="E49" s="7">
        <v>2</v>
      </c>
      <c r="F49" s="7">
        <v>3</v>
      </c>
      <c r="G49" s="7">
        <v>4</v>
      </c>
      <c r="H49" s="7">
        <v>5</v>
      </c>
      <c r="I49" s="7">
        <v>6</v>
      </c>
      <c r="J49" s="7">
        <v>7</v>
      </c>
      <c r="K49" s="7">
        <v>8</v>
      </c>
      <c r="L49" s="7" t="s">
        <v>60</v>
      </c>
    </row>
    <row r="50" spans="2:12" x14ac:dyDescent="0.25">
      <c r="C50" s="7" t="s">
        <v>135</v>
      </c>
      <c r="D50" s="19">
        <f>-7%</f>
        <v>-7.0000000000000007E-2</v>
      </c>
      <c r="E50" s="19">
        <v>7.0000000000000007E-2</v>
      </c>
      <c r="F50" s="19">
        <f>E50+F51</f>
        <v>7.6999999999999999E-2</v>
      </c>
      <c r="G50" s="19">
        <f>F50+G51</f>
        <v>8.3999999999999991E-2</v>
      </c>
      <c r="H50" s="19">
        <v>9.0999999999999998E-2</v>
      </c>
      <c r="I50" s="19">
        <v>9.0999999999999998E-2</v>
      </c>
      <c r="J50" s="19">
        <v>9.0999999999999998E-2</v>
      </c>
      <c r="K50" s="19">
        <v>9.0999999999999998E-2</v>
      </c>
      <c r="L50" s="19">
        <v>9.0999999999999998E-2</v>
      </c>
    </row>
    <row r="51" spans="2:12" s="57" customFormat="1" x14ac:dyDescent="0.25">
      <c r="D51" s="253"/>
      <c r="E51" s="253">
        <f>(H50-E50)/3</f>
        <v>6.9999999999999967E-3</v>
      </c>
      <c r="F51" s="253">
        <f>E51</f>
        <v>6.9999999999999967E-3</v>
      </c>
      <c r="G51" s="253">
        <f>F51</f>
        <v>6.9999999999999967E-3</v>
      </c>
      <c r="H51" s="254"/>
      <c r="I51" s="254"/>
    </row>
    <row r="52" spans="2:12" x14ac:dyDescent="0.25">
      <c r="B52" s="7" t="s">
        <v>14</v>
      </c>
      <c r="C52" s="7" t="s">
        <v>15</v>
      </c>
      <c r="D52" s="7" t="s">
        <v>32</v>
      </c>
      <c r="E52" s="19"/>
      <c r="F52" s="19"/>
      <c r="G52" s="19"/>
      <c r="H52" s="18"/>
      <c r="I52" s="18"/>
    </row>
    <row r="53" spans="2:12" x14ac:dyDescent="0.25">
      <c r="B53" s="7">
        <v>1999</v>
      </c>
      <c r="C53" s="11">
        <v>195.245</v>
      </c>
      <c r="D53" s="13">
        <v>-9.710789663528234E-2</v>
      </c>
      <c r="E53" s="19"/>
      <c r="F53" s="19"/>
      <c r="G53" s="19"/>
      <c r="H53" s="18"/>
      <c r="I53" s="18" t="s">
        <v>139</v>
      </c>
      <c r="J53" s="19">
        <f>AVERAGE(D53:D61)</f>
        <v>-7.6109666748718885E-2</v>
      </c>
    </row>
    <row r="54" spans="2:12" x14ac:dyDescent="0.25">
      <c r="B54" s="7">
        <v>2001</v>
      </c>
      <c r="C54" s="11">
        <v>196.36500000000001</v>
      </c>
      <c r="D54" s="13">
        <v>-5.2895838558447247E-2</v>
      </c>
      <c r="E54" s="19"/>
      <c r="F54" s="19"/>
      <c r="G54" s="19"/>
      <c r="H54" s="18"/>
      <c r="I54" s="18" t="s">
        <v>140</v>
      </c>
      <c r="J54" s="19">
        <f>MEDIAN(D53:D61)</f>
        <v>-6.6059225512528477E-2</v>
      </c>
    </row>
    <row r="55" spans="2:12" x14ac:dyDescent="0.25">
      <c r="B55" s="7">
        <v>2002</v>
      </c>
      <c r="C55" s="11">
        <v>169.84200000000001</v>
      </c>
      <c r="D55" s="13">
        <v>-0.13506989534794894</v>
      </c>
      <c r="E55" s="19"/>
      <c r="F55" s="19"/>
      <c r="G55" s="19"/>
      <c r="H55" s="18"/>
      <c r="I55" s="18"/>
    </row>
    <row r="56" spans="2:12" x14ac:dyDescent="0.25">
      <c r="B56" s="7">
        <v>2003</v>
      </c>
      <c r="C56" s="11">
        <v>153.333</v>
      </c>
      <c r="D56" s="13">
        <v>-9.7202105486275558E-2</v>
      </c>
      <c r="E56" s="19"/>
      <c r="F56" s="19"/>
      <c r="G56" s="19"/>
      <c r="H56" s="18"/>
      <c r="I56" s="18" t="s">
        <v>268</v>
      </c>
      <c r="K56" s="19">
        <f>AVERAGE(J53:J54)</f>
        <v>-7.1084446130623674E-2</v>
      </c>
    </row>
    <row r="57" spans="2:12" s="57" customFormat="1" x14ac:dyDescent="0.25">
      <c r="B57" s="7">
        <v>2009</v>
      </c>
      <c r="C57" s="11">
        <v>257</v>
      </c>
      <c r="D57" s="13">
        <v>-4.7237730868756135E-2</v>
      </c>
      <c r="E57" s="40">
        <f>(H50-D50)/4</f>
        <v>4.0250000000000001E-2</v>
      </c>
      <c r="F57" s="40">
        <f>E57</f>
        <v>4.0250000000000001E-2</v>
      </c>
      <c r="G57" s="40">
        <f>F57</f>
        <v>4.0250000000000001E-2</v>
      </c>
      <c r="H57" s="40">
        <f>G57</f>
        <v>4.0250000000000001E-2</v>
      </c>
      <c r="I57" s="40">
        <f>H57</f>
        <v>4.0250000000000001E-2</v>
      </c>
    </row>
    <row r="58" spans="2:12" s="57" customFormat="1" x14ac:dyDescent="0.25">
      <c r="B58" s="7">
        <v>2013</v>
      </c>
      <c r="C58" s="11">
        <v>410</v>
      </c>
      <c r="D58" s="13">
        <v>-6.6059225512528477E-2</v>
      </c>
      <c r="E58" s="40"/>
      <c r="F58" s="40"/>
      <c r="G58" s="40"/>
      <c r="H58" s="40"/>
      <c r="I58" s="40"/>
    </row>
    <row r="59" spans="2:12" s="57" customFormat="1" x14ac:dyDescent="0.25">
      <c r="B59" s="7">
        <v>2014</v>
      </c>
      <c r="C59" s="11">
        <v>388</v>
      </c>
      <c r="D59" s="13">
        <v>-5.3658536585365853E-2</v>
      </c>
      <c r="E59" s="40"/>
      <c r="F59" s="40"/>
      <c r="G59" s="40"/>
      <c r="H59" s="40"/>
      <c r="I59" s="40"/>
    </row>
    <row r="60" spans="2:12" s="57" customFormat="1" x14ac:dyDescent="0.25">
      <c r="B60" s="7">
        <v>2015</v>
      </c>
      <c r="C60" s="11">
        <v>355</v>
      </c>
      <c r="D60" s="13">
        <v>-8.505154639175258E-2</v>
      </c>
      <c r="E60" s="40"/>
      <c r="F60" s="40"/>
      <c r="G60" s="40"/>
      <c r="H60" s="40"/>
      <c r="I60" s="40"/>
    </row>
    <row r="61" spans="2:12" x14ac:dyDescent="0.25">
      <c r="B61" s="7">
        <v>2016</v>
      </c>
      <c r="C61" s="11">
        <v>337</v>
      </c>
      <c r="D61" s="13">
        <v>-5.0704225352112678E-2</v>
      </c>
    </row>
    <row r="62" spans="2:12" x14ac:dyDescent="0.25">
      <c r="C62" s="11"/>
      <c r="D62" s="13"/>
    </row>
    <row r="63" spans="2:12" x14ac:dyDescent="0.25">
      <c r="C63" s="11"/>
      <c r="D63" s="13"/>
    </row>
    <row r="64" spans="2:12" x14ac:dyDescent="0.25">
      <c r="C64" s="11"/>
      <c r="D64" s="13"/>
    </row>
    <row r="65" spans="2:17" x14ac:dyDescent="0.25">
      <c r="C65" s="7" t="s">
        <v>14</v>
      </c>
      <c r="D65" s="7">
        <v>1</v>
      </c>
      <c r="E65" s="7">
        <v>2</v>
      </c>
      <c r="F65" s="7">
        <v>3</v>
      </c>
      <c r="G65" s="7">
        <v>4</v>
      </c>
      <c r="H65" s="7">
        <v>5</v>
      </c>
      <c r="I65" s="7">
        <v>6</v>
      </c>
      <c r="J65" s="7">
        <v>7</v>
      </c>
      <c r="K65" s="7">
        <v>8</v>
      </c>
      <c r="L65" s="7" t="s">
        <v>60</v>
      </c>
    </row>
    <row r="66" spans="2:17" x14ac:dyDescent="0.25">
      <c r="C66" s="7" t="s">
        <v>135</v>
      </c>
      <c r="D66" s="19">
        <v>-7.0000000000000007E-2</v>
      </c>
      <c r="E66" s="19">
        <v>-7.0000000000000007E-2</v>
      </c>
      <c r="F66" s="19">
        <v>-7.0000000000000007E-2</v>
      </c>
      <c r="G66" s="19">
        <v>5.6683802114892198E-2</v>
      </c>
      <c r="H66" s="19">
        <v>7.0000000000000007E-2</v>
      </c>
      <c r="I66" s="19">
        <v>8.0829049471277004E-2</v>
      </c>
      <c r="J66" s="19">
        <v>9.1658098942553903E-2</v>
      </c>
      <c r="K66" s="18">
        <v>9.0999999999999998E-2</v>
      </c>
      <c r="L66" s="19">
        <v>0.09</v>
      </c>
      <c r="M66" s="18"/>
    </row>
    <row r="67" spans="2:17" x14ac:dyDescent="0.25">
      <c r="D67" s="11"/>
      <c r="E67" s="13"/>
    </row>
    <row r="68" spans="2:17" x14ac:dyDescent="0.25">
      <c r="C68" s="11"/>
      <c r="D68" s="13"/>
    </row>
    <row r="69" spans="2:17" x14ac:dyDescent="0.25">
      <c r="C69" s="11"/>
      <c r="D69" s="13"/>
    </row>
    <row r="70" spans="2:17" x14ac:dyDescent="0.25">
      <c r="D70" s="19"/>
      <c r="E70" s="19"/>
      <c r="F70" s="19"/>
      <c r="G70" s="19"/>
      <c r="H70" s="19"/>
    </row>
    <row r="71" spans="2:17" x14ac:dyDescent="0.25">
      <c r="D71" s="19"/>
      <c r="E71" s="19"/>
      <c r="F71" s="19"/>
      <c r="G71" s="19"/>
      <c r="H71" s="19"/>
    </row>
    <row r="72" spans="2:17" x14ac:dyDescent="0.25">
      <c r="B72" s="15" t="s">
        <v>136</v>
      </c>
    </row>
    <row r="74" spans="2:17" x14ac:dyDescent="0.25">
      <c r="B74" s="7" t="s">
        <v>137</v>
      </c>
      <c r="E74" s="8">
        <f>11559/140904</f>
        <v>8.2034576733094874E-2</v>
      </c>
    </row>
    <row r="77" spans="2:17" x14ac:dyDescent="0.25">
      <c r="B77" s="7" t="s">
        <v>14</v>
      </c>
      <c r="C77" s="7" t="s">
        <v>15</v>
      </c>
      <c r="D77" s="7" t="s">
        <v>126</v>
      </c>
      <c r="E77" s="7" t="s">
        <v>138</v>
      </c>
      <c r="P77" s="7" t="s">
        <v>139</v>
      </c>
      <c r="Q77" s="17">
        <f>AVERAGE(E78:E92)</f>
        <v>8.1997877100087949E-2</v>
      </c>
    </row>
    <row r="78" spans="2:17" x14ac:dyDescent="0.25">
      <c r="B78" s="7">
        <v>2009</v>
      </c>
      <c r="C78" s="11">
        <v>257</v>
      </c>
      <c r="D78" s="11">
        <v>19.46</v>
      </c>
      <c r="E78" s="8">
        <f t="shared" ref="E78:E91" si="0">D78/C78</f>
        <v>7.5719844357976657E-2</v>
      </c>
      <c r="P78" s="7" t="s">
        <v>140</v>
      </c>
      <c r="Q78" s="17">
        <f>MEDIAN(E78:E92)</f>
        <v>7.8228028503562946E-2</v>
      </c>
    </row>
    <row r="79" spans="2:17" x14ac:dyDescent="0.25">
      <c r="B79" s="7">
        <v>2010</v>
      </c>
      <c r="C79" s="11">
        <v>338</v>
      </c>
      <c r="D79" s="11">
        <v>28.48</v>
      </c>
      <c r="E79" s="8">
        <f t="shared" si="0"/>
        <v>8.4260355029585801E-2</v>
      </c>
    </row>
    <row r="80" spans="2:17" x14ac:dyDescent="0.25">
      <c r="B80" s="7">
        <v>2011</v>
      </c>
      <c r="C80" s="11">
        <v>424</v>
      </c>
      <c r="D80" s="11">
        <v>45.353999999999999</v>
      </c>
      <c r="E80" s="8">
        <f t="shared" si="0"/>
        <v>0.10696698113207546</v>
      </c>
    </row>
    <row r="81" spans="2:23" x14ac:dyDescent="0.25">
      <c r="B81" s="7">
        <v>2012</v>
      </c>
      <c r="C81" s="11">
        <v>439</v>
      </c>
      <c r="D81" s="11">
        <v>44.122</v>
      </c>
      <c r="E81" s="8">
        <f t="shared" si="0"/>
        <v>0.10050569476082004</v>
      </c>
    </row>
    <row r="82" spans="2:23" x14ac:dyDescent="0.25">
      <c r="B82" s="41">
        <v>2013</v>
      </c>
      <c r="C82" s="42">
        <v>410</v>
      </c>
      <c r="D82" s="42">
        <v>31.148</v>
      </c>
      <c r="E82" s="58">
        <f t="shared" si="0"/>
        <v>7.5970731707317066E-2</v>
      </c>
    </row>
    <row r="83" spans="2:23" x14ac:dyDescent="0.25">
      <c r="B83" s="41">
        <v>2014</v>
      </c>
      <c r="C83" s="42">
        <v>388</v>
      </c>
      <c r="D83" s="42">
        <v>21.238</v>
      </c>
      <c r="E83" s="58">
        <f t="shared" si="0"/>
        <v>5.4737113402061853E-2</v>
      </c>
    </row>
    <row r="84" spans="2:23" x14ac:dyDescent="0.25">
      <c r="B84" s="41">
        <v>2015</v>
      </c>
      <c r="C84" s="42">
        <v>355</v>
      </c>
      <c r="D84" s="42">
        <v>12.349</v>
      </c>
      <c r="E84" s="58">
        <f t="shared" si="0"/>
        <v>3.4785915492957745E-2</v>
      </c>
    </row>
    <row r="85" spans="2:23" x14ac:dyDescent="0.25">
      <c r="B85" s="41">
        <v>2016</v>
      </c>
      <c r="C85" s="42">
        <v>337</v>
      </c>
      <c r="D85" s="42">
        <v>21.478999999999999</v>
      </c>
      <c r="E85" s="58">
        <f t="shared" si="0"/>
        <v>6.3735905044510377E-2</v>
      </c>
    </row>
    <row r="86" spans="2:23" x14ac:dyDescent="0.25">
      <c r="B86" s="7">
        <v>2017</v>
      </c>
      <c r="C86" s="11">
        <v>378</v>
      </c>
      <c r="D86" s="11">
        <v>26.108000000000001</v>
      </c>
      <c r="E86" s="8">
        <f t="shared" si="0"/>
        <v>6.9068783068783071E-2</v>
      </c>
    </row>
    <row r="87" spans="2:23" x14ac:dyDescent="0.25">
      <c r="B87" s="7">
        <v>2018</v>
      </c>
      <c r="C87" s="11">
        <v>421</v>
      </c>
      <c r="D87" s="11">
        <v>32.933999999999997</v>
      </c>
      <c r="E87" s="8">
        <f t="shared" si="0"/>
        <v>7.8228028503562946E-2</v>
      </c>
    </row>
    <row r="88" spans="2:23" x14ac:dyDescent="0.25">
      <c r="B88" s="7">
        <v>2019</v>
      </c>
      <c r="C88" s="11">
        <v>444.9</v>
      </c>
      <c r="D88" s="11">
        <v>32.627000000000002</v>
      </c>
      <c r="E88" s="8">
        <f t="shared" si="0"/>
        <v>7.3335581029444832E-2</v>
      </c>
    </row>
    <row r="89" spans="2:23" x14ac:dyDescent="0.25">
      <c r="B89" s="7">
        <v>2020</v>
      </c>
      <c r="C89" s="11">
        <v>466.4</v>
      </c>
      <c r="D89" s="11">
        <v>40.207000000000001</v>
      </c>
      <c r="E89" s="8">
        <f t="shared" si="0"/>
        <v>8.6207118353344769E-2</v>
      </c>
    </row>
    <row r="90" spans="2:23" x14ac:dyDescent="0.25">
      <c r="B90" s="7">
        <v>2021</v>
      </c>
      <c r="C90" s="11">
        <v>517.4</v>
      </c>
      <c r="D90" s="11">
        <v>47.548999999999999</v>
      </c>
      <c r="E90" s="8">
        <f t="shared" si="0"/>
        <v>9.1899884035562429E-2</v>
      </c>
    </row>
    <row r="91" spans="2:23" x14ac:dyDescent="0.25">
      <c r="B91" s="7">
        <v>2022</v>
      </c>
      <c r="C91" s="11">
        <v>637</v>
      </c>
      <c r="D91" s="11">
        <v>69.361000000000004</v>
      </c>
      <c r="E91" s="8">
        <f t="shared" si="0"/>
        <v>0.10888697017268446</v>
      </c>
    </row>
    <row r="92" spans="2:23" x14ac:dyDescent="0.25">
      <c r="B92" s="7">
        <v>2023</v>
      </c>
      <c r="C92" s="11">
        <v>669.7</v>
      </c>
      <c r="D92" s="11">
        <v>84.153999999999996</v>
      </c>
      <c r="E92" s="8">
        <f>D92/C92</f>
        <v>0.12565925041063161</v>
      </c>
      <c r="F92" s="17"/>
    </row>
    <row r="93" spans="2:23" x14ac:dyDescent="0.25">
      <c r="C93" s="11"/>
      <c r="D93" s="11"/>
      <c r="E93" s="8"/>
      <c r="O93" s="8">
        <v>7.5719844357976657E-2</v>
      </c>
    </row>
    <row r="94" spans="2:23" x14ac:dyDescent="0.25">
      <c r="C94" s="11"/>
      <c r="D94" s="11"/>
      <c r="E94" s="8"/>
      <c r="O94" s="8">
        <v>8.4260355029585801E-2</v>
      </c>
    </row>
    <row r="95" spans="2:23" x14ac:dyDescent="0.25">
      <c r="C95" s="11"/>
      <c r="D95" s="11"/>
      <c r="E95" s="8"/>
      <c r="O95" s="8">
        <v>0.10696698113207546</v>
      </c>
      <c r="Q95" s="7" t="s">
        <v>143</v>
      </c>
      <c r="W95" s="17">
        <f>AVERAGE(O93:O103)</f>
        <v>9.0976226441315644E-2</v>
      </c>
    </row>
    <row r="96" spans="2:23" x14ac:dyDescent="0.25">
      <c r="B96" s="7" t="s">
        <v>141</v>
      </c>
      <c r="C96" s="11"/>
      <c r="D96" s="11"/>
      <c r="E96" s="8"/>
      <c r="O96" s="8">
        <v>0.10050569476082004</v>
      </c>
      <c r="Q96" s="7" t="s">
        <v>144</v>
      </c>
      <c r="W96" s="17">
        <f>MEDIAN(O93:O103)</f>
        <v>8.6207118353344769E-2</v>
      </c>
    </row>
    <row r="97" spans="2:15" x14ac:dyDescent="0.25">
      <c r="B97" s="7" t="s">
        <v>142</v>
      </c>
      <c r="C97" s="11"/>
      <c r="D97" s="11"/>
      <c r="E97" s="8"/>
      <c r="O97" s="8">
        <v>6.9068783068783071E-2</v>
      </c>
    </row>
    <row r="98" spans="2:15" x14ac:dyDescent="0.25">
      <c r="C98" s="11"/>
      <c r="D98" s="11"/>
      <c r="E98" s="8"/>
      <c r="O98" s="8">
        <v>7.8228028503562946E-2</v>
      </c>
    </row>
    <row r="99" spans="2:15" x14ac:dyDescent="0.25">
      <c r="C99" s="11"/>
      <c r="D99" s="11"/>
      <c r="E99" s="8"/>
      <c r="O99" s="8">
        <v>7.3335581029444832E-2</v>
      </c>
    </row>
    <row r="100" spans="2:15" x14ac:dyDescent="0.25">
      <c r="C100" s="11"/>
      <c r="D100" s="11"/>
      <c r="E100" s="8"/>
      <c r="O100" s="8">
        <v>8.6207118353344769E-2</v>
      </c>
    </row>
    <row r="101" spans="2:15" x14ac:dyDescent="0.25">
      <c r="C101" s="11"/>
      <c r="D101" s="11"/>
      <c r="E101" s="8"/>
      <c r="O101" s="8">
        <v>9.1899884035562429E-2</v>
      </c>
    </row>
    <row r="102" spans="2:15" x14ac:dyDescent="0.25">
      <c r="C102" s="11"/>
      <c r="D102" s="11"/>
      <c r="E102" s="8"/>
      <c r="O102" s="8">
        <v>0.10888697017268446</v>
      </c>
    </row>
    <row r="103" spans="2:15" x14ac:dyDescent="0.25">
      <c r="C103" s="11"/>
      <c r="D103" s="11"/>
      <c r="E103" s="8"/>
      <c r="O103" s="8">
        <v>0.12565925041063161</v>
      </c>
    </row>
    <row r="104" spans="2:15" x14ac:dyDescent="0.25">
      <c r="C104" s="11"/>
      <c r="D104" s="11"/>
      <c r="E104" s="8"/>
    </row>
    <row r="105" spans="2:15" x14ac:dyDescent="0.25">
      <c r="C105" s="11"/>
      <c r="D105" s="11"/>
      <c r="E105" s="8"/>
    </row>
    <row r="112" spans="2:15" x14ac:dyDescent="0.25">
      <c r="C112" s="57"/>
    </row>
    <row r="130" spans="3:11" x14ac:dyDescent="0.25">
      <c r="D130" s="7" t="s">
        <v>145</v>
      </c>
    </row>
    <row r="131" spans="3:11" x14ac:dyDescent="0.25">
      <c r="D131" s="17">
        <f>E137</f>
        <v>0.1</v>
      </c>
      <c r="G131" s="17">
        <f>K137</f>
        <v>0.12</v>
      </c>
    </row>
    <row r="136" spans="3:11" x14ac:dyDescent="0.25">
      <c r="D136" s="7" t="s">
        <v>14</v>
      </c>
      <c r="E136" s="7" t="s">
        <v>74</v>
      </c>
      <c r="F136" s="7">
        <v>1</v>
      </c>
      <c r="G136" s="7">
        <v>2</v>
      </c>
      <c r="H136" s="7">
        <v>3</v>
      </c>
      <c r="I136" s="7">
        <v>4</v>
      </c>
      <c r="J136" s="7">
        <v>5</v>
      </c>
      <c r="K136" s="7" t="s">
        <v>60</v>
      </c>
    </row>
    <row r="137" spans="3:11" x14ac:dyDescent="0.25">
      <c r="D137" s="7" t="s">
        <v>136</v>
      </c>
      <c r="E137" s="19">
        <v>0.1</v>
      </c>
      <c r="F137" s="19">
        <v>0.1</v>
      </c>
      <c r="G137" s="19">
        <f>F137+G138</f>
        <v>0.10400000000000001</v>
      </c>
      <c r="H137" s="19">
        <f t="shared" ref="H137:J137" si="1">G137+H138</f>
        <v>0.10800000000000001</v>
      </c>
      <c r="I137" s="19">
        <f t="shared" si="1"/>
        <v>0.11200000000000002</v>
      </c>
      <c r="J137" s="19">
        <f t="shared" si="1"/>
        <v>0.11600000000000002</v>
      </c>
      <c r="K137" s="18">
        <v>0.12</v>
      </c>
    </row>
    <row r="138" spans="3:11" x14ac:dyDescent="0.25">
      <c r="G138" s="40">
        <f>(K137-F137)/5</f>
        <v>3.9999999999999983E-3</v>
      </c>
      <c r="H138" s="40">
        <f>G138</f>
        <v>3.9999999999999983E-3</v>
      </c>
      <c r="I138" s="40">
        <f t="shared" ref="I138" si="2">H138</f>
        <v>3.9999999999999983E-3</v>
      </c>
      <c r="J138" s="40">
        <f>I138</f>
        <v>3.9999999999999983E-3</v>
      </c>
      <c r="K138" s="40"/>
    </row>
    <row r="140" spans="3:11" x14ac:dyDescent="0.25">
      <c r="C140" s="16" t="s">
        <v>266</v>
      </c>
    </row>
    <row r="144" spans="3:11" x14ac:dyDescent="0.25">
      <c r="D144" s="7" t="s">
        <v>145</v>
      </c>
    </row>
    <row r="145" spans="2:18" ht="15.75" customHeight="1" x14ac:dyDescent="0.25">
      <c r="D145" s="17">
        <f>E150</f>
        <v>0.1</v>
      </c>
      <c r="G145" s="17" t="s">
        <v>271</v>
      </c>
      <c r="J145" s="18">
        <v>0.12</v>
      </c>
    </row>
    <row r="149" spans="2:18" x14ac:dyDescent="0.25">
      <c r="D149" s="7" t="s">
        <v>14</v>
      </c>
      <c r="E149" s="7" t="s">
        <v>74</v>
      </c>
      <c r="F149" s="7">
        <v>1</v>
      </c>
      <c r="G149" s="7">
        <v>2</v>
      </c>
      <c r="H149" s="7">
        <v>3</v>
      </c>
      <c r="I149" s="7">
        <v>4</v>
      </c>
      <c r="J149" s="7">
        <v>5</v>
      </c>
      <c r="K149" s="7">
        <v>6</v>
      </c>
      <c r="L149" s="7">
        <v>7</v>
      </c>
      <c r="M149" s="7">
        <v>8</v>
      </c>
      <c r="N149" s="7" t="s">
        <v>60</v>
      </c>
    </row>
    <row r="150" spans="2:18" x14ac:dyDescent="0.25">
      <c r="D150" s="7" t="s">
        <v>136</v>
      </c>
      <c r="E150" s="17">
        <f>E137</f>
        <v>0.1</v>
      </c>
      <c r="F150" s="19">
        <f>E150-F151</f>
        <v>9.2733333333333334E-2</v>
      </c>
      <c r="G150" s="19">
        <f>F150-G151</f>
        <v>8.5466666666666663E-2</v>
      </c>
      <c r="H150" s="17">
        <v>7.8200000000000006E-2</v>
      </c>
      <c r="I150" s="19">
        <v>0.10400000000000001</v>
      </c>
      <c r="J150" s="19">
        <v>0.10800000000000001</v>
      </c>
      <c r="K150" s="19">
        <v>0.11200000000000002</v>
      </c>
      <c r="L150" s="19">
        <v>0.11600000000000002</v>
      </c>
      <c r="M150" s="18">
        <v>0.12</v>
      </c>
      <c r="N150" s="219">
        <v>0.12</v>
      </c>
    </row>
    <row r="151" spans="2:18" x14ac:dyDescent="0.25">
      <c r="E151" s="40"/>
      <c r="F151" s="40">
        <f>(E150-H150)/3</f>
        <v>7.2666666666666669E-3</v>
      </c>
      <c r="G151" s="40">
        <f>F151</f>
        <v>7.2666666666666669E-3</v>
      </c>
    </row>
    <row r="153" spans="2:18" x14ac:dyDescent="0.25">
      <c r="B153" s="15" t="s">
        <v>146</v>
      </c>
    </row>
    <row r="155" spans="2:18" x14ac:dyDescent="0.25">
      <c r="B155" s="159" t="s">
        <v>14</v>
      </c>
      <c r="C155" s="159" t="s">
        <v>15</v>
      </c>
      <c r="D155" s="159" t="s">
        <v>147</v>
      </c>
      <c r="E155" s="159" t="s">
        <v>182</v>
      </c>
      <c r="F155" s="159" t="s">
        <v>183</v>
      </c>
      <c r="G155" s="159" t="s">
        <v>174</v>
      </c>
      <c r="H155" s="159" t="s">
        <v>175</v>
      </c>
      <c r="I155" s="159" t="s">
        <v>176</v>
      </c>
      <c r="J155" s="159" t="s">
        <v>177</v>
      </c>
      <c r="K155" s="159" t="s">
        <v>178</v>
      </c>
      <c r="L155" s="159" t="s">
        <v>179</v>
      </c>
      <c r="M155" s="159" t="s">
        <v>180</v>
      </c>
      <c r="N155" s="159" t="s">
        <v>148</v>
      </c>
      <c r="O155" s="159" t="s">
        <v>181</v>
      </c>
      <c r="P155" s="159" t="s">
        <v>146</v>
      </c>
      <c r="Q155" s="159" t="s">
        <v>212</v>
      </c>
      <c r="R155" s="159" t="s">
        <v>213</v>
      </c>
    </row>
    <row r="156" spans="2:18" x14ac:dyDescent="0.25">
      <c r="B156" s="160">
        <v>1996</v>
      </c>
      <c r="C156" s="44">
        <v>184.77799999999999</v>
      </c>
      <c r="D156" s="164"/>
      <c r="E156" s="168"/>
      <c r="F156" s="168">
        <f>Table13[[#This Row],[capital ex]]-Table13[[#This Row],[depr&amp;amort]]</f>
        <v>0</v>
      </c>
      <c r="G156" s="168"/>
      <c r="H156" s="168"/>
      <c r="I156" s="168"/>
      <c r="J156" s="168"/>
      <c r="K156" s="168"/>
      <c r="L156" s="168"/>
      <c r="M156" s="168"/>
      <c r="N156" s="168">
        <f>SUM(Table13[[#This Row],[depr&amp;amort]:[income taxes]])</f>
        <v>0</v>
      </c>
      <c r="O156" s="167">
        <f>Table13[[#This Row],[chg in non cash wc]]/Table13[[#This Row],[revenue]]</f>
        <v>0</v>
      </c>
      <c r="P156" s="168">
        <f>Table13[[#This Row],[net cap ex]]+Table13[[#This Row],[chg in non cash wc]]</f>
        <v>0</v>
      </c>
    </row>
    <row r="157" spans="2:18" x14ac:dyDescent="0.25">
      <c r="B157" s="160">
        <v>1997</v>
      </c>
      <c r="C157" s="44">
        <v>204.64400000000001</v>
      </c>
      <c r="D157" s="164"/>
      <c r="E157" s="59"/>
      <c r="F157" s="59">
        <f>Table13[[#This Row],[capital ex]]-Table13[[#This Row],[depr&amp;amort]]</f>
        <v>0</v>
      </c>
      <c r="G157" s="59"/>
      <c r="H157" s="59"/>
      <c r="I157" s="59"/>
      <c r="J157" s="59"/>
      <c r="K157" s="59"/>
      <c r="L157" s="59"/>
      <c r="M157" s="59"/>
      <c r="N157" s="59">
        <f>SUM(Table13[[#This Row],[depr&amp;amort]:[income taxes]])</f>
        <v>0</v>
      </c>
      <c r="O157" s="167">
        <f>Table13[[#This Row],[chg in non cash wc]]/Table13[[#This Row],[revenue]]</f>
        <v>0</v>
      </c>
      <c r="P157" s="59">
        <f>Table13[[#This Row],[net cap ex]]+Table13[[#This Row],[chg in non cash wc]]</f>
        <v>0</v>
      </c>
    </row>
    <row r="158" spans="2:18" x14ac:dyDescent="0.25">
      <c r="B158" s="160">
        <v>1998</v>
      </c>
      <c r="C158" s="44">
        <v>216.244</v>
      </c>
      <c r="D158" s="164">
        <v>14.98</v>
      </c>
      <c r="E158" s="59">
        <v>8.7539999999999996</v>
      </c>
      <c r="F158" s="59">
        <f>Table13[[#This Row],[capital ex]]-Table13[[#This Row],[depr&amp;amort]]</f>
        <v>6.2260000000000009</v>
      </c>
      <c r="G158" s="59">
        <v>-1.1319999999999999</v>
      </c>
      <c r="H158" s="59">
        <v>-6.7430000000000003</v>
      </c>
      <c r="I158" s="59"/>
      <c r="J158" s="59">
        <v>-1.329</v>
      </c>
      <c r="K158" s="59">
        <v>1.9590000000000001</v>
      </c>
      <c r="L158" s="59"/>
      <c r="M158" s="59">
        <v>0.72</v>
      </c>
      <c r="N158" s="59">
        <f>SUM(Table13[[#This Row],[account rec]:[other]])</f>
        <v>-6.5250000000000012</v>
      </c>
      <c r="O158" s="167">
        <f>Table13[[#This Row],[chg in non cash wc]]/Table13[[#This Row],[revenue]]</f>
        <v>-3.0174247609182227E-2</v>
      </c>
      <c r="P158" s="59">
        <f>Table13[[#This Row],[net cap ex]]+Table13[[#This Row],[chg in non cash wc]]</f>
        <v>-0.29900000000000038</v>
      </c>
    </row>
    <row r="159" spans="2:18" x14ac:dyDescent="0.25">
      <c r="B159" s="160">
        <v>1999</v>
      </c>
      <c r="C159" s="44">
        <v>195.245</v>
      </c>
      <c r="D159" s="164">
        <v>13.135999999999999</v>
      </c>
      <c r="E159" s="59">
        <v>9.7859999999999996</v>
      </c>
      <c r="F159" s="59">
        <f>Table13[[#This Row],[capital ex]]-Table13[[#This Row],[depr&amp;amort]]</f>
        <v>3.3499999999999996</v>
      </c>
      <c r="G159" s="59">
        <v>0.58899999999999997</v>
      </c>
      <c r="H159" s="59">
        <v>-5.0640000000000001</v>
      </c>
      <c r="I159" s="59"/>
      <c r="J159" s="59">
        <v>0.95899999999999996</v>
      </c>
      <c r="K159" s="59">
        <v>0.16600000000000001</v>
      </c>
      <c r="L159" s="59"/>
      <c r="M159" s="59">
        <v>-2.004</v>
      </c>
      <c r="N159" s="59">
        <f>SUM(Table13[[#This Row],[account rec]:[other]])</f>
        <v>-5.3539999999999992</v>
      </c>
      <c r="O159" s="167">
        <f>Table13[[#This Row],[chg in non cash wc]]/Table13[[#This Row],[revenue]]</f>
        <v>-2.7421957028348994E-2</v>
      </c>
      <c r="P159" s="59">
        <f>Table13[[#This Row],[net cap ex]]+Table13[[#This Row],[chg in non cash wc]]</f>
        <v>-2.0039999999999996</v>
      </c>
    </row>
    <row r="160" spans="2:18" x14ac:dyDescent="0.25">
      <c r="B160" s="160">
        <v>2000</v>
      </c>
      <c r="C160" s="44">
        <v>207.33199999999999</v>
      </c>
      <c r="D160" s="164">
        <v>14.337999999999999</v>
      </c>
      <c r="E160" s="59">
        <v>11.411</v>
      </c>
      <c r="F160" s="59">
        <f>Table13[[#This Row],[capital ex]]-Table13[[#This Row],[depr&amp;amort]]</f>
        <v>2.9269999999999996</v>
      </c>
      <c r="G160" s="59">
        <v>-1.87</v>
      </c>
      <c r="H160" s="59">
        <v>0.56100000000000005</v>
      </c>
      <c r="I160" s="59"/>
      <c r="J160" s="59">
        <v>2.681</v>
      </c>
      <c r="K160" s="59">
        <v>0.30399999999999999</v>
      </c>
      <c r="L160" s="59"/>
      <c r="M160" s="59">
        <v>5.7000000000000002E-2</v>
      </c>
      <c r="N160" s="59">
        <f>SUM(Table13[[#This Row],[account rec]:[other]])</f>
        <v>1.7329999999999999</v>
      </c>
      <c r="O160" s="167">
        <f>Table13[[#This Row],[chg in non cash wc]]/Table13[[#This Row],[revenue]]</f>
        <v>8.3585746532132028E-3</v>
      </c>
      <c r="P160" s="59">
        <f>Table13[[#This Row],[net cap ex]]+Table13[[#This Row],[chg in non cash wc]]</f>
        <v>4.6599999999999993</v>
      </c>
    </row>
    <row r="161" spans="2:18" x14ac:dyDescent="0.25">
      <c r="B161" s="160">
        <v>2001</v>
      </c>
      <c r="C161" s="44">
        <v>196.36500000000001</v>
      </c>
      <c r="D161" s="164">
        <v>6.1959999999999997</v>
      </c>
      <c r="E161" s="59">
        <v>10.32</v>
      </c>
      <c r="F161" s="59">
        <f>Table13[[#This Row],[capital ex]]-Table13[[#This Row],[depr&amp;amort]]</f>
        <v>-4.1240000000000006</v>
      </c>
      <c r="G161" s="59">
        <v>1.5880000000000001</v>
      </c>
      <c r="H161" s="59">
        <v>3.0230000000000001</v>
      </c>
      <c r="I161" s="59"/>
      <c r="J161" s="59">
        <v>0.29699999999999999</v>
      </c>
      <c r="K161" s="59">
        <v>-2.9460000000000002</v>
      </c>
      <c r="L161" s="59"/>
      <c r="M161" s="59">
        <v>-2.0590000000000002</v>
      </c>
      <c r="N161" s="59">
        <f>SUM(Table13[[#This Row],[account rec]:[other]])</f>
        <v>-9.6999999999999975E-2</v>
      </c>
      <c r="O161" s="167">
        <f>Table13[[#This Row],[chg in non cash wc]]/Table13[[#This Row],[revenue]]</f>
        <v>-4.9397805107834886E-4</v>
      </c>
      <c r="P161" s="59">
        <f>Table13[[#This Row],[net cap ex]]+Table13[[#This Row],[chg in non cash wc]]</f>
        <v>-4.2210000000000001</v>
      </c>
    </row>
    <row r="162" spans="2:18" x14ac:dyDescent="0.25">
      <c r="B162" s="160">
        <v>2002</v>
      </c>
      <c r="C162" s="44">
        <v>169.84200000000001</v>
      </c>
      <c r="D162" s="164">
        <v>4.7060000000000004</v>
      </c>
      <c r="E162" s="59">
        <v>9.0180000000000007</v>
      </c>
      <c r="F162" s="59">
        <f>Table13[[#This Row],[capital ex]]-Table13[[#This Row],[depr&amp;amort]]</f>
        <v>-4.3120000000000003</v>
      </c>
      <c r="G162" s="59">
        <v>3.91</v>
      </c>
      <c r="H162" s="59">
        <v>2.4020000000000001</v>
      </c>
      <c r="I162" s="59"/>
      <c r="J162" s="59">
        <v>-2.0830000000000002</v>
      </c>
      <c r="K162" s="59">
        <v>0.307</v>
      </c>
      <c r="L162" s="59"/>
      <c r="M162" s="59">
        <v>1.206</v>
      </c>
      <c r="N162" s="59">
        <f>SUM(Table13[[#This Row],[account rec]:[other]])</f>
        <v>5.7420000000000009</v>
      </c>
      <c r="O162" s="167">
        <f>Table13[[#This Row],[chg in non cash wc]]/Table13[[#This Row],[revenue]]</f>
        <v>3.3807892040837957E-2</v>
      </c>
      <c r="P162" s="59">
        <f>Table13[[#This Row],[net cap ex]]+Table13[[#This Row],[chg in non cash wc]]</f>
        <v>1.4300000000000006</v>
      </c>
    </row>
    <row r="163" spans="2:18" x14ac:dyDescent="0.25">
      <c r="B163" s="160">
        <v>2003</v>
      </c>
      <c r="C163" s="44">
        <v>153.333</v>
      </c>
      <c r="D163" s="164">
        <v>4.0179999999999998</v>
      </c>
      <c r="E163" s="59">
        <v>8.3290000000000006</v>
      </c>
      <c r="F163" s="59">
        <f>Table13[[#This Row],[capital ex]]-Table13[[#This Row],[depr&amp;amort]]</f>
        <v>-4.3110000000000008</v>
      </c>
      <c r="G163" s="59">
        <v>2.9990000000000001</v>
      </c>
      <c r="H163" s="59">
        <v>4.4829999999999997</v>
      </c>
      <c r="I163" s="59"/>
      <c r="J163" s="59">
        <v>-1.294</v>
      </c>
      <c r="K163" s="59">
        <v>2.8140000000000001</v>
      </c>
      <c r="L163" s="59"/>
      <c r="M163" s="59">
        <v>3.4000000000000002E-2</v>
      </c>
      <c r="N163" s="59">
        <f>SUM(Table13[[#This Row],[account rec]:[other]])</f>
        <v>9.0359999999999996</v>
      </c>
      <c r="O163" s="167">
        <f>Table13[[#This Row],[chg in non cash wc]]/Table13[[#This Row],[revenue]]</f>
        <v>5.8930562892528023E-2</v>
      </c>
      <c r="P163" s="59">
        <f>Table13[[#This Row],[net cap ex]]+Table13[[#This Row],[chg in non cash wc]]</f>
        <v>4.7249999999999988</v>
      </c>
    </row>
    <row r="164" spans="2:18" x14ac:dyDescent="0.25">
      <c r="B164" s="160">
        <v>2004</v>
      </c>
      <c r="C164" s="44">
        <v>183.11199999999999</v>
      </c>
      <c r="D164" s="164">
        <v>6.1870000000000003</v>
      </c>
      <c r="E164" s="59">
        <v>7.3849999999999998</v>
      </c>
      <c r="F164" s="59">
        <f>Table13[[#This Row],[capital ex]]-Table13[[#This Row],[depr&amp;amort]]</f>
        <v>-1.1979999999999995</v>
      </c>
      <c r="G164" s="59">
        <v>-4.5030000000000001</v>
      </c>
      <c r="H164" s="59">
        <v>-3.7029999999999998</v>
      </c>
      <c r="I164" s="59"/>
      <c r="J164" s="59">
        <v>3.036</v>
      </c>
      <c r="K164" s="59">
        <v>-1.597</v>
      </c>
      <c r="L164" s="59"/>
      <c r="M164" s="59">
        <v>0.23200000000000001</v>
      </c>
      <c r="N164" s="59">
        <f>SUM(Table13[[#This Row],[account rec]:[other]])</f>
        <v>-6.5349999999999993</v>
      </c>
      <c r="O164" s="167">
        <f>Table13[[#This Row],[chg in non cash wc]]/Table13[[#This Row],[revenue]]</f>
        <v>-3.568854034689152E-2</v>
      </c>
      <c r="P164" s="59">
        <f>Table13[[#This Row],[net cap ex]]+Table13[[#This Row],[chg in non cash wc]]</f>
        <v>-7.7329999999999988</v>
      </c>
    </row>
    <row r="165" spans="2:18" x14ac:dyDescent="0.25">
      <c r="B165" s="160">
        <v>2005</v>
      </c>
      <c r="C165" s="44">
        <v>205.804</v>
      </c>
      <c r="D165" s="164">
        <v>7.7370000000000001</v>
      </c>
      <c r="E165" s="59">
        <v>7.2140000000000004</v>
      </c>
      <c r="F165" s="59">
        <f>Table13[[#This Row],[capital ex]]-Table13[[#This Row],[depr&amp;amort]]</f>
        <v>0.52299999999999969</v>
      </c>
      <c r="G165" s="59">
        <v>2.1859999999999999</v>
      </c>
      <c r="H165" s="59">
        <v>-1.728</v>
      </c>
      <c r="I165" s="59"/>
      <c r="J165" s="59">
        <v>2.528</v>
      </c>
      <c r="K165" s="59">
        <v>-0.19700000000000001</v>
      </c>
      <c r="L165" s="59"/>
      <c r="M165" s="59">
        <v>-0.29299999999999998</v>
      </c>
      <c r="N165" s="59">
        <f>SUM(Table13[[#This Row],[account rec]:[other]])</f>
        <v>2.4959999999999996</v>
      </c>
      <c r="O165" s="167">
        <f>Table13[[#This Row],[chg in non cash wc]]/Table13[[#This Row],[revenue]]</f>
        <v>1.2128044158519754E-2</v>
      </c>
      <c r="P165" s="59">
        <f>Table13[[#This Row],[net cap ex]]+Table13[[#This Row],[chg in non cash wc]]</f>
        <v>3.0189999999999992</v>
      </c>
    </row>
    <row r="166" spans="2:18" x14ac:dyDescent="0.25">
      <c r="B166" s="160">
        <v>2006</v>
      </c>
      <c r="C166" s="44">
        <v>216.93700000000001</v>
      </c>
      <c r="D166" s="164">
        <v>10.198</v>
      </c>
      <c r="E166" s="59">
        <v>7.5339999999999998</v>
      </c>
      <c r="F166" s="59">
        <f>Table13[[#This Row],[capital ex]]-Table13[[#This Row],[depr&amp;amort]]</f>
        <v>2.6640000000000006</v>
      </c>
      <c r="G166" s="59">
        <v>-3.6320000000000001</v>
      </c>
      <c r="H166" s="59">
        <v>-1.6879999999999999</v>
      </c>
      <c r="I166" s="59"/>
      <c r="J166" s="59">
        <v>-0.751</v>
      </c>
      <c r="K166" s="59">
        <v>0.93600000000000005</v>
      </c>
      <c r="L166" s="59"/>
      <c r="M166" s="59">
        <v>-0.28899999999999998</v>
      </c>
      <c r="N166" s="59">
        <f>SUM(Table13[[#This Row],[account rec]:[other]])</f>
        <v>-5.4240000000000004</v>
      </c>
      <c r="O166" s="167">
        <f>Table13[[#This Row],[chg in non cash wc]]/Table13[[#This Row],[revenue]]</f>
        <v>-2.5002650539096605E-2</v>
      </c>
      <c r="P166" s="59">
        <f>Table13[[#This Row],[net cap ex]]+Table13[[#This Row],[chg in non cash wc]]</f>
        <v>-2.76</v>
      </c>
    </row>
    <row r="167" spans="2:18" x14ac:dyDescent="0.25">
      <c r="B167" s="160">
        <v>2007</v>
      </c>
      <c r="C167" s="44">
        <v>233.28899999999999</v>
      </c>
      <c r="D167" s="164">
        <v>9.6389999999999993</v>
      </c>
      <c r="E167" s="59">
        <v>8.0790000000000006</v>
      </c>
      <c r="F167" s="59">
        <f>Table13[[#This Row],[capital ex]]-Table13[[#This Row],[depr&amp;amort]]</f>
        <v>1.5599999999999987</v>
      </c>
      <c r="G167" s="59">
        <v>-6.3650000000000002</v>
      </c>
      <c r="H167" s="59">
        <v>-4.952</v>
      </c>
      <c r="I167" s="59"/>
      <c r="J167" s="59">
        <v>3.6280000000000001</v>
      </c>
      <c r="K167" s="59">
        <v>-0.58499999999999996</v>
      </c>
      <c r="L167" s="59"/>
      <c r="M167" s="59">
        <v>-0.624</v>
      </c>
      <c r="N167" s="59">
        <f>SUM(Table13[[#This Row],[account rec]:[other]])</f>
        <v>-8.8980000000000015</v>
      </c>
      <c r="O167" s="167">
        <f>Table13[[#This Row],[chg in non cash wc]]/Table13[[#This Row],[revenue]]</f>
        <v>-3.8141532605480762E-2</v>
      </c>
      <c r="P167" s="59">
        <f>Table13[[#This Row],[net cap ex]]+Table13[[#This Row],[chg in non cash wc]]</f>
        <v>-7.3380000000000027</v>
      </c>
    </row>
    <row r="168" spans="2:18" x14ac:dyDescent="0.25">
      <c r="B168" s="160">
        <v>2008</v>
      </c>
      <c r="C168" s="44">
        <v>269.74200000000002</v>
      </c>
      <c r="D168" s="164">
        <v>10.010999999999999</v>
      </c>
      <c r="E168" s="59">
        <v>8.5489999999999995</v>
      </c>
      <c r="F168" s="59">
        <f>Table13[[#This Row],[capital ex]]-Table13[[#This Row],[depr&amp;amort]]</f>
        <v>1.4619999999999997</v>
      </c>
      <c r="G168" s="59">
        <v>-4.6029999999999998</v>
      </c>
      <c r="H168" s="59">
        <v>-9.4990000000000006</v>
      </c>
      <c r="I168" s="59"/>
      <c r="J168" s="59">
        <v>5.6630000000000003</v>
      </c>
      <c r="K168" s="59">
        <v>-2.2509999999999999</v>
      </c>
      <c r="L168" s="59"/>
      <c r="M168" s="59">
        <v>1.048</v>
      </c>
      <c r="N168" s="59">
        <f>SUM(Table13[[#This Row],[account rec]:[other]])</f>
        <v>-9.6419999999999995</v>
      </c>
      <c r="O168" s="167">
        <f>Table13[[#This Row],[chg in non cash wc]]/Table13[[#This Row],[revenue]]</f>
        <v>-3.5745267700246899E-2</v>
      </c>
      <c r="P168" s="59">
        <f>Table13[[#This Row],[net cap ex]]+Table13[[#This Row],[chg in non cash wc]]</f>
        <v>-8.18</v>
      </c>
    </row>
    <row r="169" spans="2:18" x14ac:dyDescent="0.25">
      <c r="B169" s="160">
        <v>2009</v>
      </c>
      <c r="C169" s="44">
        <v>257</v>
      </c>
      <c r="D169" s="164">
        <v>10.667</v>
      </c>
      <c r="E169" s="59">
        <v>7.2489999999999997</v>
      </c>
      <c r="F169" s="59">
        <f>Table13[[#This Row],[capital ex]]-Table13[[#This Row],[depr&amp;amort]]</f>
        <v>3.4180000000000001</v>
      </c>
      <c r="G169" s="59">
        <v>-0.59399999999999997</v>
      </c>
      <c r="H169" s="59">
        <v>0.92200000000000004</v>
      </c>
      <c r="I169" s="59"/>
      <c r="J169" s="59">
        <v>3.75</v>
      </c>
      <c r="K169" s="59">
        <v>0.78100000000000003</v>
      </c>
      <c r="L169" s="59"/>
      <c r="M169" s="59">
        <v>-1.581</v>
      </c>
      <c r="N169" s="59">
        <f>SUM(Table13[[#This Row],[account rec]:[other]])</f>
        <v>3.278</v>
      </c>
      <c r="O169" s="167">
        <f>Table13[[#This Row],[chg in non cash wc]]/Table13[[#This Row],[revenue]]</f>
        <v>1.2754863813229572E-2</v>
      </c>
      <c r="P169" s="59">
        <f>Table13[[#This Row],[net cap ex]]+Table13[[#This Row],[chg in non cash wc]]</f>
        <v>6.6959999999999997</v>
      </c>
      <c r="Q169" s="11">
        <v>19.46</v>
      </c>
      <c r="R169" s="8">
        <f>Table13[[#This Row],[reinvestment]]/Table13[[#This Row],[operating inc]]</f>
        <v>0.34409044193216853</v>
      </c>
    </row>
    <row r="170" spans="2:18" x14ac:dyDescent="0.25">
      <c r="B170" s="160">
        <v>2010</v>
      </c>
      <c r="C170" s="44">
        <v>338</v>
      </c>
      <c r="D170" s="164">
        <v>12.273999999999999</v>
      </c>
      <c r="E170" s="59">
        <v>9.3940000000000001</v>
      </c>
      <c r="F170" s="59">
        <f>Table13[[#This Row],[capital ex]]-Table13[[#This Row],[depr&amp;amort]]</f>
        <v>2.879999999999999</v>
      </c>
      <c r="G170" s="59">
        <v>-4.9770000000000003</v>
      </c>
      <c r="H170" s="59">
        <v>-8.2680000000000007</v>
      </c>
      <c r="I170" s="59"/>
      <c r="J170" s="59">
        <v>8.4290000000000003</v>
      </c>
      <c r="K170" s="59">
        <v>0.38300000000000001</v>
      </c>
      <c r="L170" s="59"/>
      <c r="M170" s="59">
        <v>-2.327</v>
      </c>
      <c r="N170" s="59">
        <f>SUM(Table13[[#This Row],[account rec]:[other]])</f>
        <v>-6.7600000000000007</v>
      </c>
      <c r="O170" s="167">
        <f>Table13[[#This Row],[chg in non cash wc]]/Table13[[#This Row],[revenue]]</f>
        <v>-0.02</v>
      </c>
      <c r="P170" s="59">
        <f>Table13[[#This Row],[net cap ex]]+Table13[[#This Row],[chg in non cash wc]]</f>
        <v>-3.8800000000000017</v>
      </c>
      <c r="Q170" s="11">
        <v>28.48</v>
      </c>
      <c r="R170" s="8">
        <f>Table13[[#This Row],[reinvestment]]/Table13[[#This Row],[operating inc]]</f>
        <v>-0.13623595505617983</v>
      </c>
    </row>
    <row r="171" spans="2:18" x14ac:dyDescent="0.25">
      <c r="B171" s="160">
        <v>2011</v>
      </c>
      <c r="C171" s="44">
        <v>424</v>
      </c>
      <c r="D171" s="164">
        <v>18.911999999999999</v>
      </c>
      <c r="E171" s="59">
        <v>10.525</v>
      </c>
      <c r="F171" s="59">
        <f>Table13[[#This Row],[capital ex]]-Table13[[#This Row],[depr&amp;amort]]</f>
        <v>8.3869999999999987</v>
      </c>
      <c r="G171" s="59">
        <v>-16.061</v>
      </c>
      <c r="H171" s="59">
        <v>-21.196999999999999</v>
      </c>
      <c r="I171" s="59"/>
      <c r="J171" s="59">
        <v>8.5739999999999998</v>
      </c>
      <c r="K171" s="59">
        <v>-0.81499999999999995</v>
      </c>
      <c r="L171" s="59"/>
      <c r="M171" s="59">
        <v>0.18</v>
      </c>
      <c r="N171" s="59">
        <f>SUM(Table13[[#This Row],[account rec]:[other]])</f>
        <v>-29.318999999999999</v>
      </c>
      <c r="O171" s="167">
        <f>Table13[[#This Row],[chg in non cash wc]]/Table13[[#This Row],[revenue]]</f>
        <v>-6.9148584905660379E-2</v>
      </c>
      <c r="P171" s="59">
        <f>Table13[[#This Row],[net cap ex]]+Table13[[#This Row],[chg in non cash wc]]</f>
        <v>-20.932000000000002</v>
      </c>
      <c r="Q171" s="11">
        <v>45.353999999999999</v>
      </c>
      <c r="R171" s="8">
        <f>Table13[[#This Row],[reinvestment]]/Table13[[#This Row],[operating inc]]</f>
        <v>-0.4615248930634564</v>
      </c>
    </row>
    <row r="172" spans="2:18" x14ac:dyDescent="0.25">
      <c r="B172" s="160">
        <v>2012</v>
      </c>
      <c r="C172" s="44">
        <v>439</v>
      </c>
      <c r="D172" s="164">
        <v>21.042999999999999</v>
      </c>
      <c r="E172" s="59">
        <v>11.564</v>
      </c>
      <c r="F172" s="59">
        <f>Table13[[#This Row],[capital ex]]-Table13[[#This Row],[depr&amp;amort]]</f>
        <v>9.4789999999999992</v>
      </c>
      <c r="G172" s="59">
        <v>5.0469999999999997</v>
      </c>
      <c r="H172" s="59">
        <v>1.29</v>
      </c>
      <c r="I172" s="59"/>
      <c r="J172" s="59">
        <v>-3.1960000000000002</v>
      </c>
      <c r="K172" s="59">
        <v>3.3809999999999998</v>
      </c>
      <c r="L172" s="59"/>
      <c r="M172" s="59">
        <v>0.2</v>
      </c>
      <c r="N172" s="59">
        <f>SUM(Table13[[#This Row],[account rec]:[other]])</f>
        <v>6.7219999999999995</v>
      </c>
      <c r="O172" s="167">
        <f>Table13[[#This Row],[chg in non cash wc]]/Table13[[#This Row],[revenue]]</f>
        <v>1.5312072892938495E-2</v>
      </c>
      <c r="P172" s="59">
        <f>Table13[[#This Row],[net cap ex]]+Table13[[#This Row],[chg in non cash wc]]</f>
        <v>16.201000000000001</v>
      </c>
      <c r="Q172" s="11">
        <v>44.122</v>
      </c>
      <c r="R172" s="8">
        <f>Table13[[#This Row],[reinvestment]]/Table13[[#This Row],[operating inc]]</f>
        <v>0.367186437604823</v>
      </c>
    </row>
    <row r="173" spans="2:18" x14ac:dyDescent="0.25">
      <c r="B173" s="160">
        <v>2013</v>
      </c>
      <c r="C173" s="44">
        <v>410</v>
      </c>
      <c r="D173" s="164">
        <v>21.033999999999999</v>
      </c>
      <c r="E173" s="59">
        <v>12.087999999999999</v>
      </c>
      <c r="F173" s="59">
        <f>Table13[[#This Row],[capital ex]]-Table13[[#This Row],[depr&amp;amort]]</f>
        <v>8.9459999999999997</v>
      </c>
      <c r="G173" s="59">
        <v>-10.273</v>
      </c>
      <c r="H173" s="59">
        <v>3.04</v>
      </c>
      <c r="I173" s="59"/>
      <c r="J173" s="59">
        <v>-3.9060000000000001</v>
      </c>
      <c r="K173" s="59">
        <v>-4.67</v>
      </c>
      <c r="L173" s="59"/>
      <c r="M173" s="59">
        <v>-1.2470000000000001</v>
      </c>
      <c r="N173" s="59">
        <f>SUM(Table13[[#This Row],[account rec]:[other]])</f>
        <v>-17.056000000000001</v>
      </c>
      <c r="O173" s="167">
        <f>Table13[[#This Row],[chg in non cash wc]]/Table13[[#This Row],[revenue]]</f>
        <v>-4.1600000000000005E-2</v>
      </c>
      <c r="P173" s="59">
        <f>Table13[[#This Row],[net cap ex]]+Table13[[#This Row],[chg in non cash wc]]</f>
        <v>-8.1100000000000012</v>
      </c>
      <c r="Q173" s="42">
        <v>31.148</v>
      </c>
      <c r="R173" s="8">
        <f>Table13[[#This Row],[reinvestment]]/Table13[[#This Row],[operating inc]]</f>
        <v>-0.26036984718119949</v>
      </c>
    </row>
    <row r="174" spans="2:18" x14ac:dyDescent="0.25">
      <c r="B174" s="160">
        <v>2014</v>
      </c>
      <c r="C174" s="44">
        <v>388</v>
      </c>
      <c r="D174" s="164">
        <v>17.663</v>
      </c>
      <c r="E174" s="59">
        <v>12.856999999999999</v>
      </c>
      <c r="F174" s="59">
        <f>Table13[[#This Row],[capital ex]]-Table13[[#This Row],[depr&amp;amort]]</f>
        <v>4.8060000000000009</v>
      </c>
      <c r="G174" s="59">
        <v>-2.4350000000000001</v>
      </c>
      <c r="H174" s="59">
        <v>-5.7039999999999997</v>
      </c>
      <c r="I174" s="59"/>
      <c r="J174" s="59">
        <v>6.7160000000000002</v>
      </c>
      <c r="K174" s="59">
        <v>-0.88200000000000001</v>
      </c>
      <c r="L174" s="59"/>
      <c r="M174" s="59">
        <v>-1.5009999999999999</v>
      </c>
      <c r="N174" s="59">
        <f>SUM(Table13[[#This Row],[account rec]:[other]])</f>
        <v>-3.8059999999999992</v>
      </c>
      <c r="O174" s="167">
        <f>Table13[[#This Row],[chg in non cash wc]]/Table13[[#This Row],[revenue]]</f>
        <v>-9.8092783505154615E-3</v>
      </c>
      <c r="P174" s="59">
        <f>Table13[[#This Row],[net cap ex]]+Table13[[#This Row],[chg in non cash wc]]</f>
        <v>1.0000000000000018</v>
      </c>
      <c r="Q174" s="42">
        <v>21.238</v>
      </c>
      <c r="R174" s="8">
        <f>Table13[[#This Row],[reinvestment]]/Table13[[#This Row],[operating inc]]</f>
        <v>4.7085412939071564E-2</v>
      </c>
    </row>
    <row r="175" spans="2:18" x14ac:dyDescent="0.25">
      <c r="B175" s="160">
        <v>2015</v>
      </c>
      <c r="C175" s="44">
        <v>355</v>
      </c>
      <c r="D175" s="165">
        <v>10.754</v>
      </c>
      <c r="E175" s="59">
        <v>11.532</v>
      </c>
      <c r="F175" s="59">
        <f>Table13[[#This Row],[capital ex]]-Table13[[#This Row],[depr&amp;amort]]</f>
        <v>-0.77800000000000047</v>
      </c>
      <c r="G175" s="59">
        <v>-2.9649999999999999</v>
      </c>
      <c r="H175" s="59">
        <v>-2.2970000000000002</v>
      </c>
      <c r="I175" s="59"/>
      <c r="J175" s="59">
        <v>5.6520000000000001</v>
      </c>
      <c r="K175" s="59">
        <v>-4.0380000000000003</v>
      </c>
      <c r="L175" s="59"/>
      <c r="M175" s="59">
        <v>2.4780000000000002</v>
      </c>
      <c r="N175" s="59">
        <f>SUM(Table13[[#This Row],[account rec]:[other]])</f>
        <v>-1.1700000000000004</v>
      </c>
      <c r="O175" s="167">
        <f>Table13[[#This Row],[chg in non cash wc]]/Table13[[#This Row],[revenue]]</f>
        <v>-3.295774647887325E-3</v>
      </c>
      <c r="P175" s="59">
        <f>Table13[[#This Row],[net cap ex]]+Table13[[#This Row],[chg in non cash wc]]</f>
        <v>-1.9480000000000008</v>
      </c>
      <c r="Q175" s="42">
        <v>12.349</v>
      </c>
      <c r="R175" s="8">
        <f>Table13[[#This Row],[reinvestment]]/Table13[[#This Row],[operating inc]]</f>
        <v>-0.15774556644262699</v>
      </c>
    </row>
    <row r="176" spans="2:18" x14ac:dyDescent="0.25">
      <c r="B176" s="160">
        <v>2016</v>
      </c>
      <c r="C176" s="44">
        <v>337</v>
      </c>
      <c r="D176" s="165">
        <v>24.725000000000001</v>
      </c>
      <c r="E176" s="59">
        <v>11.996</v>
      </c>
      <c r="F176" s="59">
        <f>Table13[[#This Row],[capital ex]]-Table13[[#This Row],[depr&amp;amort]]</f>
        <v>12.729000000000001</v>
      </c>
      <c r="G176" s="59">
        <v>-2.2919999999999998</v>
      </c>
      <c r="H176" s="59">
        <v>-6.3540000000000001</v>
      </c>
      <c r="I176" s="59"/>
      <c r="J176" s="59">
        <v>3.2789999999999999</v>
      </c>
      <c r="K176" s="59">
        <v>-4.9989999999999997</v>
      </c>
      <c r="L176" s="59"/>
      <c r="M176" s="59">
        <v>3.5000000000000003E-2</v>
      </c>
      <c r="N176" s="59">
        <f>SUM(Table13[[#This Row],[account rec]:[other]])</f>
        <v>-10.331</v>
      </c>
      <c r="O176" s="167">
        <f>Table13[[#This Row],[chg in non cash wc]]/Table13[[#This Row],[revenue]]</f>
        <v>-3.0655786350148366E-2</v>
      </c>
      <c r="P176" s="59">
        <f>Table13[[#This Row],[net cap ex]]+Table13[[#This Row],[chg in non cash wc]]</f>
        <v>2.3980000000000015</v>
      </c>
      <c r="Q176" s="42">
        <v>21.478999999999999</v>
      </c>
      <c r="R176" s="8">
        <f>Table13[[#This Row],[reinvestment]]/Table13[[#This Row],[operating inc]]</f>
        <v>0.1116439312817171</v>
      </c>
    </row>
    <row r="177" spans="1:18" x14ac:dyDescent="0.25">
      <c r="B177" s="160">
        <v>2017</v>
      </c>
      <c r="C177" s="44">
        <v>378</v>
      </c>
      <c r="D177" s="164">
        <v>11.233000000000001</v>
      </c>
      <c r="E177" s="59">
        <v>12.79</v>
      </c>
      <c r="F177" s="59">
        <f>Table13[[#This Row],[capital ex]]-Table13[[#This Row],[depr&amp;amort]]</f>
        <v>-1.5569999999999986</v>
      </c>
      <c r="G177" s="59">
        <v>-9.2050000000000001</v>
      </c>
      <c r="H177" s="59">
        <v>-2.2080000000000002</v>
      </c>
      <c r="I177" s="59"/>
      <c r="J177" s="59">
        <v>4.7350000000000003</v>
      </c>
      <c r="K177" s="59">
        <v>7.1340000000000003</v>
      </c>
      <c r="L177" s="59"/>
      <c r="M177" s="59">
        <v>-0.30099999999999999</v>
      </c>
      <c r="N177" s="59">
        <f>SUM(Table13[[#This Row],[account rec]:[other]])</f>
        <v>0.15500000000000042</v>
      </c>
      <c r="O177" s="167">
        <f>Table13[[#This Row],[chg in non cash wc]]/Table13[[#This Row],[revenue]]</f>
        <v>4.1005291005291117E-4</v>
      </c>
      <c r="P177" s="59">
        <f>Table13[[#This Row],[net cap ex]]+Table13[[#This Row],[chg in non cash wc]]</f>
        <v>-1.4019999999999981</v>
      </c>
      <c r="Q177" s="11">
        <v>26.108000000000001</v>
      </c>
      <c r="R177" s="8">
        <f>Table13[[#This Row],[reinvestment]]/Table13[[#This Row],[operating inc]]</f>
        <v>-5.3700015320974341E-2</v>
      </c>
    </row>
    <row r="178" spans="1:18" x14ac:dyDescent="0.25">
      <c r="B178" s="160">
        <v>2018</v>
      </c>
      <c r="C178" s="44">
        <v>421</v>
      </c>
      <c r="D178" s="164">
        <v>9.5280000000000005</v>
      </c>
      <c r="E178" s="59">
        <v>12.444000000000001</v>
      </c>
      <c r="F178" s="59">
        <f>Table13[[#This Row],[capital ex]]-Table13[[#This Row],[depr&amp;amort]]</f>
        <v>-2.9160000000000004</v>
      </c>
      <c r="G178" s="59">
        <v>-4.4989999999999997</v>
      </c>
      <c r="H178" s="59">
        <v>-13.702999999999999</v>
      </c>
      <c r="I178" s="59">
        <v>-3.7229999999999999</v>
      </c>
      <c r="J178" s="59">
        <v>3.048</v>
      </c>
      <c r="K178" s="59">
        <v>-1.8959999999999999</v>
      </c>
      <c r="L178" s="59">
        <v>-5.34</v>
      </c>
      <c r="M178" s="59">
        <v>1.87</v>
      </c>
      <c r="N178" s="59">
        <f>-4.499-13.703-3.723+3.048-1.896-5.34+1.87</f>
        <v>-24.242999999999995</v>
      </c>
      <c r="O178" s="167">
        <f>Table13[[#This Row],[chg in non cash wc]]/Table13[[#This Row],[revenue]]</f>
        <v>-5.7584323040380032E-2</v>
      </c>
      <c r="P178" s="59">
        <f>Table13[[#This Row],[net cap ex]]+Table13[[#This Row],[chg in non cash wc]]</f>
        <v>-27.158999999999995</v>
      </c>
      <c r="Q178" s="11">
        <v>32.933999999999997</v>
      </c>
      <c r="R178" s="8">
        <f>Table13[[#This Row],[reinvestment]]/Table13[[#This Row],[operating inc]]</f>
        <v>-0.82464929859719427</v>
      </c>
    </row>
    <row r="179" spans="1:18" x14ac:dyDescent="0.25">
      <c r="B179" s="160">
        <v>2019</v>
      </c>
      <c r="C179" s="44">
        <v>444.9</v>
      </c>
      <c r="D179" s="164">
        <v>29.466999999999999</v>
      </c>
      <c r="E179" s="59">
        <v>13.747999999999999</v>
      </c>
      <c r="F179" s="59">
        <f>Table13[[#This Row],[capital ex]]-Table13[[#This Row],[depr&amp;amort]]</f>
        <v>15.718999999999999</v>
      </c>
      <c r="G179" s="59">
        <v>-9.7769999999999992</v>
      </c>
      <c r="H179" s="59">
        <v>-9.4550000000000001</v>
      </c>
      <c r="I179" s="59">
        <v>-0.93200000000000005</v>
      </c>
      <c r="J179" s="59">
        <v>6.0869999999999997</v>
      </c>
      <c r="K179" s="59">
        <v>0.63400000000000001</v>
      </c>
      <c r="L179" s="59">
        <v>0</v>
      </c>
      <c r="M179" s="59">
        <v>-3.2629999999999999</v>
      </c>
      <c r="N179" s="59">
        <f>-9.777-9.455-0.932+6.087+0.634-3.263</f>
        <v>-16.705999999999996</v>
      </c>
      <c r="O179" s="167">
        <f>Table13[[#This Row],[chg in non cash wc]]/Table13[[#This Row],[revenue]]</f>
        <v>-3.7550011238480549E-2</v>
      </c>
      <c r="P179" s="59">
        <f>Table13[[#This Row],[net cap ex]]+Table13[[#This Row],[chg in non cash wc]]</f>
        <v>-0.98699999999999655</v>
      </c>
      <c r="Q179" s="11">
        <v>32.627000000000002</v>
      </c>
      <c r="R179" s="8">
        <f>Table13[[#This Row],[reinvestment]]/Table13[[#This Row],[operating inc]]</f>
        <v>-3.0251019094614782E-2</v>
      </c>
    </row>
    <row r="180" spans="1:18" x14ac:dyDescent="0.25">
      <c r="B180" s="160">
        <v>2020</v>
      </c>
      <c r="C180" s="44">
        <v>466.4</v>
      </c>
      <c r="D180" s="164">
        <v>24.568999999999999</v>
      </c>
      <c r="E180" s="59">
        <v>13.837999999999999</v>
      </c>
      <c r="F180" s="59">
        <f>Table13[[#This Row],[capital ex]]-Table13[[#This Row],[depr&amp;amort]]</f>
        <v>10.731</v>
      </c>
      <c r="G180" s="59">
        <v>-10.539</v>
      </c>
      <c r="H180" s="59">
        <v>0.08</v>
      </c>
      <c r="I180" s="59">
        <v>-8.7859999999999996</v>
      </c>
      <c r="J180" s="59">
        <v>6.952</v>
      </c>
      <c r="K180" s="59">
        <v>3.47</v>
      </c>
      <c r="L180" s="59">
        <v>-0.33</v>
      </c>
      <c r="M180" s="59">
        <v>1.2849999999999999</v>
      </c>
      <c r="N180" s="59">
        <f>-10.539+0.08-8.786+6.952+3.47-0.33+1.285</f>
        <v>-7.8679999999999968</v>
      </c>
      <c r="O180" s="167">
        <f>Table13[[#This Row],[chg in non cash wc]]/Table13[[#This Row],[revenue]]</f>
        <v>-1.6869639794168091E-2</v>
      </c>
      <c r="P180" s="59">
        <f>Table13[[#This Row],[net cap ex]]+Table13[[#This Row],[chg in non cash wc]]</f>
        <v>2.8630000000000031</v>
      </c>
      <c r="Q180" s="11">
        <v>40.207000000000001</v>
      </c>
      <c r="R180" s="8">
        <f>Table13[[#This Row],[reinvestment]]/Table13[[#This Row],[operating inc]]</f>
        <v>7.1206506329743652E-2</v>
      </c>
    </row>
    <row r="181" spans="1:18" x14ac:dyDescent="0.25">
      <c r="B181" s="160">
        <v>2021</v>
      </c>
      <c r="C181" s="44">
        <v>517.4</v>
      </c>
      <c r="D181" s="164">
        <v>18.384</v>
      </c>
      <c r="E181" s="59">
        <v>15.564</v>
      </c>
      <c r="F181" s="59">
        <f>Table13[[#This Row],[capital ex]]-Table13[[#This Row],[depr&amp;amort]]</f>
        <v>2.8200000000000003</v>
      </c>
      <c r="G181" s="59">
        <v>-11.574</v>
      </c>
      <c r="H181" s="59">
        <v>-24.154</v>
      </c>
      <c r="I181" s="59">
        <v>-2.9740000000000002</v>
      </c>
      <c r="J181" s="59">
        <v>11.558</v>
      </c>
      <c r="K181" s="59">
        <v>-4.3319999999999999</v>
      </c>
      <c r="L181" s="59">
        <v>0</v>
      </c>
      <c r="M181" s="59">
        <v>-3.335</v>
      </c>
      <c r="N181" s="59">
        <f>-11.574-24.154-2.974+11.558-4.332-3.335</f>
        <v>-34.811</v>
      </c>
      <c r="O181" s="167">
        <f>Table13[[#This Row],[chg in non cash wc]]/Table13[[#This Row],[revenue]]</f>
        <v>-6.7280633938925402E-2</v>
      </c>
      <c r="P181" s="59">
        <f>Table13[[#This Row],[net cap ex]]+Table13[[#This Row],[chg in non cash wc]]</f>
        <v>-31.991</v>
      </c>
      <c r="Q181" s="11">
        <v>47.548999999999999</v>
      </c>
      <c r="R181" s="8">
        <f>Table13[[#This Row],[reinvestment]]/Table13[[#This Row],[operating inc]]</f>
        <v>-0.67280068981471741</v>
      </c>
    </row>
    <row r="182" spans="1:18" x14ac:dyDescent="0.25">
      <c r="B182" s="160">
        <v>2022</v>
      </c>
      <c r="C182" s="44">
        <v>637</v>
      </c>
      <c r="D182" s="164">
        <v>40.597999999999999</v>
      </c>
      <c r="E182" s="59">
        <v>16.43</v>
      </c>
      <c r="F182" s="59">
        <f>Table13[[#This Row],[capital ex]]-Table13[[#This Row],[depr&amp;amort]]</f>
        <v>24.167999999999999</v>
      </c>
      <c r="G182" s="59">
        <v>-28.048999999999999</v>
      </c>
      <c r="H182" s="59">
        <v>-36.978999999999999</v>
      </c>
      <c r="I182" s="59">
        <v>5.0510000000000002</v>
      </c>
      <c r="J182" s="59">
        <v>6.7069999999999999</v>
      </c>
      <c r="K182" s="59">
        <v>2.0049999999999999</v>
      </c>
      <c r="L182" s="59">
        <v>-2.1320000000000001</v>
      </c>
      <c r="M182" s="59">
        <v>-0.247</v>
      </c>
      <c r="N182" s="59">
        <f>-28.049-36.979+5.051+6.707+2.005-2.132+0.247</f>
        <v>-53.149999999999984</v>
      </c>
      <c r="O182" s="167">
        <f>Table13[[#This Row],[chg in non cash wc]]/Table13[[#This Row],[revenue]]</f>
        <v>-8.3437990580847693E-2</v>
      </c>
      <c r="P182" s="59">
        <f>Table13[[#This Row],[net cap ex]]+Table13[[#This Row],[chg in non cash wc]]</f>
        <v>-28.981999999999985</v>
      </c>
      <c r="Q182" s="11">
        <v>69.361000000000004</v>
      </c>
      <c r="R182" s="8">
        <f>Table13[[#This Row],[reinvestment]]/Table13[[#This Row],[operating inc]]</f>
        <v>-0.41784288000461328</v>
      </c>
    </row>
    <row r="183" spans="1:18" x14ac:dyDescent="0.25">
      <c r="B183" s="161">
        <v>2023</v>
      </c>
      <c r="C183" s="162">
        <v>669.7</v>
      </c>
      <c r="D183" s="166">
        <v>35.332000000000001</v>
      </c>
      <c r="E183" s="163">
        <v>18.914000000000001</v>
      </c>
      <c r="F183" s="163">
        <f>Table13[[#This Row],[capital ex]]-Table13[[#This Row],[depr&amp;amort]]</f>
        <v>16.417999999999999</v>
      </c>
      <c r="G183" s="163">
        <v>16.969000000000001</v>
      </c>
      <c r="H183" s="163">
        <v>-4.952</v>
      </c>
      <c r="I183" s="163">
        <v>5.9610000000000003</v>
      </c>
      <c r="J183" s="163">
        <v>2.302</v>
      </c>
      <c r="K183" s="163">
        <v>-0.93700000000000006</v>
      </c>
      <c r="L183" s="163">
        <v>-1.5</v>
      </c>
      <c r="M183" s="163">
        <v>-4.6470000000000002</v>
      </c>
      <c r="N183" s="163">
        <f>16.969-4.952+5.961+2.302-0.937-1.5-4.647</f>
        <v>13.196</v>
      </c>
      <c r="O183" s="167">
        <f>Table13[[#This Row],[chg in non cash wc]]/Table13[[#This Row],[revenue]]</f>
        <v>1.9704345229207106E-2</v>
      </c>
      <c r="P183" s="163">
        <f>Table13[[#This Row],[net cap ex]]+Table13[[#This Row],[chg in non cash wc]]</f>
        <v>29.613999999999997</v>
      </c>
      <c r="Q183" s="11">
        <v>84.153999999999996</v>
      </c>
      <c r="R183" s="8">
        <f>Table13[[#This Row],[reinvestment]]/Table13[[#This Row],[operating inc]]</f>
        <v>0.35190246452931528</v>
      </c>
    </row>
    <row r="186" spans="1:18" ht="15.75" thickBot="1" x14ac:dyDescent="0.3">
      <c r="A186" s="7" t="s">
        <v>184</v>
      </c>
      <c r="B186" s="169" t="s">
        <v>14</v>
      </c>
      <c r="C186" s="169" t="s">
        <v>183</v>
      </c>
      <c r="D186" s="172"/>
      <c r="E186" s="172"/>
    </row>
    <row r="187" spans="1:18" x14ac:dyDescent="0.25">
      <c r="A187" s="7">
        <v>1</v>
      </c>
      <c r="B187" s="171">
        <v>2008</v>
      </c>
      <c r="C187" s="170">
        <v>1.4619999999999997</v>
      </c>
      <c r="D187" s="173"/>
      <c r="E187" s="174"/>
    </row>
    <row r="188" spans="1:18" x14ac:dyDescent="0.25">
      <c r="A188" s="7">
        <v>2</v>
      </c>
      <c r="B188" s="160">
        <v>2009</v>
      </c>
      <c r="C188" s="59">
        <v>3.4180000000000001</v>
      </c>
      <c r="D188" s="173"/>
      <c r="E188" s="173"/>
    </row>
    <row r="189" spans="1:18" x14ac:dyDescent="0.25">
      <c r="A189" s="7">
        <v>3</v>
      </c>
      <c r="B189" s="171">
        <v>2010</v>
      </c>
      <c r="C189" s="170">
        <v>2.879999999999999</v>
      </c>
      <c r="D189" s="173"/>
      <c r="E189" s="175"/>
    </row>
    <row r="190" spans="1:18" x14ac:dyDescent="0.25">
      <c r="A190" s="7">
        <v>4</v>
      </c>
      <c r="B190" s="160">
        <v>2011</v>
      </c>
      <c r="C190" s="59">
        <v>8.3869999999999987</v>
      </c>
      <c r="D190" s="173"/>
      <c r="E190" s="173"/>
    </row>
    <row r="191" spans="1:18" x14ac:dyDescent="0.25">
      <c r="A191" s="7">
        <v>5</v>
      </c>
      <c r="B191" s="171">
        <v>2012</v>
      </c>
      <c r="C191" s="170">
        <v>9.4789999999999992</v>
      </c>
      <c r="D191" s="173"/>
      <c r="E191" s="175"/>
    </row>
    <row r="192" spans="1:18" x14ac:dyDescent="0.25">
      <c r="A192" s="7">
        <v>6</v>
      </c>
      <c r="B192" s="160">
        <v>2013</v>
      </c>
      <c r="C192" s="59">
        <v>8.9459999999999997</v>
      </c>
      <c r="D192" s="173"/>
      <c r="E192" s="173"/>
    </row>
    <row r="193" spans="1:30" x14ac:dyDescent="0.25">
      <c r="A193" s="7">
        <v>7</v>
      </c>
      <c r="B193" s="171">
        <v>2014</v>
      </c>
      <c r="C193" s="170">
        <v>4.8060000000000009</v>
      </c>
      <c r="D193" s="173"/>
      <c r="E193" s="175"/>
    </row>
    <row r="194" spans="1:30" x14ac:dyDescent="0.25">
      <c r="A194" s="7">
        <v>8</v>
      </c>
      <c r="B194" s="171">
        <v>2016</v>
      </c>
      <c r="C194" s="170">
        <v>12.729000000000001</v>
      </c>
      <c r="D194" s="173"/>
      <c r="E194" s="173"/>
    </row>
    <row r="195" spans="1:30" x14ac:dyDescent="0.25">
      <c r="A195" s="7">
        <v>9</v>
      </c>
      <c r="B195" s="160">
        <v>2019</v>
      </c>
      <c r="C195" s="59">
        <v>15.718999999999999</v>
      </c>
      <c r="D195" s="173"/>
      <c r="E195" s="175"/>
    </row>
    <row r="196" spans="1:30" x14ac:dyDescent="0.25">
      <c r="A196" s="7">
        <v>10</v>
      </c>
      <c r="B196" s="171">
        <v>2020</v>
      </c>
      <c r="C196" s="170">
        <v>10.731</v>
      </c>
      <c r="D196" s="173"/>
      <c r="E196" s="173"/>
    </row>
    <row r="197" spans="1:30" x14ac:dyDescent="0.25">
      <c r="A197" s="7">
        <v>11</v>
      </c>
      <c r="B197" s="171">
        <v>2022</v>
      </c>
      <c r="C197" s="170">
        <v>24.167999999999999</v>
      </c>
      <c r="D197" s="173"/>
      <c r="E197" s="175"/>
    </row>
    <row r="198" spans="1:30" x14ac:dyDescent="0.25">
      <c r="A198" s="7">
        <v>12</v>
      </c>
      <c r="B198" s="160">
        <v>2023</v>
      </c>
      <c r="C198" s="59">
        <v>16.417999999999999</v>
      </c>
      <c r="D198" s="173"/>
      <c r="E198" s="173"/>
    </row>
    <row r="199" spans="1:30" x14ac:dyDescent="0.25">
      <c r="D199" s="173"/>
      <c r="E199" s="175"/>
    </row>
    <row r="200" spans="1:30" x14ac:dyDescent="0.25">
      <c r="B200" t="s">
        <v>185</v>
      </c>
      <c r="C200"/>
      <c r="D200"/>
      <c r="E200"/>
      <c r="F200"/>
      <c r="G200"/>
      <c r="H200"/>
      <c r="I200"/>
      <c r="J200"/>
    </row>
    <row r="201" spans="1:30" ht="15.75" thickBot="1" x14ac:dyDescent="0.3">
      <c r="B201"/>
      <c r="C201"/>
      <c r="D201"/>
      <c r="E201"/>
      <c r="F201"/>
      <c r="G201"/>
      <c r="H201"/>
      <c r="I201"/>
      <c r="J201"/>
    </row>
    <row r="202" spans="1:30" ht="15.75" thickBot="1" x14ac:dyDescent="0.3">
      <c r="B202" s="178" t="s">
        <v>186</v>
      </c>
      <c r="C202" s="178"/>
      <c r="D202"/>
      <c r="E202"/>
      <c r="F202"/>
      <c r="G202"/>
      <c r="H202"/>
      <c r="I202"/>
      <c r="J202"/>
      <c r="N202" s="7" t="s">
        <v>184</v>
      </c>
      <c r="O202" s="169" t="s">
        <v>14</v>
      </c>
      <c r="P202" s="169" t="s">
        <v>183</v>
      </c>
    </row>
    <row r="203" spans="1:30" x14ac:dyDescent="0.25">
      <c r="B203" t="s">
        <v>187</v>
      </c>
      <c r="C203">
        <v>0.85554729983947164</v>
      </c>
      <c r="D203"/>
      <c r="E203"/>
      <c r="F203"/>
      <c r="G203"/>
      <c r="H203"/>
      <c r="I203"/>
      <c r="J203"/>
      <c r="N203" s="7">
        <v>1</v>
      </c>
      <c r="O203" s="171">
        <v>2008</v>
      </c>
      <c r="P203" s="170">
        <v>1.4619999999999997</v>
      </c>
    </row>
    <row r="204" spans="1:30" x14ac:dyDescent="0.25">
      <c r="B204" t="s">
        <v>188</v>
      </c>
      <c r="C204" s="179">
        <v>0.73196118226261075</v>
      </c>
      <c r="D204"/>
      <c r="E204"/>
      <c r="F204"/>
      <c r="G204"/>
      <c r="H204"/>
      <c r="I204"/>
      <c r="J204"/>
      <c r="N204" s="7">
        <v>2</v>
      </c>
      <c r="O204" s="160">
        <v>2009</v>
      </c>
      <c r="P204" s="59">
        <v>3.4180000000000001</v>
      </c>
    </row>
    <row r="205" spans="1:30" x14ac:dyDescent="0.25">
      <c r="B205" t="s">
        <v>189</v>
      </c>
      <c r="C205" s="179">
        <v>0.70515730048887182</v>
      </c>
      <c r="D205"/>
      <c r="E205"/>
      <c r="F205"/>
      <c r="G205"/>
      <c r="H205"/>
      <c r="I205"/>
      <c r="J205"/>
      <c r="N205" s="7">
        <v>3</v>
      </c>
      <c r="O205" s="171">
        <v>2010</v>
      </c>
      <c r="P205" s="170">
        <v>2.879999999999999</v>
      </c>
      <c r="V205"/>
      <c r="W205"/>
      <c r="X205"/>
      <c r="Y205"/>
      <c r="Z205"/>
      <c r="AA205"/>
      <c r="AB205"/>
      <c r="AC205"/>
      <c r="AD205"/>
    </row>
    <row r="206" spans="1:30" ht="15.75" thickBot="1" x14ac:dyDescent="0.3">
      <c r="B206" t="s">
        <v>190</v>
      </c>
      <c r="C206">
        <v>3.588496082991548</v>
      </c>
      <c r="D206"/>
      <c r="E206"/>
      <c r="F206"/>
      <c r="G206"/>
      <c r="H206"/>
      <c r="I206"/>
      <c r="J206"/>
      <c r="N206" s="7">
        <v>4</v>
      </c>
      <c r="O206" s="160">
        <v>2011</v>
      </c>
      <c r="P206" s="59">
        <v>8.3869999999999987</v>
      </c>
      <c r="V206"/>
      <c r="W206"/>
      <c r="X206"/>
      <c r="Y206"/>
      <c r="Z206"/>
      <c r="AA206"/>
      <c r="AB206"/>
      <c r="AC206"/>
      <c r="AD206"/>
    </row>
    <row r="207" spans="1:30" ht="15.75" thickBot="1" x14ac:dyDescent="0.3">
      <c r="B207" s="176" t="s">
        <v>191</v>
      </c>
      <c r="C207" s="176">
        <v>12</v>
      </c>
      <c r="D207"/>
      <c r="E207"/>
      <c r="F207"/>
      <c r="G207"/>
      <c r="H207"/>
      <c r="I207"/>
      <c r="J207"/>
      <c r="N207" s="7">
        <v>5</v>
      </c>
      <c r="O207" s="171">
        <v>2012</v>
      </c>
      <c r="P207" s="170">
        <v>9.4789999999999992</v>
      </c>
      <c r="V207" s="178"/>
      <c r="W207" s="178"/>
      <c r="X207"/>
      <c r="Y207"/>
      <c r="Z207"/>
      <c r="AA207"/>
      <c r="AB207"/>
      <c r="AC207"/>
      <c r="AD207"/>
    </row>
    <row r="208" spans="1:30" x14ac:dyDescent="0.25">
      <c r="B208"/>
      <c r="C208"/>
      <c r="D208"/>
      <c r="E208"/>
      <c r="F208"/>
      <c r="G208"/>
      <c r="H208"/>
      <c r="I208"/>
      <c r="J208"/>
      <c r="N208" s="7">
        <v>6</v>
      </c>
      <c r="O208" s="160">
        <v>2013</v>
      </c>
      <c r="P208" s="59">
        <v>8.9459999999999997</v>
      </c>
      <c r="V208"/>
      <c r="W208"/>
      <c r="X208"/>
      <c r="Y208"/>
      <c r="Z208"/>
      <c r="AA208"/>
      <c r="AB208"/>
      <c r="AC208"/>
      <c r="AD208"/>
    </row>
    <row r="209" spans="2:30" ht="15.75" thickBot="1" x14ac:dyDescent="0.3">
      <c r="B209" t="s">
        <v>192</v>
      </c>
      <c r="C209"/>
      <c r="D209"/>
      <c r="E209"/>
      <c r="F209"/>
      <c r="G209"/>
      <c r="H209"/>
      <c r="I209"/>
      <c r="J209"/>
      <c r="N209" s="7">
        <v>7</v>
      </c>
      <c r="O209" s="171">
        <v>2014</v>
      </c>
      <c r="P209" s="170">
        <v>4.8060000000000009</v>
      </c>
      <c r="V209"/>
      <c r="W209"/>
      <c r="X209"/>
      <c r="Y209"/>
      <c r="Z209"/>
      <c r="AA209"/>
      <c r="AB209"/>
      <c r="AC209"/>
      <c r="AD209"/>
    </row>
    <row r="210" spans="2:30" x14ac:dyDescent="0.25">
      <c r="B210" s="177"/>
      <c r="C210" s="177" t="s">
        <v>197</v>
      </c>
      <c r="D210" s="177" t="s">
        <v>198</v>
      </c>
      <c r="E210" s="177" t="s">
        <v>199</v>
      </c>
      <c r="F210" s="177" t="s">
        <v>200</v>
      </c>
      <c r="G210" s="177" t="s">
        <v>201</v>
      </c>
      <c r="H210"/>
      <c r="I210"/>
      <c r="J210"/>
      <c r="N210" s="7">
        <v>8</v>
      </c>
      <c r="O210" s="171">
        <v>2016</v>
      </c>
      <c r="P210" s="170">
        <v>12.729000000000001</v>
      </c>
      <c r="V210"/>
      <c r="W210"/>
      <c r="X210"/>
      <c r="Y210"/>
      <c r="Z210"/>
      <c r="AA210"/>
      <c r="AB210"/>
      <c r="AC210"/>
      <c r="AD210"/>
    </row>
    <row r="211" spans="2:30" x14ac:dyDescent="0.25">
      <c r="B211" t="s">
        <v>193</v>
      </c>
      <c r="C211">
        <v>1</v>
      </c>
      <c r="D211">
        <v>351.65379554020984</v>
      </c>
      <c r="E211">
        <v>351.65379554020984</v>
      </c>
      <c r="F211">
        <v>27.308029054946402</v>
      </c>
      <c r="G211">
        <v>3.8667808377055804E-4</v>
      </c>
      <c r="H211"/>
      <c r="I211"/>
      <c r="J211"/>
      <c r="N211" s="7">
        <v>9</v>
      </c>
      <c r="O211" s="160">
        <v>2019</v>
      </c>
      <c r="P211" s="59">
        <v>15.718999999999999</v>
      </c>
      <c r="Q211" s="7">
        <f>Q215+N211*R215</f>
        <v>13.84897668997669</v>
      </c>
      <c r="V211"/>
      <c r="W211"/>
      <c r="X211"/>
      <c r="Y211"/>
      <c r="Z211"/>
      <c r="AA211"/>
      <c r="AB211"/>
      <c r="AC211"/>
      <c r="AD211"/>
    </row>
    <row r="212" spans="2:30" ht="15.75" thickBot="1" x14ac:dyDescent="0.3">
      <c r="B212" t="s">
        <v>194</v>
      </c>
      <c r="C212">
        <v>10</v>
      </c>
      <c r="D212">
        <v>128.77304137645683</v>
      </c>
      <c r="E212">
        <v>12.877304137645684</v>
      </c>
      <c r="F212"/>
      <c r="G212"/>
      <c r="H212"/>
      <c r="I212"/>
      <c r="J212"/>
      <c r="N212" s="7">
        <v>10</v>
      </c>
      <c r="O212" s="171">
        <v>2020</v>
      </c>
      <c r="P212" s="170">
        <v>10.731</v>
      </c>
      <c r="V212" s="176"/>
      <c r="W212" s="176"/>
      <c r="X212"/>
      <c r="Y212"/>
      <c r="Z212"/>
      <c r="AA212"/>
      <c r="AB212"/>
      <c r="AC212"/>
      <c r="AD212"/>
    </row>
    <row r="213" spans="2:30" ht="15.75" thickBot="1" x14ac:dyDescent="0.3">
      <c r="B213" s="176" t="s">
        <v>195</v>
      </c>
      <c r="C213" s="176">
        <v>11</v>
      </c>
      <c r="D213" s="176">
        <v>480.42683691666667</v>
      </c>
      <c r="E213" s="176"/>
      <c r="F213" s="176"/>
      <c r="G213" s="176"/>
      <c r="H213"/>
      <c r="I213"/>
      <c r="J213"/>
      <c r="N213" s="7">
        <v>11</v>
      </c>
      <c r="O213" s="171">
        <v>2022</v>
      </c>
      <c r="P213" s="170">
        <v>24.167999999999999</v>
      </c>
      <c r="V213"/>
      <c r="W213"/>
      <c r="X213"/>
      <c r="Y213"/>
      <c r="Z213"/>
      <c r="AA213"/>
      <c r="AB213"/>
      <c r="AC213"/>
      <c r="AD213"/>
    </row>
    <row r="214" spans="2:30" ht="15.75" thickBot="1" x14ac:dyDescent="0.3">
      <c r="B214"/>
      <c r="C214"/>
      <c r="D214"/>
      <c r="E214"/>
      <c r="F214"/>
      <c r="G214"/>
      <c r="H214"/>
      <c r="I214"/>
      <c r="J214"/>
      <c r="N214" s="7">
        <v>12</v>
      </c>
      <c r="O214" s="160">
        <v>2023</v>
      </c>
      <c r="P214" s="59">
        <v>16.417999999999999</v>
      </c>
      <c r="V214"/>
      <c r="W214"/>
      <c r="X214"/>
      <c r="Y214"/>
      <c r="Z214"/>
      <c r="AA214"/>
      <c r="AB214"/>
      <c r="AC214"/>
      <c r="AD214"/>
    </row>
    <row r="215" spans="2:30" x14ac:dyDescent="0.25">
      <c r="B215" s="177"/>
      <c r="C215" s="177" t="s">
        <v>202</v>
      </c>
      <c r="D215" s="177" t="s">
        <v>190</v>
      </c>
      <c r="E215" s="177" t="s">
        <v>203</v>
      </c>
      <c r="F215" s="177" t="s">
        <v>204</v>
      </c>
      <c r="G215" s="177" t="s">
        <v>205</v>
      </c>
      <c r="H215" s="177" t="s">
        <v>206</v>
      </c>
      <c r="I215" s="177" t="s">
        <v>207</v>
      </c>
      <c r="J215" s="177" t="s">
        <v>208</v>
      </c>
      <c r="N215" s="180">
        <v>13</v>
      </c>
      <c r="O215" s="180">
        <v>2024</v>
      </c>
      <c r="P215" s="180">
        <f>Q215+(R215*N215)</f>
        <v>20.121606060606062</v>
      </c>
      <c r="Q215" s="7">
        <f>C216</f>
        <v>-0.26443939393939253</v>
      </c>
      <c r="R215" s="7">
        <f>C217</f>
        <v>1.5681573426573425</v>
      </c>
      <c r="V215" s="177"/>
      <c r="W215" s="177"/>
      <c r="X215" s="177"/>
      <c r="Y215" s="177"/>
      <c r="Z215" s="177"/>
      <c r="AA215" s="177"/>
      <c r="AB215"/>
      <c r="AC215"/>
      <c r="AD215"/>
    </row>
    <row r="216" spans="2:30" x14ac:dyDescent="0.25">
      <c r="B216" t="s">
        <v>196</v>
      </c>
      <c r="C216">
        <v>-0.26443939393939253</v>
      </c>
      <c r="D216">
        <v>2.208566666144625</v>
      </c>
      <c r="E216">
        <v>-0.11973348959441193</v>
      </c>
      <c r="F216">
        <v>0.90706560792168323</v>
      </c>
      <c r="G216">
        <v>-5.1854325899780305</v>
      </c>
      <c r="H216">
        <v>4.6565538020992454</v>
      </c>
      <c r="I216">
        <v>-5.1854325899780305</v>
      </c>
      <c r="J216">
        <v>4.6565538020992454</v>
      </c>
      <c r="N216" s="180">
        <v>14</v>
      </c>
      <c r="O216" s="181">
        <v>2025</v>
      </c>
      <c r="P216" s="180">
        <f t="shared" ref="P216:P222" si="3">Q216+(R216*N216)</f>
        <v>21.689763403263406</v>
      </c>
      <c r="Q216" s="7">
        <f>Q215</f>
        <v>-0.26443939393939253</v>
      </c>
      <c r="R216" s="7">
        <f>R215</f>
        <v>1.5681573426573425</v>
      </c>
      <c r="V216"/>
      <c r="W216"/>
      <c r="X216"/>
      <c r="Y216"/>
      <c r="Z216"/>
      <c r="AA216"/>
      <c r="AB216"/>
      <c r="AC216"/>
      <c r="AD216"/>
    </row>
    <row r="217" spans="2:30" ht="15.75" thickBot="1" x14ac:dyDescent="0.3">
      <c r="B217" s="176" t="s">
        <v>184</v>
      </c>
      <c r="C217" s="176">
        <v>1.5681573426573425</v>
      </c>
      <c r="D217" s="176">
        <v>0.30008511773434243</v>
      </c>
      <c r="E217" s="176">
        <v>5.2257084739723467</v>
      </c>
      <c r="F217" s="176">
        <v>3.8667808377055869E-4</v>
      </c>
      <c r="G217" s="176">
        <v>0.89952603293057876</v>
      </c>
      <c r="H217" s="176">
        <v>2.2367886523841065</v>
      </c>
      <c r="I217" s="176">
        <v>0.89952603293057876</v>
      </c>
      <c r="J217" s="176">
        <v>2.2367886523841065</v>
      </c>
      <c r="N217" s="180">
        <v>15</v>
      </c>
      <c r="O217" s="180">
        <v>2026</v>
      </c>
      <c r="P217" s="180">
        <f t="shared" si="3"/>
        <v>23.257920745920742</v>
      </c>
      <c r="Q217" s="7">
        <f t="shared" ref="Q217:Q223" si="4">Q216</f>
        <v>-0.26443939393939253</v>
      </c>
      <c r="R217" s="7">
        <f t="shared" ref="R217:R223" si="5">R216</f>
        <v>1.5681573426573425</v>
      </c>
      <c r="V217"/>
      <c r="W217"/>
      <c r="X217"/>
      <c r="Y217"/>
      <c r="Z217"/>
      <c r="AA217"/>
      <c r="AB217"/>
      <c r="AC217"/>
      <c r="AD217"/>
    </row>
    <row r="218" spans="2:30" ht="15.75" thickBot="1" x14ac:dyDescent="0.3">
      <c r="B218"/>
      <c r="C218"/>
      <c r="D218"/>
      <c r="E218"/>
      <c r="F218"/>
      <c r="G218"/>
      <c r="H218"/>
      <c r="I218"/>
      <c r="J218"/>
      <c r="N218" s="180">
        <v>16</v>
      </c>
      <c r="O218" s="181">
        <v>2027</v>
      </c>
      <c r="P218" s="180">
        <f t="shared" si="3"/>
        <v>24.826078088578086</v>
      </c>
      <c r="Q218" s="7">
        <f t="shared" si="4"/>
        <v>-0.26443939393939253</v>
      </c>
      <c r="R218" s="7">
        <f t="shared" si="5"/>
        <v>1.5681573426573425</v>
      </c>
      <c r="V218" s="176"/>
      <c r="W218" s="176"/>
      <c r="X218" s="176"/>
      <c r="Y218" s="176"/>
      <c r="Z218" s="176"/>
      <c r="AA218" s="176"/>
      <c r="AB218"/>
      <c r="AC218"/>
      <c r="AD218"/>
    </row>
    <row r="219" spans="2:30" ht="15.75" thickBot="1" x14ac:dyDescent="0.3">
      <c r="B219"/>
      <c r="C219"/>
      <c r="D219"/>
      <c r="E219"/>
      <c r="F219"/>
      <c r="G219"/>
      <c r="H219"/>
      <c r="I219"/>
      <c r="J219"/>
      <c r="N219" s="180">
        <v>17</v>
      </c>
      <c r="O219" s="180">
        <v>2028</v>
      </c>
      <c r="P219" s="180">
        <f t="shared" si="3"/>
        <v>26.39423543123543</v>
      </c>
      <c r="Q219" s="7">
        <f t="shared" si="4"/>
        <v>-0.26443939393939253</v>
      </c>
      <c r="R219" s="7">
        <f t="shared" si="5"/>
        <v>1.5681573426573425</v>
      </c>
      <c r="V219"/>
      <c r="W219"/>
      <c r="X219"/>
      <c r="Y219"/>
      <c r="Z219"/>
      <c r="AA219"/>
      <c r="AB219"/>
      <c r="AC219"/>
      <c r="AD219"/>
    </row>
    <row r="220" spans="2:30" x14ac:dyDescent="0.25">
      <c r="B220"/>
      <c r="C220"/>
      <c r="D220"/>
      <c r="E220"/>
      <c r="F220"/>
      <c r="G220"/>
      <c r="H220"/>
      <c r="I220"/>
      <c r="J220"/>
      <c r="N220" s="180">
        <v>18</v>
      </c>
      <c r="O220" s="181">
        <v>2029</v>
      </c>
      <c r="P220" s="180">
        <f t="shared" si="3"/>
        <v>27.962392773892773</v>
      </c>
      <c r="Q220" s="7">
        <f t="shared" si="4"/>
        <v>-0.26443939393939253</v>
      </c>
      <c r="R220" s="7">
        <f t="shared" si="5"/>
        <v>1.5681573426573425</v>
      </c>
      <c r="V220" s="177"/>
      <c r="W220" s="177"/>
      <c r="X220" s="177"/>
      <c r="Y220" s="177"/>
      <c r="Z220" s="177"/>
      <c r="AA220" s="177"/>
      <c r="AB220" s="177"/>
      <c r="AC220" s="177"/>
      <c r="AD220" s="177"/>
    </row>
    <row r="221" spans="2:30" x14ac:dyDescent="0.25">
      <c r="B221"/>
      <c r="C221"/>
      <c r="D221"/>
      <c r="E221"/>
      <c r="F221"/>
      <c r="G221"/>
      <c r="H221"/>
      <c r="I221"/>
      <c r="J221"/>
      <c r="N221" s="180">
        <v>19</v>
      </c>
      <c r="O221" s="180">
        <v>2030</v>
      </c>
      <c r="P221" s="180">
        <f t="shared" si="3"/>
        <v>29.530550116550117</v>
      </c>
      <c r="Q221" s="7">
        <f t="shared" si="4"/>
        <v>-0.26443939393939253</v>
      </c>
      <c r="R221" s="7">
        <f t="shared" si="5"/>
        <v>1.5681573426573425</v>
      </c>
      <c r="V221"/>
      <c r="W221"/>
      <c r="X221"/>
      <c r="Y221"/>
      <c r="Z221"/>
      <c r="AA221"/>
      <c r="AB221"/>
      <c r="AC221"/>
      <c r="AD221"/>
    </row>
    <row r="222" spans="2:30" ht="15.75" thickBot="1" x14ac:dyDescent="0.3">
      <c r="B222"/>
      <c r="C222"/>
      <c r="D222"/>
      <c r="E222"/>
      <c r="F222"/>
      <c r="N222" s="180">
        <v>20</v>
      </c>
      <c r="O222" s="181">
        <v>2031</v>
      </c>
      <c r="P222" s="180">
        <f t="shared" si="3"/>
        <v>31.098707459207461</v>
      </c>
      <c r="Q222" s="7">
        <f t="shared" si="4"/>
        <v>-0.26443939393939253</v>
      </c>
      <c r="R222" s="7">
        <f t="shared" si="5"/>
        <v>1.5681573426573425</v>
      </c>
      <c r="V222" s="176"/>
      <c r="W222" s="176"/>
      <c r="X222" s="176"/>
      <c r="Y222" s="176"/>
      <c r="Z222" s="176"/>
      <c r="AA222" s="176"/>
      <c r="AB222" s="176"/>
      <c r="AC222" s="176"/>
      <c r="AD222" s="176"/>
    </row>
    <row r="223" spans="2:30" x14ac:dyDescent="0.25">
      <c r="B223" s="177"/>
      <c r="C223" s="177"/>
      <c r="D223" s="177"/>
      <c r="E223" s="177"/>
      <c r="F223"/>
      <c r="G223"/>
      <c r="H223" s="7" t="s">
        <v>211</v>
      </c>
      <c r="I223"/>
      <c r="J223"/>
      <c r="N223" s="180">
        <v>21</v>
      </c>
      <c r="O223" s="180">
        <v>2032</v>
      </c>
      <c r="P223" s="180">
        <f>Q223+(R223*N223)</f>
        <v>32.666864801864804</v>
      </c>
      <c r="Q223" s="7">
        <f t="shared" si="4"/>
        <v>-0.26443939393939253</v>
      </c>
      <c r="R223" s="7">
        <f t="shared" si="5"/>
        <v>1.5681573426573425</v>
      </c>
      <c r="V223"/>
      <c r="W223"/>
      <c r="X223"/>
      <c r="Y223"/>
      <c r="Z223"/>
      <c r="AA223"/>
      <c r="AB223"/>
      <c r="AC223"/>
      <c r="AD223"/>
    </row>
    <row r="224" spans="2:30" x14ac:dyDescent="0.25">
      <c r="B224"/>
      <c r="C224"/>
      <c r="D224"/>
      <c r="E224"/>
      <c r="F224"/>
      <c r="G224"/>
      <c r="V224"/>
      <c r="W224"/>
      <c r="X224"/>
      <c r="Y224"/>
      <c r="Z224"/>
      <c r="AA224"/>
      <c r="AB224"/>
      <c r="AC224"/>
      <c r="AD224"/>
    </row>
    <row r="225" spans="2:30" x14ac:dyDescent="0.25">
      <c r="B225"/>
      <c r="C225"/>
      <c r="D225"/>
      <c r="E225"/>
      <c r="F225"/>
      <c r="G225"/>
      <c r="H225">
        <v>1</v>
      </c>
      <c r="I225">
        <v>2</v>
      </c>
      <c r="J225">
        <v>3</v>
      </c>
      <c r="K225" s="7">
        <v>4</v>
      </c>
      <c r="L225" s="7">
        <v>5</v>
      </c>
      <c r="M225" s="7">
        <v>6</v>
      </c>
      <c r="N225" s="7">
        <v>7</v>
      </c>
      <c r="O225" s="7">
        <v>8</v>
      </c>
      <c r="P225" s="7">
        <v>9</v>
      </c>
      <c r="V225"/>
      <c r="W225"/>
      <c r="X225"/>
      <c r="Y225"/>
      <c r="Z225"/>
      <c r="AA225"/>
      <c r="AB225"/>
      <c r="AC225"/>
      <c r="AD225"/>
    </row>
    <row r="226" spans="2:30" x14ac:dyDescent="0.25">
      <c r="B226"/>
      <c r="C226"/>
      <c r="D226"/>
      <c r="E226"/>
      <c r="F226"/>
      <c r="G226"/>
      <c r="H226">
        <f>P215</f>
        <v>20.121606060606062</v>
      </c>
      <c r="I226">
        <f>P216</f>
        <v>21.689763403263406</v>
      </c>
      <c r="J226">
        <f>P217</f>
        <v>23.257920745920742</v>
      </c>
      <c r="K226" s="7">
        <f>P218</f>
        <v>24.826078088578086</v>
      </c>
      <c r="L226" s="7">
        <f>P219</f>
        <v>26.39423543123543</v>
      </c>
      <c r="M226" s="7">
        <f>P220</f>
        <v>27.962392773892773</v>
      </c>
      <c r="N226" s="7">
        <f>P221</f>
        <v>29.530550116550117</v>
      </c>
      <c r="O226" s="7">
        <f>P222</f>
        <v>31.098707459207461</v>
      </c>
      <c r="P226" s="7">
        <f>P223</f>
        <v>32.666864801864804</v>
      </c>
      <c r="V226"/>
      <c r="W226"/>
      <c r="X226"/>
      <c r="Y226"/>
      <c r="Z226"/>
      <c r="AA226"/>
      <c r="AB226"/>
      <c r="AC226"/>
      <c r="AD226"/>
    </row>
    <row r="227" spans="2:30" ht="15.75" thickBot="1" x14ac:dyDescent="0.3">
      <c r="B227"/>
      <c r="C227"/>
      <c r="D227"/>
      <c r="E227"/>
      <c r="F227"/>
      <c r="G227"/>
      <c r="H227"/>
      <c r="I227"/>
      <c r="J227"/>
      <c r="V227"/>
      <c r="W227"/>
      <c r="X227"/>
      <c r="Y227"/>
      <c r="Z227"/>
      <c r="AA227"/>
      <c r="AB227"/>
      <c r="AC227"/>
      <c r="AD227"/>
    </row>
    <row r="228" spans="2:30" x14ac:dyDescent="0.25">
      <c r="B228"/>
      <c r="C228"/>
      <c r="D228"/>
      <c r="E228"/>
      <c r="F228"/>
      <c r="G228"/>
      <c r="I228"/>
      <c r="J228"/>
      <c r="V228" s="177"/>
      <c r="W228" s="177"/>
      <c r="X228" s="177"/>
      <c r="Y228" s="177"/>
      <c r="Z228"/>
      <c r="AA228"/>
      <c r="AB228"/>
      <c r="AC228"/>
      <c r="AD228"/>
    </row>
    <row r="229" spans="2:30" x14ac:dyDescent="0.25">
      <c r="B229"/>
      <c r="C229"/>
      <c r="D229"/>
      <c r="E229"/>
      <c r="F229"/>
      <c r="G229"/>
      <c r="H229" t="s">
        <v>266</v>
      </c>
      <c r="I229"/>
      <c r="J229"/>
      <c r="V229"/>
      <c r="W229"/>
      <c r="X229"/>
      <c r="Y229"/>
      <c r="Z229"/>
      <c r="AA229"/>
      <c r="AB229"/>
      <c r="AC229"/>
      <c r="AD229"/>
    </row>
    <row r="230" spans="2:30" x14ac:dyDescent="0.25">
      <c r="B230"/>
      <c r="C230"/>
      <c r="D230"/>
      <c r="E230"/>
      <c r="F230"/>
      <c r="G230"/>
      <c r="H230"/>
      <c r="I230"/>
      <c r="J230"/>
      <c r="V230"/>
      <c r="W230"/>
      <c r="X230"/>
      <c r="Y230"/>
      <c r="Z230"/>
      <c r="AA230"/>
      <c r="AB230"/>
      <c r="AC230"/>
      <c r="AD230"/>
    </row>
    <row r="231" spans="2:30" x14ac:dyDescent="0.25">
      <c r="B231"/>
      <c r="C231"/>
      <c r="D231"/>
      <c r="E231"/>
      <c r="F231"/>
      <c r="G231"/>
      <c r="H231">
        <v>1</v>
      </c>
      <c r="I231">
        <v>2</v>
      </c>
      <c r="J231">
        <v>3</v>
      </c>
      <c r="K231" s="7">
        <v>4</v>
      </c>
      <c r="L231" s="7">
        <v>5</v>
      </c>
      <c r="M231" s="7">
        <v>6</v>
      </c>
      <c r="N231" s="7">
        <v>7</v>
      </c>
      <c r="O231" s="7">
        <v>8</v>
      </c>
      <c r="P231" s="7">
        <v>9</v>
      </c>
      <c r="V231"/>
      <c r="W231"/>
      <c r="X231"/>
      <c r="Y231"/>
      <c r="Z231"/>
      <c r="AA231"/>
      <c r="AB231"/>
      <c r="AC231"/>
      <c r="AD231"/>
    </row>
    <row r="232" spans="2:30" x14ac:dyDescent="0.25">
      <c r="B232"/>
      <c r="C232"/>
      <c r="D232"/>
      <c r="E232"/>
      <c r="F232"/>
      <c r="G232"/>
      <c r="H232">
        <f>K232</f>
        <v>20.121606060606062</v>
      </c>
      <c r="I232">
        <f>H232</f>
        <v>20.121606060606062</v>
      </c>
      <c r="J232">
        <f>I232</f>
        <v>20.121606060606062</v>
      </c>
      <c r="K232">
        <v>20.121606060606062</v>
      </c>
      <c r="L232">
        <v>21.689763403263406</v>
      </c>
      <c r="M232">
        <v>23.257920745920742</v>
      </c>
      <c r="N232" s="7">
        <v>24.826078088578086</v>
      </c>
      <c r="O232" s="7">
        <v>26.39423543123543</v>
      </c>
      <c r="P232" s="7">
        <v>27.962392773892773</v>
      </c>
      <c r="V232"/>
      <c r="W232"/>
      <c r="X232"/>
      <c r="Y232"/>
      <c r="Z232"/>
      <c r="AA232"/>
      <c r="AB232"/>
      <c r="AC232"/>
      <c r="AD232"/>
    </row>
    <row r="233" spans="2:30" x14ac:dyDescent="0.25">
      <c r="B233"/>
      <c r="C233"/>
      <c r="D233"/>
      <c r="E233"/>
      <c r="F233"/>
      <c r="G233"/>
      <c r="H233"/>
      <c r="I233"/>
      <c r="J233"/>
      <c r="V233"/>
      <c r="W233"/>
      <c r="X233"/>
      <c r="Y233"/>
      <c r="Z233"/>
      <c r="AA233"/>
      <c r="AB233"/>
      <c r="AC233"/>
      <c r="AD233"/>
    </row>
    <row r="234" spans="2:30" x14ac:dyDescent="0.25">
      <c r="B234"/>
      <c r="C234"/>
      <c r="D234"/>
      <c r="E234"/>
      <c r="F234"/>
      <c r="G234"/>
      <c r="H234"/>
      <c r="I234"/>
      <c r="J234"/>
      <c r="V234"/>
      <c r="W234"/>
      <c r="X234"/>
      <c r="Y234"/>
      <c r="Z234"/>
      <c r="AA234"/>
      <c r="AB234"/>
      <c r="AC234"/>
      <c r="AD234"/>
    </row>
    <row r="235" spans="2:30" ht="15.75" thickBot="1" x14ac:dyDescent="0.3">
      <c r="B235" s="176"/>
      <c r="C235" s="176"/>
      <c r="D235" s="176"/>
      <c r="E235" s="176"/>
      <c r="F235"/>
      <c r="G235"/>
      <c r="H235"/>
      <c r="I235"/>
      <c r="J235"/>
      <c r="V235"/>
      <c r="W235"/>
      <c r="X235"/>
      <c r="Y235"/>
      <c r="Z235"/>
      <c r="AA235"/>
      <c r="AB235"/>
      <c r="AC235"/>
      <c r="AD235"/>
    </row>
    <row r="236" spans="2:30" x14ac:dyDescent="0.25">
      <c r="V236"/>
      <c r="W236"/>
      <c r="X236"/>
      <c r="Y236"/>
      <c r="Z236"/>
      <c r="AA236"/>
      <c r="AB236"/>
      <c r="AC236"/>
      <c r="AD236"/>
    </row>
    <row r="237" spans="2:30" x14ac:dyDescent="0.25">
      <c r="V237"/>
      <c r="W237"/>
      <c r="X237"/>
      <c r="Y237"/>
      <c r="Z237"/>
      <c r="AA237"/>
      <c r="AB237"/>
      <c r="AC237"/>
      <c r="AD237"/>
    </row>
    <row r="238" spans="2:30" x14ac:dyDescent="0.25">
      <c r="V238"/>
      <c r="W238"/>
      <c r="X238"/>
      <c r="Y238"/>
      <c r="Z238"/>
      <c r="AA238"/>
      <c r="AB238"/>
      <c r="AC238"/>
      <c r="AD238"/>
    </row>
    <row r="239" spans="2:30" x14ac:dyDescent="0.25">
      <c r="P239" s="19">
        <f>AVERAGE(O158:O183)</f>
        <v>-1.8018991851415835E-2</v>
      </c>
      <c r="V239"/>
      <c r="W239"/>
      <c r="X239"/>
      <c r="Y239"/>
      <c r="Z239"/>
      <c r="AA239"/>
      <c r="AB239"/>
      <c r="AC239"/>
      <c r="AD239"/>
    </row>
    <row r="240" spans="2:30" ht="15.75" thickBot="1" x14ac:dyDescent="0.3">
      <c r="P240" s="19">
        <f>MEDIAN(O158:O183)</f>
        <v>-2.2501325269548303E-2</v>
      </c>
      <c r="V240" s="176"/>
      <c r="W240" s="176"/>
      <c r="X240" s="176"/>
      <c r="Y240" s="176"/>
      <c r="Z240"/>
      <c r="AA240"/>
      <c r="AB240"/>
      <c r="AC240"/>
      <c r="AD240"/>
    </row>
    <row r="254" spans="2:5" x14ac:dyDescent="0.25">
      <c r="B254" s="7" t="s">
        <v>209</v>
      </c>
    </row>
    <row r="255" spans="2:5" x14ac:dyDescent="0.25">
      <c r="B255" s="17">
        <f>-2%</f>
        <v>-0.02</v>
      </c>
      <c r="E255" s="17">
        <f>-2%</f>
        <v>-0.02</v>
      </c>
    </row>
    <row r="261" spans="8:15" x14ac:dyDescent="0.25">
      <c r="H261" s="7" t="s">
        <v>14</v>
      </c>
      <c r="I261" s="7" t="s">
        <v>74</v>
      </c>
      <c r="J261" s="7">
        <v>1</v>
      </c>
      <c r="K261" s="7">
        <v>2</v>
      </c>
      <c r="L261" s="7">
        <v>3</v>
      </c>
      <c r="M261" s="7">
        <v>4</v>
      </c>
      <c r="N261" s="7">
        <v>5</v>
      </c>
      <c r="O261" s="7" t="s">
        <v>60</v>
      </c>
    </row>
    <row r="262" spans="8:15" x14ac:dyDescent="0.25">
      <c r="H262" s="7" t="s">
        <v>348</v>
      </c>
      <c r="I262" s="19">
        <v>-2.3E-2</v>
      </c>
      <c r="J262" s="19">
        <v>-2.3E-2</v>
      </c>
      <c r="K262" s="19">
        <v>-2.3E-2</v>
      </c>
      <c r="L262" s="19">
        <v>-2.3E-2</v>
      </c>
      <c r="M262" s="19">
        <v>-2.3E-2</v>
      </c>
      <c r="N262" s="19">
        <v>-2.3E-2</v>
      </c>
      <c r="O262" s="18">
        <v>0</v>
      </c>
    </row>
    <row r="263" spans="8:15" x14ac:dyDescent="0.25">
      <c r="K263" s="40">
        <v>3.9999999999999983E-3</v>
      </c>
      <c r="L263" s="40">
        <v>3.9999999999999983E-3</v>
      </c>
      <c r="M263" s="40">
        <v>3.9999999999999983E-3</v>
      </c>
      <c r="N263" s="40">
        <v>3.9999999999999983E-3</v>
      </c>
      <c r="O263" s="40"/>
    </row>
    <row r="269" spans="8:15" x14ac:dyDescent="0.25">
      <c r="H269" s="7" t="s">
        <v>145</v>
      </c>
    </row>
    <row r="270" spans="8:15" x14ac:dyDescent="0.25">
      <c r="H270" s="17">
        <v>0.1</v>
      </c>
      <c r="K270" s="17" t="s">
        <v>271</v>
      </c>
      <c r="N270" s="18">
        <v>0.12</v>
      </c>
    </row>
    <row r="274" spans="8:18" x14ac:dyDescent="0.25">
      <c r="H274" s="7" t="s">
        <v>14</v>
      </c>
      <c r="I274" s="7" t="s">
        <v>74</v>
      </c>
      <c r="J274" s="7">
        <v>1</v>
      </c>
      <c r="K274" s="7">
        <v>2</v>
      </c>
      <c r="L274" s="7">
        <v>3</v>
      </c>
      <c r="M274" s="7">
        <v>4</v>
      </c>
      <c r="N274" s="7">
        <v>5</v>
      </c>
      <c r="O274" s="7">
        <v>6</v>
      </c>
      <c r="P274" s="7">
        <v>7</v>
      </c>
      <c r="Q274" s="7">
        <v>8</v>
      </c>
      <c r="R274" s="7" t="s">
        <v>60</v>
      </c>
    </row>
    <row r="275" spans="8:18" x14ac:dyDescent="0.25">
      <c r="H275" s="7" t="s">
        <v>348</v>
      </c>
      <c r="I275" s="19">
        <v>-2.3E-2</v>
      </c>
      <c r="J275" s="19">
        <v>-2.3E-2</v>
      </c>
      <c r="K275" s="19">
        <v>-2.3E-2</v>
      </c>
      <c r="L275" s="19">
        <v>-2.3E-2</v>
      </c>
      <c r="M275" s="19">
        <v>-2.3E-2</v>
      </c>
      <c r="N275" s="19">
        <v>-2.3E-2</v>
      </c>
      <c r="O275" s="19">
        <v>-2.3E-2</v>
      </c>
      <c r="P275" s="19">
        <v>-2.3E-2</v>
      </c>
      <c r="Q275" s="19">
        <v>-2.3E-2</v>
      </c>
      <c r="R275" s="219">
        <v>0</v>
      </c>
    </row>
    <row r="276" spans="8:18" x14ac:dyDescent="0.25">
      <c r="I276" s="40"/>
      <c r="J276" s="40">
        <v>7.2666666666666669E-3</v>
      </c>
      <c r="K276" s="40">
        <v>7.2666666666666669E-3</v>
      </c>
    </row>
  </sheetData>
  <phoneticPr fontId="43"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62FC-5271-4E4D-9B03-5295C953E95D}">
  <sheetPr>
    <tabColor rgb="FF00B050"/>
  </sheetPr>
  <dimension ref="A1:AD167"/>
  <sheetViews>
    <sheetView showGridLines="0" tabSelected="1" topLeftCell="A103" zoomScale="85" zoomScaleNormal="85" workbookViewId="0">
      <selection activeCell="Q16" sqref="Q16"/>
    </sheetView>
  </sheetViews>
  <sheetFormatPr defaultColWidth="9.5703125" defaultRowHeight="15" outlineLevelRow="1" outlineLevelCol="1" x14ac:dyDescent="0.25"/>
  <cols>
    <col min="1" max="1" width="3.5703125" customWidth="1"/>
    <col min="2" max="2" width="21.140625" customWidth="1"/>
    <col min="3" max="3" width="10.140625" bestFit="1" customWidth="1"/>
    <col min="5" max="7" width="9.5703125" customWidth="1" outlineLevel="1"/>
    <col min="8" max="8" width="11.42578125" customWidth="1" outlineLevel="1"/>
    <col min="9" max="9" width="13" customWidth="1" outlineLevel="1"/>
    <col min="10" max="10" width="12.28515625" customWidth="1" outlineLevel="1"/>
    <col min="11" max="11" width="11.85546875" customWidth="1"/>
    <col min="12" max="12" width="10.7109375" customWidth="1"/>
    <col min="13" max="13" width="11.85546875" customWidth="1"/>
    <col min="14" max="14" width="13.5703125" customWidth="1"/>
    <col min="15" max="15" width="12.140625" customWidth="1"/>
    <col min="17" max="21" width="10.42578125" bestFit="1" customWidth="1"/>
    <col min="22" max="22" width="12" bestFit="1" customWidth="1"/>
    <col min="25" max="25" width="10.42578125" bestFit="1" customWidth="1"/>
  </cols>
  <sheetData>
    <row r="1" spans="1:22" x14ac:dyDescent="0.25">
      <c r="A1" s="7"/>
      <c r="B1" s="7"/>
      <c r="C1" s="7"/>
      <c r="D1" s="7"/>
      <c r="E1" s="7"/>
      <c r="F1" s="7"/>
      <c r="G1" s="7"/>
      <c r="H1" s="7"/>
      <c r="I1" s="7"/>
      <c r="J1" s="7"/>
      <c r="K1" s="7"/>
      <c r="L1" s="7"/>
      <c r="M1" s="7"/>
      <c r="N1" s="7"/>
      <c r="O1" s="7"/>
      <c r="P1" s="7"/>
      <c r="Q1" s="7"/>
    </row>
    <row r="2" spans="1:22" s="153" customFormat="1" ht="20.25" x14ac:dyDescent="0.3">
      <c r="A2" s="38"/>
      <c r="B2" s="154"/>
      <c r="C2" s="38"/>
      <c r="D2" s="38"/>
      <c r="E2" s="38"/>
      <c r="F2" s="38"/>
      <c r="G2" s="38"/>
      <c r="H2" s="38"/>
      <c r="I2" s="38"/>
      <c r="J2" s="38"/>
      <c r="K2" s="38"/>
      <c r="L2" s="38"/>
      <c r="M2" s="38"/>
      <c r="N2" s="38"/>
      <c r="O2" s="38"/>
      <c r="P2" s="38"/>
      <c r="Q2" s="38"/>
    </row>
    <row r="3" spans="1:22" x14ac:dyDescent="0.25">
      <c r="A3" s="7"/>
      <c r="B3" s="152" t="s">
        <v>214</v>
      </c>
      <c r="C3" s="151"/>
      <c r="D3" s="151"/>
      <c r="E3" s="151"/>
      <c r="F3" s="151"/>
      <c r="G3" s="151"/>
      <c r="H3" s="151"/>
      <c r="I3" s="7"/>
      <c r="J3" s="7"/>
      <c r="K3" s="7"/>
      <c r="L3" s="7"/>
      <c r="M3" s="7"/>
      <c r="N3" s="7"/>
      <c r="O3" s="7"/>
      <c r="P3" s="7"/>
      <c r="Q3" s="7"/>
    </row>
    <row r="4" spans="1:22" x14ac:dyDescent="0.25">
      <c r="A4" s="7"/>
      <c r="B4" s="31"/>
      <c r="C4" s="31"/>
      <c r="D4" s="31"/>
      <c r="E4" s="31"/>
      <c r="F4" s="31"/>
      <c r="G4" s="31"/>
      <c r="H4" s="31"/>
      <c r="I4" s="31"/>
      <c r="J4" s="31"/>
      <c r="K4" s="31"/>
      <c r="L4" s="31"/>
      <c r="M4" s="7"/>
      <c r="N4" s="7"/>
      <c r="O4" s="7"/>
      <c r="P4" s="7"/>
      <c r="Q4" s="7"/>
    </row>
    <row r="5" spans="1:22" ht="15" customHeight="1" x14ac:dyDescent="0.25">
      <c r="A5" s="7"/>
      <c r="B5" s="31"/>
      <c r="C5" s="60"/>
      <c r="D5" s="31"/>
      <c r="E5" s="31"/>
      <c r="F5" s="31"/>
      <c r="G5" s="155"/>
      <c r="H5" s="31"/>
      <c r="I5" s="31"/>
      <c r="J5" s="31"/>
      <c r="K5" s="60"/>
      <c r="L5" s="31"/>
      <c r="M5" s="150"/>
      <c r="N5" s="149"/>
      <c r="O5" s="149"/>
      <c r="P5" s="149"/>
      <c r="Q5" s="149"/>
    </row>
    <row r="6" spans="1:22" ht="15" customHeight="1" x14ac:dyDescent="0.25">
      <c r="A6" s="7"/>
      <c r="B6" s="31"/>
      <c r="C6" s="156"/>
      <c r="D6" s="31"/>
      <c r="E6" s="31"/>
      <c r="F6" s="31"/>
      <c r="G6" s="155"/>
      <c r="H6" s="31"/>
      <c r="I6" s="31"/>
      <c r="J6" s="31"/>
      <c r="K6" s="60"/>
      <c r="L6" s="31"/>
      <c r="M6" s="150"/>
      <c r="N6" s="149"/>
      <c r="O6" s="149"/>
      <c r="P6" s="149"/>
      <c r="Q6" s="149"/>
    </row>
    <row r="7" spans="1:22" ht="15" customHeight="1" x14ac:dyDescent="0.25">
      <c r="A7" s="7"/>
      <c r="B7" s="7"/>
      <c r="C7" s="7"/>
      <c r="D7" s="7"/>
      <c r="E7" s="7"/>
      <c r="F7" s="7"/>
      <c r="G7" s="7"/>
      <c r="H7" s="7"/>
      <c r="I7" s="7"/>
      <c r="J7" s="7"/>
      <c r="K7" s="7"/>
      <c r="L7" s="7"/>
      <c r="M7" s="7"/>
      <c r="N7" s="149"/>
      <c r="O7" s="149"/>
      <c r="P7" s="149"/>
      <c r="Q7" s="149"/>
    </row>
    <row r="8" spans="1:22" x14ac:dyDescent="0.25">
      <c r="A8" s="7"/>
      <c r="B8" s="146"/>
      <c r="C8" s="147"/>
      <c r="D8" s="147"/>
      <c r="E8" s="147"/>
      <c r="F8" s="147"/>
      <c r="G8" s="147"/>
      <c r="H8" s="147"/>
      <c r="I8" s="147"/>
      <c r="J8" s="147"/>
      <c r="K8" s="147"/>
      <c r="L8" s="147"/>
      <c r="M8" s="147"/>
      <c r="N8" s="147"/>
      <c r="O8" s="7"/>
      <c r="P8" s="7"/>
      <c r="Q8" s="7"/>
    </row>
    <row r="9" spans="1:22" x14ac:dyDescent="0.25">
      <c r="A9" s="7"/>
      <c r="B9" s="21"/>
      <c r="C9" s="31"/>
      <c r="D9" s="31"/>
      <c r="E9" s="31"/>
      <c r="F9" s="7"/>
      <c r="G9" s="7"/>
      <c r="H9" s="7"/>
      <c r="I9" s="7"/>
      <c r="J9" s="7"/>
      <c r="K9" s="7"/>
      <c r="L9" s="7"/>
      <c r="M9" s="7"/>
      <c r="N9" s="7"/>
      <c r="O9" s="7"/>
      <c r="P9" s="7"/>
      <c r="Q9" s="7"/>
    </row>
    <row r="10" spans="1:22" x14ac:dyDescent="0.25">
      <c r="A10" s="7"/>
      <c r="B10" s="7"/>
      <c r="C10" s="31"/>
      <c r="D10" s="148"/>
      <c r="E10" s="31"/>
      <c r="F10" s="7"/>
      <c r="G10" s="7"/>
      <c r="H10" s="7"/>
      <c r="I10" s="7"/>
      <c r="J10" s="7"/>
      <c r="K10" s="7"/>
      <c r="L10" s="7"/>
      <c r="M10" s="7"/>
      <c r="N10" s="7"/>
      <c r="O10" s="7"/>
      <c r="P10" s="7"/>
      <c r="Q10" s="7"/>
    </row>
    <row r="11" spans="1:22" x14ac:dyDescent="0.25">
      <c r="A11" s="7"/>
      <c r="B11" s="7"/>
      <c r="C11" s="31"/>
      <c r="D11" s="148"/>
      <c r="E11" s="31"/>
      <c r="F11" s="7"/>
      <c r="G11" s="7"/>
      <c r="H11" s="7"/>
      <c r="I11" s="7"/>
      <c r="J11" s="7"/>
      <c r="K11" s="7"/>
      <c r="L11" s="7"/>
      <c r="M11" s="7"/>
      <c r="N11" s="7"/>
      <c r="O11" s="7"/>
      <c r="P11" s="7"/>
      <c r="Q11" s="7"/>
    </row>
    <row r="12" spans="1:22" outlineLevel="1" x14ac:dyDescent="0.25">
      <c r="A12" s="7"/>
      <c r="B12" s="7"/>
      <c r="C12" s="7"/>
      <c r="D12" s="7"/>
      <c r="E12" s="7"/>
      <c r="F12" s="7"/>
      <c r="G12" s="7"/>
      <c r="H12" s="7"/>
      <c r="I12" s="7"/>
      <c r="J12" s="7"/>
      <c r="K12" s="7"/>
      <c r="L12" s="7"/>
      <c r="M12" s="7"/>
      <c r="N12" s="7"/>
      <c r="O12" s="31"/>
      <c r="P12" s="7"/>
      <c r="Q12" s="7"/>
    </row>
    <row r="13" spans="1:22" x14ac:dyDescent="0.25">
      <c r="A13" s="7"/>
      <c r="B13" s="146" t="s">
        <v>173</v>
      </c>
      <c r="C13" s="147"/>
      <c r="D13" s="147"/>
      <c r="E13" s="146"/>
      <c r="F13" s="146"/>
      <c r="G13" s="146"/>
      <c r="H13" s="146"/>
      <c r="I13" s="145" t="s">
        <v>270</v>
      </c>
      <c r="J13" s="145">
        <v>1</v>
      </c>
      <c r="K13" s="145">
        <v>2</v>
      </c>
      <c r="L13" s="145">
        <v>3</v>
      </c>
      <c r="M13" s="145">
        <v>4</v>
      </c>
      <c r="N13" s="145">
        <v>5</v>
      </c>
      <c r="O13" s="145">
        <v>6</v>
      </c>
      <c r="P13" s="145">
        <v>7</v>
      </c>
      <c r="Q13" s="145">
        <v>8</v>
      </c>
      <c r="R13" s="144" t="s">
        <v>60</v>
      </c>
    </row>
    <row r="14" spans="1:22" x14ac:dyDescent="0.25">
      <c r="A14" s="7"/>
      <c r="B14" s="7"/>
      <c r="C14" s="7"/>
      <c r="D14" s="7"/>
      <c r="E14" s="136"/>
      <c r="F14" s="136"/>
      <c r="G14" s="136"/>
      <c r="H14" s="136"/>
      <c r="I14" s="143"/>
      <c r="J14" s="142"/>
      <c r="K14" s="142"/>
      <c r="L14" s="142"/>
      <c r="M14" s="142"/>
      <c r="N14" s="142"/>
      <c r="P14" s="7"/>
      <c r="Q14" s="7"/>
      <c r="R14" s="31"/>
    </row>
    <row r="15" spans="1:22" x14ac:dyDescent="0.25">
      <c r="A15" s="7"/>
      <c r="B15" s="182" t="s">
        <v>171</v>
      </c>
      <c r="C15" s="183"/>
      <c r="D15" s="183"/>
      <c r="E15" s="184"/>
      <c r="F15" s="184"/>
      <c r="G15" s="184"/>
      <c r="H15" s="184"/>
      <c r="I15" s="185"/>
      <c r="J15" s="192">
        <f>'Story&amp;Estimates'!D50</f>
        <v>-7.0000000000000007E-2</v>
      </c>
      <c r="K15" s="192">
        <f>'Story&amp;Estimates'!E50</f>
        <v>7.0000000000000007E-2</v>
      </c>
      <c r="L15" s="192">
        <f>'Story&amp;Estimates'!F50</f>
        <v>7.6999999999999999E-2</v>
      </c>
      <c r="M15" s="192">
        <f>'Story&amp;Estimates'!G50</f>
        <v>8.3999999999999991E-2</v>
      </c>
      <c r="N15" s="192">
        <f>'Story&amp;Estimates'!H50</f>
        <v>9.0999999999999998E-2</v>
      </c>
      <c r="O15" s="192">
        <f>'Story&amp;Estimates'!I50</f>
        <v>9.0999999999999998E-2</v>
      </c>
      <c r="P15" s="192">
        <f>'Story&amp;Estimates'!J50</f>
        <v>9.0999999999999998E-2</v>
      </c>
      <c r="Q15" s="192">
        <f>'Story&amp;Estimates'!K50</f>
        <v>9.0999999999999998E-2</v>
      </c>
      <c r="R15" s="192">
        <f>'Story&amp;Estimates'!L50</f>
        <v>9.0999999999999998E-2</v>
      </c>
      <c r="T15" s="141"/>
      <c r="U15" s="141"/>
      <c r="V15" s="141"/>
    </row>
    <row r="16" spans="1:22" x14ac:dyDescent="0.25">
      <c r="A16" s="7"/>
      <c r="B16" s="7"/>
      <c r="C16" s="7"/>
      <c r="D16" s="7"/>
      <c r="E16" s="7"/>
      <c r="F16" s="7"/>
      <c r="G16" s="21"/>
      <c r="H16" s="7"/>
      <c r="I16" s="128"/>
      <c r="J16" s="7"/>
      <c r="K16" s="7"/>
      <c r="L16" s="7"/>
      <c r="M16" s="7"/>
      <c r="N16" s="7"/>
      <c r="P16" s="7"/>
      <c r="Q16" s="7"/>
      <c r="R16" s="31"/>
      <c r="T16" s="141"/>
      <c r="U16" s="141"/>
      <c r="V16" s="141"/>
    </row>
    <row r="17" spans="1:25" x14ac:dyDescent="0.25">
      <c r="A17" s="7"/>
      <c r="B17" s="57" t="s">
        <v>170</v>
      </c>
      <c r="C17" s="7"/>
      <c r="D17" s="7"/>
      <c r="E17" s="136"/>
      <c r="F17" s="136"/>
      <c r="G17" s="136"/>
      <c r="H17" s="136"/>
      <c r="I17" s="193">
        <f>'Story&amp;Estimates'!C45</f>
        <v>669.7</v>
      </c>
      <c r="J17" s="194">
        <f t="shared" ref="J17:N17" si="0">I17+(I17*J15)</f>
        <v>622.82100000000003</v>
      </c>
      <c r="K17" s="194">
        <f t="shared" si="0"/>
        <v>666.41847000000007</v>
      </c>
      <c r="L17" s="194">
        <f t="shared" si="0"/>
        <v>717.73269219000008</v>
      </c>
      <c r="M17" s="194">
        <f t="shared" si="0"/>
        <v>778.0222383339601</v>
      </c>
      <c r="N17" s="194">
        <f t="shared" si="0"/>
        <v>848.82226202235051</v>
      </c>
      <c r="O17" s="194">
        <f t="shared" ref="O17" si="1">N17+(N17*O15)</f>
        <v>926.06508786638437</v>
      </c>
      <c r="P17" s="194">
        <f t="shared" ref="P17" si="2">O17+(O17*P15)</f>
        <v>1010.3370108622254</v>
      </c>
      <c r="Q17" s="194">
        <f t="shared" ref="Q17:R17" si="3">P17+(P17*Q15)</f>
        <v>1102.2776788506878</v>
      </c>
      <c r="R17" s="194">
        <f t="shared" si="3"/>
        <v>1202.5849476261005</v>
      </c>
      <c r="S17" s="140"/>
      <c r="T17" s="140"/>
      <c r="U17" s="140"/>
      <c r="V17" s="140"/>
    </row>
    <row r="18" spans="1:25" x14ac:dyDescent="0.25">
      <c r="A18" s="7"/>
      <c r="B18" s="134"/>
      <c r="C18" s="7"/>
      <c r="D18" s="7"/>
      <c r="E18" s="133"/>
      <c r="F18" s="133"/>
      <c r="G18" s="133"/>
      <c r="H18" s="133"/>
      <c r="I18" s="132"/>
      <c r="J18" s="131"/>
      <c r="K18" s="131"/>
      <c r="L18" s="131"/>
      <c r="M18" s="131"/>
      <c r="N18" s="131"/>
      <c r="P18" s="7"/>
      <c r="Q18" s="13"/>
      <c r="R18" s="130"/>
      <c r="S18" s="139"/>
      <c r="T18" s="139"/>
      <c r="U18" s="139"/>
      <c r="V18" s="139"/>
    </row>
    <row r="19" spans="1:25" x14ac:dyDescent="0.25">
      <c r="A19" s="7"/>
      <c r="B19" s="186" t="s">
        <v>169</v>
      </c>
      <c r="C19" s="183"/>
      <c r="D19" s="183"/>
      <c r="E19" s="183"/>
      <c r="F19" s="183"/>
      <c r="G19" s="183"/>
      <c r="H19" s="183"/>
      <c r="I19" s="187"/>
      <c r="J19" s="196">
        <f>'Story&amp;Estimates'!F137</f>
        <v>0.1</v>
      </c>
      <c r="K19" s="196">
        <f>'Story&amp;Estimates'!G137</f>
        <v>0.10400000000000001</v>
      </c>
      <c r="L19" s="196">
        <f>'Story&amp;Estimates'!H137</f>
        <v>0.10800000000000001</v>
      </c>
      <c r="M19" s="196">
        <f>'Story&amp;Estimates'!I137</f>
        <v>0.11200000000000002</v>
      </c>
      <c r="N19" s="196">
        <f>'Story&amp;Estimates'!J137</f>
        <v>0.11600000000000002</v>
      </c>
      <c r="O19" s="196">
        <f>'Story&amp;Estimates'!K137</f>
        <v>0.12</v>
      </c>
      <c r="P19" s="196">
        <f>O19</f>
        <v>0.12</v>
      </c>
      <c r="Q19" s="196">
        <f t="shared" ref="Q19:R19" si="4">P19</f>
        <v>0.12</v>
      </c>
      <c r="R19" s="196">
        <f t="shared" si="4"/>
        <v>0.12</v>
      </c>
      <c r="S19" s="137"/>
      <c r="T19" s="137"/>
      <c r="U19" s="137"/>
      <c r="V19" s="137"/>
      <c r="W19" s="137"/>
      <c r="X19" s="7"/>
      <c r="Y19" s="129"/>
    </row>
    <row r="20" spans="1:25" x14ac:dyDescent="0.25">
      <c r="A20" s="7"/>
      <c r="B20" s="57"/>
      <c r="C20" s="7"/>
      <c r="D20" s="7"/>
      <c r="E20" s="7"/>
      <c r="F20" s="7"/>
      <c r="G20" s="7"/>
      <c r="H20" s="7"/>
      <c r="I20" s="125"/>
      <c r="J20" s="120"/>
      <c r="K20" s="120"/>
      <c r="L20" s="120"/>
      <c r="M20" s="120"/>
      <c r="N20" s="120"/>
      <c r="P20" s="118"/>
      <c r="Q20" s="7"/>
      <c r="R20" s="130"/>
      <c r="T20" s="135"/>
      <c r="U20" s="135"/>
      <c r="V20" s="135"/>
      <c r="W20" s="129"/>
      <c r="X20" s="129"/>
      <c r="Y20" s="129"/>
    </row>
    <row r="21" spans="1:25" x14ac:dyDescent="0.25">
      <c r="A21" s="7"/>
      <c r="B21" s="57" t="s">
        <v>168</v>
      </c>
      <c r="C21" s="7"/>
      <c r="D21" s="7"/>
      <c r="E21" s="136"/>
      <c r="F21" s="136"/>
      <c r="G21" s="136"/>
      <c r="H21" s="136"/>
      <c r="I21" s="125"/>
      <c r="J21" s="195">
        <f t="shared" ref="J21:R21" si="5">J17*J19</f>
        <v>62.282100000000007</v>
      </c>
      <c r="K21" s="11">
        <f t="shared" si="5"/>
        <v>69.307520880000013</v>
      </c>
      <c r="L21" s="11">
        <f t="shared" si="5"/>
        <v>77.515130756520023</v>
      </c>
      <c r="M21" s="11">
        <f t="shared" si="5"/>
        <v>87.13849069340354</v>
      </c>
      <c r="N21" s="11">
        <f t="shared" si="5"/>
        <v>98.463382394592671</v>
      </c>
      <c r="O21" s="11">
        <f t="shared" si="5"/>
        <v>111.12781054396612</v>
      </c>
      <c r="P21" s="11">
        <f t="shared" si="5"/>
        <v>121.24044130346704</v>
      </c>
      <c r="Q21" s="11">
        <f t="shared" si="5"/>
        <v>132.27332146208255</v>
      </c>
      <c r="R21" s="11">
        <f t="shared" si="5"/>
        <v>144.31019371513204</v>
      </c>
      <c r="T21" s="135"/>
      <c r="U21" s="135"/>
      <c r="V21" s="135"/>
      <c r="W21" s="129"/>
      <c r="X21" s="129"/>
      <c r="Y21" s="129"/>
    </row>
    <row r="22" spans="1:25" x14ac:dyDescent="0.25">
      <c r="A22" s="7"/>
      <c r="B22" s="134"/>
      <c r="C22" s="7"/>
      <c r="D22" s="7"/>
      <c r="E22" s="133"/>
      <c r="F22" s="133"/>
      <c r="G22" s="133"/>
      <c r="H22" s="133"/>
      <c r="I22" s="132"/>
      <c r="J22" s="131"/>
      <c r="K22" s="131"/>
      <c r="L22" s="131"/>
      <c r="M22" s="131"/>
      <c r="N22" s="131"/>
      <c r="P22" s="118"/>
      <c r="Q22" s="7"/>
      <c r="R22" s="130"/>
      <c r="T22" s="124"/>
      <c r="U22" s="124"/>
      <c r="V22" s="124"/>
      <c r="W22" s="129"/>
      <c r="X22" s="129"/>
      <c r="Y22" s="129"/>
    </row>
    <row r="23" spans="1:25" x14ac:dyDescent="0.25">
      <c r="A23" s="7"/>
      <c r="B23" s="198" t="s">
        <v>167</v>
      </c>
      <c r="C23" s="183"/>
      <c r="D23" s="183"/>
      <c r="E23" s="183"/>
      <c r="F23" s="183"/>
      <c r="G23" s="183"/>
      <c r="H23" s="183"/>
      <c r="I23" s="188"/>
      <c r="J23" s="197">
        <f>WACC!C221</f>
        <v>0.19347247990105135</v>
      </c>
      <c r="K23" s="197">
        <f>WACC!D221</f>
        <v>0.19677798392084109</v>
      </c>
      <c r="L23" s="197">
        <f>WACC!E221</f>
        <v>0.20008348794063083</v>
      </c>
      <c r="M23" s="197">
        <f>WACC!F221</f>
        <v>0.20338899196042057</v>
      </c>
      <c r="N23" s="197">
        <f>WACC!G221</f>
        <v>0.20669449598021031</v>
      </c>
      <c r="O23" s="197">
        <f>WACC!H221</f>
        <v>0.21</v>
      </c>
      <c r="P23" s="197">
        <v>0.21</v>
      </c>
      <c r="Q23" s="197">
        <v>0.21</v>
      </c>
      <c r="R23" s="197">
        <v>0.21</v>
      </c>
      <c r="T23" s="127"/>
      <c r="U23" s="127"/>
      <c r="V23" s="127"/>
      <c r="W23" s="127"/>
      <c r="X23" s="127"/>
      <c r="Y23" s="127"/>
    </row>
    <row r="24" spans="1:25" x14ac:dyDescent="0.25">
      <c r="A24" s="7"/>
      <c r="B24" s="7"/>
      <c r="C24" s="7"/>
      <c r="D24" s="7"/>
      <c r="E24" s="7"/>
      <c r="F24" s="7"/>
      <c r="G24" s="7"/>
      <c r="H24" s="7"/>
      <c r="I24" s="128"/>
      <c r="J24" s="7"/>
      <c r="K24" s="7"/>
      <c r="L24" s="7"/>
      <c r="M24" s="7"/>
      <c r="N24" s="7"/>
      <c r="P24" s="118"/>
      <c r="Q24" s="7"/>
      <c r="R24" s="31"/>
      <c r="T24" s="127"/>
      <c r="U24" s="127"/>
      <c r="V24" s="127"/>
      <c r="W24" s="127"/>
      <c r="X24" s="127"/>
      <c r="Y24" s="127"/>
    </row>
    <row r="25" spans="1:25" x14ac:dyDescent="0.25">
      <c r="A25" s="7"/>
      <c r="B25" s="108" t="s">
        <v>166</v>
      </c>
      <c r="C25" s="126"/>
      <c r="D25" s="126"/>
      <c r="E25" s="126"/>
      <c r="F25" s="126"/>
      <c r="G25" s="126"/>
      <c r="H25" s="126"/>
      <c r="I25" s="125"/>
      <c r="J25" s="108">
        <f t="shared" ref="J25:P25" si="6">J21*(1-J23)</f>
        <v>50.232227659554738</v>
      </c>
      <c r="K25" s="108">
        <f t="shared" si="6"/>
        <v>55.669326650682009</v>
      </c>
      <c r="L25" s="108">
        <f t="shared" si="6"/>
        <v>62.005633026581428</v>
      </c>
      <c r="M25" s="108">
        <f t="shared" si="6"/>
        <v>69.415480910319701</v>
      </c>
      <c r="N25" s="108">
        <f t="shared" si="6"/>
        <v>78.111543198035633</v>
      </c>
      <c r="O25" s="108">
        <f t="shared" si="6"/>
        <v>87.790970329733241</v>
      </c>
      <c r="P25" s="108">
        <f t="shared" si="6"/>
        <v>95.779948629738968</v>
      </c>
      <c r="Q25" s="108">
        <f>Q21*(1-Q23)</f>
        <v>104.49592395504521</v>
      </c>
      <c r="R25" s="108">
        <f>R21*(1-R23)</f>
        <v>114.00505303495432</v>
      </c>
      <c r="T25" s="124"/>
      <c r="U25" s="124"/>
      <c r="V25" s="124"/>
      <c r="W25" s="124"/>
      <c r="X25" s="124"/>
      <c r="Y25" s="124"/>
    </row>
    <row r="26" spans="1:25" x14ac:dyDescent="0.25">
      <c r="A26" s="7"/>
      <c r="B26" s="120"/>
      <c r="C26" s="11"/>
      <c r="D26" s="11"/>
      <c r="E26" s="119"/>
      <c r="F26" s="119"/>
      <c r="G26" s="119"/>
      <c r="H26" s="119"/>
      <c r="I26" s="122"/>
      <c r="J26" s="123"/>
      <c r="K26" s="123"/>
      <c r="L26" s="123"/>
      <c r="M26" s="123"/>
      <c r="N26" s="123"/>
      <c r="P26" s="118"/>
      <c r="Q26" s="7"/>
      <c r="R26" s="123"/>
    </row>
    <row r="27" spans="1:25" x14ac:dyDescent="0.25">
      <c r="B27" s="199" t="s">
        <v>183</v>
      </c>
      <c r="C27" s="189"/>
      <c r="D27" s="189"/>
      <c r="E27" s="190"/>
      <c r="F27" s="190"/>
      <c r="G27" s="190"/>
      <c r="H27" s="190"/>
      <c r="I27" s="191"/>
      <c r="J27" s="201">
        <f>'Story&amp;Estimates'!H226</f>
        <v>20.121606060606062</v>
      </c>
      <c r="K27" s="201">
        <f>'Story&amp;Estimates'!I226</f>
        <v>21.689763403263406</v>
      </c>
      <c r="L27" s="201">
        <f>'Story&amp;Estimates'!J226</f>
        <v>23.257920745920742</v>
      </c>
      <c r="M27" s="201">
        <f>'Story&amp;Estimates'!K226</f>
        <v>24.826078088578086</v>
      </c>
      <c r="N27" s="201">
        <f>'Story&amp;Estimates'!L226</f>
        <v>26.39423543123543</v>
      </c>
      <c r="O27" s="201">
        <f>'Story&amp;Estimates'!M226</f>
        <v>27.962392773892773</v>
      </c>
      <c r="P27" s="201">
        <f>'Story&amp;Estimates'!N226</f>
        <v>29.530550116550117</v>
      </c>
      <c r="Q27" s="201">
        <f>'Story&amp;Estimates'!O226</f>
        <v>31.098707459207461</v>
      </c>
      <c r="R27" s="201">
        <f>'Story&amp;Estimates'!P226</f>
        <v>32.666864801864804</v>
      </c>
    </row>
    <row r="28" spans="1:25" x14ac:dyDescent="0.25">
      <c r="B28" s="120"/>
      <c r="C28" s="11"/>
      <c r="D28" s="11"/>
      <c r="E28" s="119"/>
      <c r="F28" s="119"/>
      <c r="G28" s="119"/>
      <c r="H28" s="119"/>
      <c r="I28" s="122"/>
      <c r="J28" s="157"/>
      <c r="K28" s="157"/>
      <c r="L28" s="157"/>
      <c r="M28" s="157"/>
      <c r="N28" s="157"/>
      <c r="P28" s="118"/>
      <c r="Q28" s="7"/>
      <c r="R28" s="157"/>
    </row>
    <row r="29" spans="1:25" x14ac:dyDescent="0.25">
      <c r="B29" s="199" t="s">
        <v>210</v>
      </c>
      <c r="C29" s="189"/>
      <c r="D29" s="189"/>
      <c r="E29" s="190"/>
      <c r="F29" s="190"/>
      <c r="G29" s="190"/>
      <c r="H29" s="190"/>
      <c r="I29" s="191"/>
      <c r="J29" s="287">
        <v>-2.3E-2</v>
      </c>
      <c r="K29" s="287">
        <v>-2.3E-2</v>
      </c>
      <c r="L29" s="287">
        <v>-2.3E-2</v>
      </c>
      <c r="M29" s="287">
        <v>-2.3E-2</v>
      </c>
      <c r="N29" s="287">
        <v>-2.3E-2</v>
      </c>
      <c r="O29" s="287">
        <v>-2.3E-2</v>
      </c>
      <c r="P29" s="287">
        <v>-2.3E-2</v>
      </c>
      <c r="Q29" s="287">
        <v>-2.3E-2</v>
      </c>
      <c r="R29" s="200">
        <v>0</v>
      </c>
    </row>
    <row r="30" spans="1:25" x14ac:dyDescent="0.25">
      <c r="B30" s="120"/>
      <c r="C30" s="11"/>
      <c r="D30" s="11"/>
      <c r="E30" s="119"/>
      <c r="F30" s="119"/>
      <c r="G30" s="119"/>
      <c r="H30" s="119"/>
      <c r="I30" s="122"/>
      <c r="J30" s="157"/>
      <c r="K30" s="157"/>
      <c r="L30" s="157"/>
      <c r="M30" s="157"/>
      <c r="N30" s="157"/>
      <c r="P30" s="118"/>
      <c r="Q30" s="7"/>
      <c r="R30" s="157"/>
    </row>
    <row r="31" spans="1:25" x14ac:dyDescent="0.25">
      <c r="A31" s="7"/>
      <c r="B31" s="108" t="s">
        <v>148</v>
      </c>
      <c r="C31" s="11"/>
      <c r="D31" s="11"/>
      <c r="E31" s="119"/>
      <c r="F31" s="119"/>
      <c r="G31" s="119"/>
      <c r="H31" s="119"/>
      <c r="I31" s="122"/>
      <c r="J31" s="108">
        <f>J17*(J29)</f>
        <v>-14.324883</v>
      </c>
      <c r="K31" s="108">
        <f t="shared" ref="K31:Q31" si="7">K17*(K29)</f>
        <v>-15.327624810000001</v>
      </c>
      <c r="L31" s="108">
        <f t="shared" si="7"/>
        <v>-16.507851920370001</v>
      </c>
      <c r="M31" s="108">
        <f t="shared" si="7"/>
        <v>-17.894511481681082</v>
      </c>
      <c r="N31" s="108">
        <f t="shared" si="7"/>
        <v>-19.52291202651406</v>
      </c>
      <c r="O31" s="108">
        <f t="shared" si="7"/>
        <v>-21.299497020926839</v>
      </c>
      <c r="P31" s="108">
        <f>P17*(P29)</f>
        <v>-23.237751249831184</v>
      </c>
      <c r="Q31" s="108">
        <f t="shared" si="7"/>
        <v>-25.35238661356582</v>
      </c>
      <c r="R31" s="108">
        <f>R17*(R29)</f>
        <v>0</v>
      </c>
    </row>
    <row r="32" spans="1:25" x14ac:dyDescent="0.25">
      <c r="A32" s="7"/>
      <c r="B32" s="120"/>
      <c r="C32" s="11"/>
      <c r="D32" s="11"/>
      <c r="E32" s="119"/>
      <c r="F32" s="119"/>
      <c r="G32" s="119"/>
      <c r="H32" s="119"/>
      <c r="I32" s="122"/>
      <c r="J32" s="123"/>
      <c r="K32" s="123"/>
      <c r="L32" s="123"/>
      <c r="M32" s="123"/>
      <c r="N32" s="123"/>
      <c r="P32" s="118"/>
      <c r="Q32" s="7"/>
      <c r="R32" s="123"/>
    </row>
    <row r="33" spans="1:22" x14ac:dyDescent="0.25">
      <c r="A33" s="7"/>
      <c r="B33" s="120"/>
      <c r="C33" s="11"/>
      <c r="D33" s="11"/>
      <c r="E33" s="119"/>
      <c r="F33" s="119"/>
      <c r="G33" s="119"/>
      <c r="H33" s="119"/>
      <c r="I33" s="122"/>
      <c r="J33" s="123"/>
      <c r="K33" s="123"/>
      <c r="L33" s="123"/>
      <c r="M33" s="123"/>
      <c r="N33" s="123"/>
      <c r="P33" s="118"/>
      <c r="Q33" s="7"/>
      <c r="R33" s="123"/>
    </row>
    <row r="34" spans="1:22" x14ac:dyDescent="0.25">
      <c r="A34" s="7"/>
      <c r="B34" s="11"/>
      <c r="C34" s="11"/>
      <c r="D34" s="11"/>
      <c r="E34" s="119"/>
      <c r="F34" s="119"/>
      <c r="G34" s="119"/>
      <c r="H34" s="119"/>
      <c r="I34" s="122"/>
      <c r="J34" s="121">
        <v>1</v>
      </c>
      <c r="K34" s="121">
        <v>2</v>
      </c>
      <c r="L34" s="121">
        <v>3</v>
      </c>
      <c r="M34" s="121">
        <v>4</v>
      </c>
      <c r="N34" s="121">
        <v>5</v>
      </c>
      <c r="O34" s="121">
        <v>6</v>
      </c>
      <c r="P34" s="121">
        <v>7</v>
      </c>
      <c r="Q34" s="121">
        <v>8</v>
      </c>
      <c r="R34" s="121">
        <v>9</v>
      </c>
    </row>
    <row r="35" spans="1:22" x14ac:dyDescent="0.25">
      <c r="A35" s="7"/>
      <c r="B35" s="120" t="s">
        <v>165</v>
      </c>
      <c r="C35" s="11"/>
      <c r="D35" s="11"/>
      <c r="E35" s="119"/>
      <c r="F35" s="119"/>
      <c r="G35" s="119"/>
      <c r="H35" s="115" t="s">
        <v>164</v>
      </c>
      <c r="I35" s="115"/>
      <c r="J35" s="114">
        <f>J25-J27+J31</f>
        <v>15.785738598948676</v>
      </c>
      <c r="K35" s="114">
        <f>K25-K27+K31</f>
        <v>18.6519384374186</v>
      </c>
      <c r="L35" s="114">
        <f t="shared" ref="K35:R35" si="8">L25-L27+L31</f>
        <v>22.239860360290685</v>
      </c>
      <c r="M35" s="114">
        <f t="shared" si="8"/>
        <v>26.694891340060533</v>
      </c>
      <c r="N35" s="114">
        <f t="shared" si="8"/>
        <v>32.19439574028614</v>
      </c>
      <c r="O35" s="114">
        <f t="shared" si="8"/>
        <v>38.529080534913632</v>
      </c>
      <c r="P35" s="114">
        <f t="shared" si="8"/>
        <v>43.011647263357666</v>
      </c>
      <c r="Q35" s="114">
        <f>Q25-Q27+Q31</f>
        <v>48.044829882271934</v>
      </c>
      <c r="R35" s="114">
        <f t="shared" si="8"/>
        <v>81.338188233089511</v>
      </c>
      <c r="T35" s="117"/>
      <c r="U35" s="117"/>
      <c r="V35" s="117"/>
    </row>
    <row r="36" spans="1:22" x14ac:dyDescent="0.25">
      <c r="A36" s="7"/>
      <c r="B36" s="7"/>
      <c r="C36" s="21"/>
      <c r="D36" s="21"/>
      <c r="E36" s="21"/>
      <c r="F36" s="21"/>
      <c r="G36" s="21"/>
      <c r="H36" s="274" t="s">
        <v>119</v>
      </c>
      <c r="I36" s="275"/>
      <c r="J36" s="116">
        <f>WACC!D246</f>
        <v>9.8742017953262415E-2</v>
      </c>
      <c r="K36" s="116">
        <f>WACC!E246</f>
        <v>9.6306437982646861E-2</v>
      </c>
      <c r="L36" s="116">
        <f>WACC!F246</f>
        <v>9.3870858012031308E-2</v>
      </c>
      <c r="M36" s="116">
        <f>WACC!G246</f>
        <v>9.1435278041415755E-2</v>
      </c>
      <c r="N36" s="116">
        <f>WACC!H246</f>
        <v>8.8999698070800201E-2</v>
      </c>
      <c r="O36" s="116">
        <f>WACC!I246</f>
        <v>8.6564118100184648E-2</v>
      </c>
      <c r="P36" s="116">
        <f>WACC!J246</f>
        <v>8.4128538129569094E-2</v>
      </c>
      <c r="Q36" s="116">
        <f>WACC!K246</f>
        <v>8.1692958158953541E-2</v>
      </c>
      <c r="R36" s="116">
        <f>WACC!L246</f>
        <v>7.9257378188338043E-2</v>
      </c>
    </row>
    <row r="37" spans="1:22" x14ac:dyDescent="0.25">
      <c r="A37" s="7"/>
      <c r="B37" s="7"/>
      <c r="C37" s="21"/>
      <c r="D37" s="21"/>
      <c r="E37" s="21"/>
      <c r="F37" s="21"/>
      <c r="G37" s="21"/>
      <c r="H37" s="115" t="s">
        <v>163</v>
      </c>
      <c r="I37" s="22"/>
      <c r="J37" s="114">
        <f t="shared" ref="J37:R37" si="9">J35/((1+J36)^J34)</f>
        <v>14.367101959342889</v>
      </c>
      <c r="K37" s="114">
        <f t="shared" si="9"/>
        <v>15.518868187939022</v>
      </c>
      <c r="L37" s="114">
        <f t="shared" si="9"/>
        <v>16.991585256207102</v>
      </c>
      <c r="M37" s="114">
        <f t="shared" si="9"/>
        <v>18.812053648360724</v>
      </c>
      <c r="N37" s="114">
        <f t="shared" si="9"/>
        <v>21.020424463991574</v>
      </c>
      <c r="O37" s="114">
        <f t="shared" si="9"/>
        <v>23.412969015662274</v>
      </c>
      <c r="P37" s="114">
        <f t="shared" si="9"/>
        <v>24.435466705565446</v>
      </c>
      <c r="Q37" s="114">
        <f t="shared" si="9"/>
        <v>25.63389731963537</v>
      </c>
      <c r="R37" s="114">
        <f t="shared" si="9"/>
        <v>40.942019190116554</v>
      </c>
    </row>
    <row r="38" spans="1:22" ht="15.75" thickBot="1" x14ac:dyDescent="0.3">
      <c r="A38" s="7"/>
      <c r="B38" s="7"/>
      <c r="C38" s="7"/>
      <c r="D38" s="7"/>
      <c r="E38" s="7"/>
      <c r="F38" s="7"/>
      <c r="G38" s="7"/>
      <c r="H38" s="7"/>
      <c r="I38" s="113" t="s">
        <v>162</v>
      </c>
      <c r="J38" s="112">
        <f>SUM(J37:R37)</f>
        <v>201.13438574682095</v>
      </c>
      <c r="K38" s="7"/>
      <c r="L38" s="7"/>
      <c r="M38" s="7"/>
      <c r="N38" s="7"/>
      <c r="P38" s="7"/>
      <c r="Q38" s="7"/>
      <c r="R38" s="31"/>
    </row>
    <row r="39" spans="1:22" x14ac:dyDescent="0.25">
      <c r="A39" s="7"/>
      <c r="B39" s="7" t="s">
        <v>161</v>
      </c>
      <c r="C39" s="111">
        <v>0.04</v>
      </c>
      <c r="D39" s="7"/>
      <c r="E39" s="7"/>
      <c r="F39" s="7"/>
      <c r="G39" s="7"/>
      <c r="H39" s="7"/>
      <c r="I39" s="21"/>
      <c r="J39" s="11"/>
      <c r="K39" s="7"/>
      <c r="L39" s="7"/>
      <c r="M39" s="7"/>
      <c r="N39" s="7"/>
      <c r="O39" s="31"/>
      <c r="P39" s="7"/>
      <c r="Q39" s="7"/>
      <c r="R39" s="110"/>
    </row>
    <row r="40" spans="1:22" x14ac:dyDescent="0.25">
      <c r="A40" s="7" t="s">
        <v>153</v>
      </c>
      <c r="B40" s="7" t="s">
        <v>160</v>
      </c>
      <c r="C40" s="7"/>
      <c r="D40" s="7"/>
      <c r="E40" s="7"/>
      <c r="F40" s="7"/>
      <c r="G40" s="7"/>
      <c r="H40" s="7"/>
      <c r="I40" s="7"/>
      <c r="J40" s="109"/>
      <c r="K40" s="7"/>
      <c r="L40" s="7"/>
      <c r="M40" s="7"/>
      <c r="N40" s="108">
        <f>R37/(R36-C39)</f>
        <v>1042.9127231496818</v>
      </c>
      <c r="O40" s="31"/>
      <c r="P40" s="7"/>
      <c r="Q40" s="7"/>
      <c r="R40" s="61"/>
    </row>
    <row r="41" spans="1:22" x14ac:dyDescent="0.25">
      <c r="A41" s="7"/>
      <c r="B41" s="38" t="s">
        <v>159</v>
      </c>
      <c r="C41" s="38"/>
      <c r="D41" s="38"/>
      <c r="E41" s="38"/>
      <c r="F41" s="38"/>
      <c r="G41" s="38"/>
      <c r="H41" s="38"/>
      <c r="I41" s="38"/>
      <c r="J41" s="38"/>
      <c r="K41" s="38"/>
      <c r="L41" s="38"/>
      <c r="M41" s="38"/>
      <c r="N41" s="107">
        <f>N40/((1+R36)^R34)</f>
        <v>524.95578832478168</v>
      </c>
      <c r="O41" s="31"/>
      <c r="P41" s="7"/>
      <c r="Q41" s="7"/>
      <c r="R41" s="61"/>
    </row>
    <row r="42" spans="1:22" x14ac:dyDescent="0.25">
      <c r="A42" s="7"/>
      <c r="B42" s="21" t="s">
        <v>158</v>
      </c>
      <c r="C42" s="21"/>
      <c r="D42" s="21"/>
      <c r="E42" s="21"/>
      <c r="F42" s="21"/>
      <c r="G42" s="21"/>
      <c r="H42" s="21"/>
      <c r="I42" s="21"/>
      <c r="J42" s="21"/>
      <c r="K42" s="21"/>
      <c r="L42" s="21"/>
      <c r="M42" s="21"/>
      <c r="N42" s="106">
        <f>J38+N41</f>
        <v>726.09017407160263</v>
      </c>
      <c r="O42" s="31"/>
      <c r="P42" s="7"/>
      <c r="Q42" s="7"/>
      <c r="R42" s="61"/>
    </row>
    <row r="43" spans="1:22" x14ac:dyDescent="0.25">
      <c r="A43" s="7"/>
      <c r="B43" s="105" t="s">
        <v>157</v>
      </c>
      <c r="C43" s="7"/>
      <c r="D43" s="7"/>
      <c r="E43" s="7"/>
      <c r="F43" s="7"/>
      <c r="G43" s="7"/>
      <c r="H43" s="7"/>
      <c r="I43" s="7"/>
      <c r="J43" s="7"/>
      <c r="K43" s="7"/>
      <c r="L43" s="7"/>
      <c r="M43" s="7"/>
      <c r="N43" s="158">
        <v>45.859000000000002</v>
      </c>
      <c r="O43" s="31"/>
      <c r="P43" s="7"/>
      <c r="Q43" s="7"/>
    </row>
    <row r="44" spans="1:22" x14ac:dyDescent="0.25">
      <c r="A44" s="7"/>
      <c r="B44" s="104" t="s">
        <v>156</v>
      </c>
      <c r="C44" s="38"/>
      <c r="D44" s="38"/>
      <c r="E44" s="38"/>
      <c r="F44" s="38"/>
      <c r="G44" s="38"/>
      <c r="H44" s="38"/>
      <c r="I44" s="38"/>
      <c r="J44" s="38"/>
      <c r="K44" s="38"/>
      <c r="L44" s="38"/>
      <c r="M44" s="38"/>
      <c r="N44" s="158">
        <f>47.928+7.078</f>
        <v>55.006</v>
      </c>
      <c r="O44" s="31"/>
      <c r="P44" s="7"/>
      <c r="Q44" s="7"/>
    </row>
    <row r="45" spans="1:22" x14ac:dyDescent="0.25">
      <c r="A45" s="7"/>
      <c r="B45" s="21" t="s">
        <v>155</v>
      </c>
      <c r="C45" s="21"/>
      <c r="D45" s="21"/>
      <c r="E45" s="21"/>
      <c r="F45" s="21"/>
      <c r="G45" s="21"/>
      <c r="H45" s="21"/>
      <c r="I45" s="21"/>
      <c r="J45" s="21"/>
      <c r="K45" s="21"/>
      <c r="L45" s="21"/>
      <c r="M45" s="21"/>
      <c r="N45" s="103">
        <f>N42+N43-N44</f>
        <v>716.9431740716027</v>
      </c>
      <c r="O45" s="31"/>
      <c r="P45" s="7"/>
      <c r="Q45" s="7"/>
    </row>
    <row r="46" spans="1:22" x14ac:dyDescent="0.25">
      <c r="A46" s="7"/>
      <c r="B46" s="38" t="s">
        <v>154</v>
      </c>
      <c r="C46" s="38"/>
      <c r="D46" s="38"/>
      <c r="E46" s="38"/>
      <c r="F46" s="38"/>
      <c r="G46" s="38"/>
      <c r="H46" s="38"/>
      <c r="I46" s="38"/>
      <c r="J46" s="38"/>
      <c r="K46" s="38"/>
      <c r="L46" s="38"/>
      <c r="M46" s="38"/>
      <c r="N46" s="102">
        <f>4.908</f>
        <v>4.9080000000000004</v>
      </c>
      <c r="O46" s="31"/>
      <c r="P46" s="7"/>
      <c r="Q46" s="7"/>
    </row>
    <row r="47" spans="1:22" x14ac:dyDescent="0.25">
      <c r="A47" s="7" t="s">
        <v>153</v>
      </c>
      <c r="B47" s="21" t="s">
        <v>152</v>
      </c>
      <c r="C47" s="21"/>
      <c r="D47" s="21"/>
      <c r="E47" s="21"/>
      <c r="F47" s="21"/>
      <c r="G47" s="21"/>
      <c r="H47" s="21"/>
      <c r="I47" s="21"/>
      <c r="J47" s="21"/>
      <c r="K47" s="21"/>
      <c r="L47" s="21"/>
      <c r="M47" s="21"/>
      <c r="N47" s="101">
        <f>N45/N46</f>
        <v>146.07644133488236</v>
      </c>
      <c r="O47" s="31"/>
      <c r="P47" s="7"/>
      <c r="Q47" s="7"/>
    </row>
    <row r="48" spans="1:22" ht="15.75" thickBot="1" x14ac:dyDescent="0.3">
      <c r="A48" s="7"/>
      <c r="B48" s="21" t="s">
        <v>151</v>
      </c>
      <c r="C48" s="21"/>
      <c r="D48" s="21"/>
      <c r="E48" s="21"/>
      <c r="F48" s="21"/>
      <c r="G48" s="21"/>
      <c r="H48" s="21"/>
      <c r="I48" s="21"/>
      <c r="J48" s="21"/>
      <c r="K48" s="21"/>
      <c r="L48" s="21"/>
      <c r="M48" s="21"/>
      <c r="N48" s="101">
        <v>128</v>
      </c>
      <c r="O48" s="31"/>
      <c r="P48" s="7"/>
      <c r="Q48" s="7"/>
    </row>
    <row r="49" spans="1:30" ht="15.75" thickBot="1" x14ac:dyDescent="0.3">
      <c r="A49" s="7"/>
      <c r="B49" s="21" t="s">
        <v>150</v>
      </c>
      <c r="C49" s="7"/>
      <c r="D49" s="7"/>
      <c r="E49" s="7"/>
      <c r="F49" s="7"/>
      <c r="G49" s="7"/>
      <c r="H49" s="7"/>
      <c r="I49" s="7"/>
      <c r="J49" s="7"/>
      <c r="K49" s="7"/>
      <c r="L49" s="7"/>
      <c r="M49" s="7"/>
      <c r="N49" s="206">
        <f>(N47-N48)/N48</f>
        <v>0.14122219792876844</v>
      </c>
      <c r="O49" s="31"/>
      <c r="P49" s="7"/>
      <c r="Q49" s="7"/>
    </row>
    <row r="50" spans="1:30" x14ac:dyDescent="0.25">
      <c r="A50" s="100"/>
      <c r="B50" s="100"/>
      <c r="C50" s="100"/>
      <c r="D50" s="100"/>
      <c r="E50" s="100"/>
      <c r="F50" s="100"/>
      <c r="G50" s="100"/>
      <c r="H50" s="100"/>
      <c r="I50" s="100"/>
      <c r="J50" s="100"/>
      <c r="K50" s="100"/>
      <c r="L50" s="100"/>
      <c r="M50" s="100"/>
      <c r="N50" s="7"/>
      <c r="O50" s="31"/>
      <c r="P50" s="7"/>
      <c r="Q50" s="7"/>
    </row>
    <row r="51" spans="1:30" x14ac:dyDescent="0.25">
      <c r="A51" s="69"/>
      <c r="B51" s="67"/>
      <c r="C51" s="67"/>
      <c r="D51" s="67"/>
      <c r="E51" s="67"/>
      <c r="F51" s="67"/>
      <c r="G51" s="67"/>
      <c r="H51" s="67"/>
      <c r="I51" s="67"/>
      <c r="J51" s="67"/>
      <c r="K51" s="67"/>
      <c r="L51" s="67"/>
      <c r="M51" s="67"/>
      <c r="N51" s="67"/>
      <c r="O51" s="67"/>
      <c r="P51" s="67"/>
      <c r="Q51" s="67"/>
      <c r="R51" s="66"/>
      <c r="S51" s="66"/>
    </row>
    <row r="52" spans="1:30" x14ac:dyDescent="0.25">
      <c r="A52" s="67"/>
      <c r="B52" s="67"/>
      <c r="C52" s="67"/>
      <c r="D52" s="67"/>
      <c r="E52" s="67"/>
      <c r="F52" s="67"/>
      <c r="G52" s="67"/>
      <c r="H52" s="67"/>
      <c r="I52" s="67"/>
      <c r="J52" s="67"/>
      <c r="K52" s="67"/>
      <c r="L52" s="67"/>
      <c r="M52" s="67"/>
      <c r="N52" s="67"/>
      <c r="O52" s="67"/>
      <c r="P52" s="67"/>
      <c r="Q52" s="67"/>
      <c r="R52" s="66"/>
      <c r="S52" s="66"/>
    </row>
    <row r="53" spans="1:30" x14ac:dyDescent="0.25">
      <c r="A53" s="202"/>
      <c r="B53" s="203"/>
      <c r="C53" s="202"/>
      <c r="D53" s="202"/>
      <c r="E53" s="203"/>
      <c r="F53" s="203"/>
      <c r="G53" s="203"/>
      <c r="H53" s="203"/>
      <c r="I53" s="204"/>
      <c r="J53" s="204"/>
      <c r="K53" s="204"/>
      <c r="L53" s="204"/>
      <c r="M53" s="204"/>
      <c r="N53" s="204"/>
      <c r="O53" s="204"/>
      <c r="P53" s="202"/>
      <c r="Q53" s="82"/>
      <c r="R53" s="99"/>
      <c r="S53" s="99"/>
      <c r="T53" s="99"/>
      <c r="U53" s="99"/>
      <c r="V53" s="99"/>
      <c r="W53" s="99"/>
      <c r="X53" s="99"/>
      <c r="Y53" s="99"/>
      <c r="Z53" s="99"/>
      <c r="AA53" s="99"/>
      <c r="AB53" s="99"/>
      <c r="AC53" s="99"/>
      <c r="AD53" s="61"/>
    </row>
    <row r="54" spans="1:30" x14ac:dyDescent="0.25">
      <c r="A54" s="7"/>
      <c r="B54" s="152" t="s">
        <v>215</v>
      </c>
      <c r="C54" s="151"/>
      <c r="D54" s="151"/>
      <c r="E54" s="151"/>
      <c r="F54" s="151"/>
      <c r="G54" s="151"/>
      <c r="H54" s="151"/>
      <c r="I54" s="7"/>
      <c r="J54" s="7"/>
      <c r="K54" s="7"/>
      <c r="L54" s="7"/>
      <c r="M54" s="7"/>
      <c r="N54" s="7"/>
      <c r="O54" s="7"/>
      <c r="P54" s="7"/>
      <c r="Q54" s="67"/>
      <c r="R54" s="66"/>
      <c r="S54" s="66"/>
      <c r="T54" s="61"/>
      <c r="U54" s="61"/>
      <c r="V54" s="61"/>
      <c r="W54" s="61"/>
      <c r="X54" s="61"/>
      <c r="Y54" s="61"/>
      <c r="Z54" s="61"/>
      <c r="AA54" s="61"/>
      <c r="AB54" s="61"/>
      <c r="AC54" s="61"/>
      <c r="AD54" s="61"/>
    </row>
    <row r="55" spans="1:30" x14ac:dyDescent="0.25">
      <c r="A55" s="7"/>
      <c r="B55" s="31"/>
      <c r="C55" s="31"/>
      <c r="D55" s="31"/>
      <c r="E55" s="31"/>
      <c r="F55" s="31"/>
      <c r="G55" s="31"/>
      <c r="H55" s="31"/>
      <c r="I55" s="31"/>
      <c r="J55" s="31"/>
      <c r="K55" s="31"/>
      <c r="L55" s="31"/>
      <c r="M55" s="7"/>
      <c r="N55" s="7"/>
      <c r="O55" s="7"/>
      <c r="P55" s="7"/>
      <c r="Q55" s="98"/>
      <c r="R55" s="97"/>
      <c r="S55" s="97"/>
      <c r="T55" s="96"/>
      <c r="U55" s="96"/>
      <c r="V55" s="96"/>
      <c r="W55" s="96"/>
      <c r="X55" s="96"/>
      <c r="Y55" s="96"/>
      <c r="Z55" s="96"/>
      <c r="AA55" s="96"/>
      <c r="AB55" s="96"/>
      <c r="AC55" s="96"/>
      <c r="AD55" s="96"/>
    </row>
    <row r="56" spans="1:30" ht="18.75" x14ac:dyDescent="0.25">
      <c r="A56" s="7"/>
      <c r="B56" s="31"/>
      <c r="C56" s="60"/>
      <c r="D56" s="31"/>
      <c r="E56" s="31"/>
      <c r="F56" s="31"/>
      <c r="G56" s="155"/>
      <c r="H56" s="31"/>
      <c r="I56" s="31"/>
      <c r="J56" s="31"/>
      <c r="K56" s="60"/>
      <c r="L56" s="31"/>
      <c r="M56" s="150"/>
      <c r="N56" s="149"/>
      <c r="O56" s="149"/>
      <c r="P56" s="149"/>
      <c r="Q56" s="67"/>
      <c r="R56" s="66"/>
      <c r="S56" s="66"/>
    </row>
    <row r="57" spans="1:30" ht="18.75" x14ac:dyDescent="0.25">
      <c r="A57" s="7"/>
      <c r="B57" s="31"/>
      <c r="C57" s="156"/>
      <c r="D57" s="31"/>
      <c r="E57" s="31"/>
      <c r="F57" s="31"/>
      <c r="G57" s="155"/>
      <c r="H57" s="31"/>
      <c r="I57" s="31"/>
      <c r="J57" s="31"/>
      <c r="K57" s="60"/>
      <c r="L57" s="31"/>
      <c r="M57" s="150"/>
      <c r="N57" s="149"/>
      <c r="O57" s="149"/>
      <c r="P57" s="149"/>
      <c r="Q57" s="75"/>
      <c r="R57" s="85"/>
      <c r="S57" s="85"/>
      <c r="T57" s="84"/>
      <c r="U57" s="84"/>
      <c r="V57" s="84"/>
      <c r="W57" s="84"/>
      <c r="X57" s="84"/>
      <c r="Y57" s="84"/>
      <c r="Z57" s="84"/>
      <c r="AA57" s="84"/>
      <c r="AB57" s="84"/>
      <c r="AC57" s="84"/>
      <c r="AD57" s="84"/>
    </row>
    <row r="58" spans="1:30" ht="18.75" x14ac:dyDescent="0.25">
      <c r="A58" s="7"/>
      <c r="B58" s="7"/>
      <c r="C58" s="7"/>
      <c r="D58" s="7"/>
      <c r="E58" s="7"/>
      <c r="F58" s="7"/>
      <c r="G58" s="7"/>
      <c r="H58" s="7"/>
      <c r="I58" s="7"/>
      <c r="J58" s="7"/>
      <c r="K58" s="7"/>
      <c r="L58" s="7"/>
      <c r="M58" s="7"/>
      <c r="N58" s="149"/>
      <c r="O58" s="149"/>
      <c r="P58" s="149"/>
      <c r="Q58" s="67"/>
      <c r="R58" s="66"/>
      <c r="S58" s="66"/>
    </row>
    <row r="59" spans="1:30" x14ac:dyDescent="0.25">
      <c r="A59" s="7"/>
      <c r="B59" s="146"/>
      <c r="C59" s="147"/>
      <c r="D59" s="147"/>
      <c r="E59" s="147"/>
      <c r="F59" s="147"/>
      <c r="G59" s="147"/>
      <c r="H59" s="147"/>
      <c r="I59" s="147"/>
      <c r="J59" s="147"/>
      <c r="K59" s="147"/>
      <c r="L59" s="147"/>
      <c r="M59" s="147"/>
      <c r="N59" s="147"/>
      <c r="O59" s="7"/>
      <c r="P59" s="7"/>
      <c r="Q59" s="81"/>
      <c r="R59" s="95"/>
      <c r="S59" s="95"/>
      <c r="T59" s="94"/>
      <c r="U59" s="94"/>
      <c r="V59" s="94"/>
      <c r="W59" s="94"/>
      <c r="X59" s="94"/>
      <c r="Y59" s="94"/>
      <c r="Z59" s="94"/>
      <c r="AA59" s="94"/>
      <c r="AB59" s="94"/>
      <c r="AC59" s="94"/>
      <c r="AD59" s="94"/>
    </row>
    <row r="60" spans="1:30" x14ac:dyDescent="0.25">
      <c r="A60" s="7"/>
      <c r="B60" s="21"/>
      <c r="C60" s="31"/>
      <c r="D60" s="31"/>
      <c r="E60" s="31"/>
      <c r="F60" s="7"/>
      <c r="G60" s="7"/>
      <c r="H60" s="7"/>
      <c r="I60" s="7"/>
      <c r="J60" s="7"/>
      <c r="K60" s="7"/>
      <c r="L60" s="7"/>
      <c r="M60" s="7"/>
      <c r="N60" s="7"/>
      <c r="O60" s="7"/>
      <c r="P60" s="7"/>
      <c r="Q60" s="67"/>
      <c r="R60" s="66"/>
      <c r="S60" s="66"/>
    </row>
    <row r="61" spans="1:30" x14ac:dyDescent="0.25">
      <c r="A61" s="7"/>
      <c r="B61" s="7"/>
      <c r="C61" s="31"/>
      <c r="D61" s="148"/>
      <c r="E61" s="31"/>
      <c r="F61" s="7"/>
      <c r="G61" s="7"/>
      <c r="H61" s="7"/>
      <c r="I61" s="7"/>
      <c r="J61" s="7"/>
      <c r="K61" s="7"/>
      <c r="L61" s="7"/>
      <c r="M61" s="7"/>
      <c r="N61" s="7"/>
      <c r="O61" s="7"/>
      <c r="P61" s="7"/>
      <c r="Q61" s="75"/>
      <c r="R61" s="85"/>
      <c r="S61" s="85"/>
      <c r="T61" s="84"/>
      <c r="U61" s="84"/>
      <c r="V61" s="84"/>
      <c r="W61" s="84"/>
      <c r="X61" s="84"/>
      <c r="Y61" s="84"/>
      <c r="Z61" s="84"/>
      <c r="AA61" s="84"/>
      <c r="AB61" s="84"/>
      <c r="AC61" s="84"/>
      <c r="AD61" s="84"/>
    </row>
    <row r="62" spans="1:30" x14ac:dyDescent="0.25">
      <c r="A62" s="7"/>
      <c r="B62" s="7"/>
      <c r="C62" s="31"/>
      <c r="D62" s="148"/>
      <c r="E62" s="31"/>
      <c r="F62" s="7"/>
      <c r="G62" s="7"/>
      <c r="H62" s="7"/>
      <c r="I62" s="7"/>
      <c r="J62" s="7"/>
      <c r="K62" s="7"/>
      <c r="L62" s="7"/>
      <c r="M62" s="7"/>
      <c r="N62" s="7"/>
      <c r="O62" s="7"/>
      <c r="P62" s="7"/>
      <c r="Q62" s="67"/>
      <c r="R62" s="66"/>
      <c r="S62" s="66"/>
    </row>
    <row r="63" spans="1:30" x14ac:dyDescent="0.25">
      <c r="A63" s="7"/>
      <c r="B63" s="7"/>
      <c r="C63" s="7"/>
      <c r="D63" s="7"/>
      <c r="E63" s="7"/>
      <c r="F63" s="7"/>
      <c r="G63" s="7"/>
      <c r="H63" s="7"/>
      <c r="I63" s="7"/>
      <c r="J63" s="7"/>
      <c r="K63" s="7"/>
      <c r="L63" s="7"/>
      <c r="M63" s="7"/>
      <c r="N63" s="7"/>
      <c r="O63" s="31"/>
      <c r="P63" s="7"/>
      <c r="Q63" s="83"/>
      <c r="R63" s="93"/>
      <c r="S63" s="93"/>
      <c r="T63" s="92"/>
      <c r="U63" s="92"/>
      <c r="V63" s="92"/>
      <c r="W63" s="92"/>
      <c r="X63" s="92"/>
      <c r="Y63" s="92"/>
      <c r="Z63" s="92"/>
      <c r="AA63" s="92"/>
      <c r="AB63" s="92"/>
      <c r="AC63" s="92"/>
      <c r="AD63" s="92"/>
    </row>
    <row r="64" spans="1:30" x14ac:dyDescent="0.25">
      <c r="A64" s="7"/>
      <c r="B64" s="146" t="s">
        <v>173</v>
      </c>
      <c r="C64" s="147"/>
      <c r="D64" s="147"/>
      <c r="E64" s="146"/>
      <c r="F64" s="146"/>
      <c r="G64" s="146"/>
      <c r="H64" s="146"/>
      <c r="I64" s="145" t="s">
        <v>172</v>
      </c>
      <c r="J64" s="145">
        <v>1</v>
      </c>
      <c r="K64" s="145">
        <v>2</v>
      </c>
      <c r="L64" s="145">
        <v>3</v>
      </c>
      <c r="M64" s="145">
        <v>4</v>
      </c>
      <c r="N64" s="145">
        <v>5</v>
      </c>
      <c r="O64" s="144" t="s">
        <v>60</v>
      </c>
      <c r="P64" s="7"/>
      <c r="R64" s="66"/>
      <c r="S64" s="66"/>
    </row>
    <row r="65" spans="1:30" x14ac:dyDescent="0.25">
      <c r="A65" s="7"/>
      <c r="B65" s="7"/>
      <c r="C65" s="7"/>
      <c r="D65" s="7"/>
      <c r="E65" s="136"/>
      <c r="F65" s="136"/>
      <c r="G65" s="136"/>
      <c r="H65" s="136"/>
      <c r="I65" s="143"/>
      <c r="J65" s="142"/>
      <c r="K65" s="142"/>
      <c r="L65" s="142"/>
      <c r="M65" s="142"/>
      <c r="N65" s="142"/>
      <c r="O65" s="31"/>
      <c r="P65" s="7"/>
      <c r="R65" s="85"/>
      <c r="S65" s="85"/>
      <c r="T65" s="84"/>
      <c r="U65" s="84"/>
      <c r="V65" s="84"/>
      <c r="W65" s="84"/>
      <c r="X65" s="84"/>
      <c r="Y65" s="84"/>
      <c r="Z65" s="84"/>
      <c r="AA65" s="84"/>
      <c r="AB65" s="84"/>
      <c r="AC65" s="84"/>
      <c r="AD65" s="84"/>
    </row>
    <row r="66" spans="1:30" x14ac:dyDescent="0.25">
      <c r="A66" s="7"/>
      <c r="B66" s="182" t="s">
        <v>171</v>
      </c>
      <c r="C66" s="183"/>
      <c r="D66" s="183"/>
      <c r="E66" s="184"/>
      <c r="F66" s="184"/>
      <c r="G66" s="184"/>
      <c r="H66" s="184"/>
      <c r="I66" s="185"/>
      <c r="J66" s="192">
        <f>-5.5%</f>
        <v>-5.5E-2</v>
      </c>
      <c r="K66" s="192">
        <f t="shared" ref="K66:O66" si="10">5.5%</f>
        <v>5.5E-2</v>
      </c>
      <c r="L66" s="192">
        <f t="shared" si="10"/>
        <v>5.5E-2</v>
      </c>
      <c r="M66" s="192">
        <f t="shared" si="10"/>
        <v>5.5E-2</v>
      </c>
      <c r="N66" s="192">
        <f t="shared" si="10"/>
        <v>5.5E-2</v>
      </c>
      <c r="O66" s="192">
        <f t="shared" si="10"/>
        <v>5.5E-2</v>
      </c>
      <c r="P66" s="118"/>
      <c r="R66" s="66"/>
      <c r="S66" s="66"/>
    </row>
    <row r="67" spans="1:30" x14ac:dyDescent="0.25">
      <c r="A67" s="7"/>
      <c r="B67" s="7"/>
      <c r="C67" s="7"/>
      <c r="D67" s="7"/>
      <c r="E67" s="7"/>
      <c r="F67" s="7"/>
      <c r="G67" s="21"/>
      <c r="H67" s="7"/>
      <c r="I67" s="128"/>
      <c r="J67" s="7"/>
      <c r="K67" s="7"/>
      <c r="L67" s="7"/>
      <c r="M67" s="7"/>
      <c r="N67" s="7"/>
      <c r="O67" s="31"/>
      <c r="P67" s="7"/>
      <c r="R67" s="90"/>
      <c r="S67" s="90"/>
      <c r="T67" s="63"/>
      <c r="U67" s="63"/>
      <c r="V67" s="63"/>
      <c r="W67" s="63"/>
      <c r="X67" s="63"/>
      <c r="Y67" s="63"/>
      <c r="Z67" s="63"/>
      <c r="AA67" s="63"/>
      <c r="AB67" s="63"/>
      <c r="AC67" s="63"/>
      <c r="AD67" s="63"/>
    </row>
    <row r="68" spans="1:30" x14ac:dyDescent="0.25">
      <c r="A68" s="7"/>
      <c r="B68" s="57" t="s">
        <v>170</v>
      </c>
      <c r="C68" s="7"/>
      <c r="D68" s="7"/>
      <c r="E68" s="136"/>
      <c r="F68" s="136"/>
      <c r="G68" s="136"/>
      <c r="H68" s="136"/>
      <c r="I68" s="193">
        <f>I17</f>
        <v>669.7</v>
      </c>
      <c r="J68" s="194">
        <f t="shared" ref="J68" si="11">I68+(I68*J66)</f>
        <v>632.86650000000009</v>
      </c>
      <c r="K68" s="194">
        <f t="shared" ref="K68" si="12">J68+(J68*K66)</f>
        <v>667.67415750000009</v>
      </c>
      <c r="L68" s="194">
        <f t="shared" ref="L68" si="13">K68+(K68*L66)</f>
        <v>704.39623616250014</v>
      </c>
      <c r="M68" s="194">
        <f t="shared" ref="M68" si="14">L68+(L68*M66)</f>
        <v>743.13802915143765</v>
      </c>
      <c r="N68" s="194">
        <f t="shared" ref="N68" si="15">M68+(M68*N66)</f>
        <v>784.01062075476671</v>
      </c>
      <c r="O68" s="194">
        <f>N68+(N68*O66)</f>
        <v>827.13120489627886</v>
      </c>
      <c r="P68" s="7"/>
      <c r="R68" s="66"/>
      <c r="S68" s="66"/>
    </row>
    <row r="69" spans="1:30" x14ac:dyDescent="0.25">
      <c r="A69" s="7"/>
      <c r="B69" s="134"/>
      <c r="C69" s="7"/>
      <c r="D69" s="7"/>
      <c r="E69" s="133"/>
      <c r="F69" s="133"/>
      <c r="G69" s="133"/>
      <c r="H69" s="133"/>
      <c r="I69" s="132"/>
      <c r="J69" s="131"/>
      <c r="K69" s="131"/>
      <c r="L69" s="131"/>
      <c r="M69" s="131"/>
      <c r="N69" s="131"/>
      <c r="O69" s="130"/>
      <c r="P69" s="7"/>
      <c r="R69" s="85"/>
      <c r="S69" s="85"/>
      <c r="T69" s="84"/>
      <c r="U69" s="84"/>
      <c r="V69" s="84"/>
      <c r="W69" s="84"/>
      <c r="X69" s="84"/>
      <c r="Y69" s="84"/>
      <c r="Z69" s="84"/>
      <c r="AA69" s="84"/>
      <c r="AB69" s="84"/>
      <c r="AC69" s="84"/>
      <c r="AD69" s="84"/>
    </row>
    <row r="70" spans="1:30" x14ac:dyDescent="0.25">
      <c r="A70" s="7"/>
      <c r="B70" s="186" t="s">
        <v>169</v>
      </c>
      <c r="C70" s="183"/>
      <c r="D70" s="183"/>
      <c r="E70" s="183"/>
      <c r="F70" s="183"/>
      <c r="G70" s="183"/>
      <c r="H70" s="183"/>
      <c r="I70" s="187"/>
      <c r="J70" s="196">
        <v>8.2000000000000003E-2</v>
      </c>
      <c r="K70" s="196">
        <v>8.2000000000000003E-2</v>
      </c>
      <c r="L70" s="196">
        <v>8.2000000000000003E-2</v>
      </c>
      <c r="M70" s="196">
        <v>8.2000000000000003E-2</v>
      </c>
      <c r="N70" s="196">
        <v>8.2000000000000003E-2</v>
      </c>
      <c r="O70" s="196">
        <v>8.2000000000000003E-2</v>
      </c>
      <c r="P70" s="138"/>
      <c r="R70" s="66"/>
      <c r="S70" s="66"/>
    </row>
    <row r="71" spans="1:30" x14ac:dyDescent="0.25">
      <c r="A71" s="7"/>
      <c r="B71" s="57"/>
      <c r="C71" s="7"/>
      <c r="D71" s="7"/>
      <c r="E71" s="7"/>
      <c r="F71" s="7"/>
      <c r="G71" s="7"/>
      <c r="H71" s="7"/>
      <c r="I71" s="125"/>
      <c r="J71" s="120"/>
      <c r="K71" s="120"/>
      <c r="L71" s="120"/>
      <c r="M71" s="120"/>
      <c r="N71" s="120"/>
      <c r="O71" s="130"/>
      <c r="P71" s="118"/>
      <c r="R71" s="85"/>
      <c r="S71" s="85"/>
      <c r="T71" s="91"/>
      <c r="U71" s="91"/>
      <c r="V71" s="91"/>
      <c r="W71" s="91"/>
      <c r="X71" s="91"/>
      <c r="Y71" s="91"/>
      <c r="Z71" s="91"/>
      <c r="AA71" s="91"/>
      <c r="AB71" s="91"/>
      <c r="AC71" s="91"/>
      <c r="AD71" s="91"/>
    </row>
    <row r="72" spans="1:30" x14ac:dyDescent="0.25">
      <c r="A72" s="7"/>
      <c r="B72" s="57" t="s">
        <v>168</v>
      </c>
      <c r="C72" s="7"/>
      <c r="D72" s="7"/>
      <c r="E72" s="136"/>
      <c r="F72" s="136"/>
      <c r="G72" s="136"/>
      <c r="H72" s="136"/>
      <c r="I72" s="125"/>
      <c r="J72" s="195">
        <f t="shared" ref="J72:N72" si="16">J68*J70</f>
        <v>51.895053000000011</v>
      </c>
      <c r="K72" s="11">
        <f t="shared" si="16"/>
        <v>54.749280915000007</v>
      </c>
      <c r="L72" s="11">
        <f t="shared" si="16"/>
        <v>57.760491365325016</v>
      </c>
      <c r="M72" s="11">
        <f t="shared" si="16"/>
        <v>60.937318390417893</v>
      </c>
      <c r="N72" s="11">
        <f t="shared" si="16"/>
        <v>64.288870901890874</v>
      </c>
      <c r="O72" s="11">
        <f>O68*O70</f>
        <v>67.824758801494866</v>
      </c>
      <c r="P72" s="118"/>
      <c r="R72" s="85"/>
      <c r="S72" s="85"/>
      <c r="T72" s="91"/>
      <c r="U72" s="91"/>
      <c r="V72" s="91"/>
      <c r="W72" s="91"/>
      <c r="X72" s="91"/>
      <c r="Y72" s="91"/>
      <c r="Z72" s="91"/>
      <c r="AA72" s="91"/>
      <c r="AB72" s="91"/>
      <c r="AC72" s="91"/>
      <c r="AD72" s="91"/>
    </row>
    <row r="73" spans="1:30" x14ac:dyDescent="0.25">
      <c r="A73" s="7"/>
      <c r="B73" s="134"/>
      <c r="C73" s="7"/>
      <c r="D73" s="7"/>
      <c r="E73" s="133"/>
      <c r="F73" s="133"/>
      <c r="G73" s="133"/>
      <c r="H73" s="133"/>
      <c r="I73" s="132"/>
      <c r="J73" s="131"/>
      <c r="K73" s="131"/>
      <c r="L73" s="131"/>
      <c r="M73" s="131"/>
      <c r="N73" s="131"/>
      <c r="O73" s="130"/>
      <c r="P73" s="118"/>
      <c r="R73" s="85"/>
      <c r="S73" s="85"/>
      <c r="T73" s="91"/>
      <c r="U73" s="91"/>
      <c r="V73" s="91"/>
      <c r="W73" s="91"/>
      <c r="X73" s="91"/>
      <c r="Y73" s="91"/>
      <c r="Z73" s="91"/>
      <c r="AA73" s="91"/>
      <c r="AB73" s="91"/>
      <c r="AC73" s="91"/>
      <c r="AD73" s="91"/>
    </row>
    <row r="74" spans="1:30" x14ac:dyDescent="0.25">
      <c r="A74" s="7"/>
      <c r="B74" s="198" t="s">
        <v>167</v>
      </c>
      <c r="C74" s="183"/>
      <c r="D74" s="183"/>
      <c r="E74" s="183"/>
      <c r="F74" s="183"/>
      <c r="G74" s="183"/>
      <c r="H74" s="183"/>
      <c r="I74" s="188"/>
      <c r="J74" s="197">
        <f>J23</f>
        <v>0.19347247990105135</v>
      </c>
      <c r="K74" s="197">
        <f t="shared" ref="K74:N74" si="17">K23</f>
        <v>0.19677798392084109</v>
      </c>
      <c r="L74" s="197">
        <f t="shared" si="17"/>
        <v>0.20008348794063083</v>
      </c>
      <c r="M74" s="197">
        <f t="shared" si="17"/>
        <v>0.20338899196042057</v>
      </c>
      <c r="N74" s="197">
        <f t="shared" si="17"/>
        <v>0.20669449598021031</v>
      </c>
      <c r="O74" s="197">
        <f>O23</f>
        <v>0.21</v>
      </c>
      <c r="P74" s="118"/>
      <c r="R74" s="85"/>
      <c r="S74" s="85"/>
      <c r="T74" s="91"/>
      <c r="U74" s="91"/>
      <c r="V74" s="91"/>
      <c r="W74" s="91"/>
      <c r="X74" s="91"/>
      <c r="Y74" s="91"/>
      <c r="Z74" s="91"/>
      <c r="AA74" s="91"/>
      <c r="AB74" s="91"/>
      <c r="AC74" s="91"/>
      <c r="AD74" s="91"/>
    </row>
    <row r="75" spans="1:30" x14ac:dyDescent="0.25">
      <c r="A75" s="7"/>
      <c r="B75" s="7"/>
      <c r="C75" s="7"/>
      <c r="D75" s="7"/>
      <c r="E75" s="7"/>
      <c r="F75" s="7"/>
      <c r="G75" s="7"/>
      <c r="H75" s="7"/>
      <c r="I75" s="128"/>
      <c r="J75" s="7"/>
      <c r="K75" s="7"/>
      <c r="L75" s="7"/>
      <c r="M75" s="7"/>
      <c r="N75" s="7"/>
      <c r="O75" s="31"/>
      <c r="P75" s="118"/>
      <c r="R75" s="90"/>
      <c r="S75" s="89"/>
      <c r="T75" s="63"/>
      <c r="U75" s="88"/>
      <c r="V75" s="63"/>
      <c r="W75" s="88"/>
      <c r="X75" s="63"/>
      <c r="Y75" s="88"/>
      <c r="Z75" s="63"/>
      <c r="AA75" s="88"/>
      <c r="AB75" s="63"/>
      <c r="AC75" s="88"/>
      <c r="AD75" s="63"/>
    </row>
    <row r="76" spans="1:30" x14ac:dyDescent="0.25">
      <c r="A76" s="7"/>
      <c r="B76" s="108" t="s">
        <v>166</v>
      </c>
      <c r="C76" s="126"/>
      <c r="D76" s="126"/>
      <c r="E76" s="126"/>
      <c r="F76" s="126"/>
      <c r="G76" s="126"/>
      <c r="H76" s="126"/>
      <c r="I76" s="125"/>
      <c r="J76" s="108">
        <f t="shared" ref="J76:N76" si="18">J72*(1-J74)</f>
        <v>41.854788401493515</v>
      </c>
      <c r="K76" s="108">
        <f t="shared" si="18"/>
        <v>43.975827795430526</v>
      </c>
      <c r="L76" s="108">
        <f t="shared" si="18"/>
        <v>46.203570787786099</v>
      </c>
      <c r="M76" s="108">
        <f t="shared" si="18"/>
        <v>48.543338630219601</v>
      </c>
      <c r="N76" s="108">
        <f t="shared" si="18"/>
        <v>51.000715133687734</v>
      </c>
      <c r="O76" s="108">
        <f>O72*(1-O74)</f>
        <v>53.581559453180944</v>
      </c>
      <c r="P76" s="118"/>
      <c r="R76" s="85"/>
      <c r="S76" s="85"/>
      <c r="T76" s="84"/>
      <c r="U76" s="84"/>
      <c r="V76" s="84"/>
      <c r="W76" s="84"/>
      <c r="X76" s="84"/>
      <c r="Y76" s="84"/>
      <c r="Z76" s="84"/>
      <c r="AA76" s="84"/>
      <c r="AB76" s="84"/>
      <c r="AC76" s="84"/>
      <c r="AD76" s="84"/>
    </row>
    <row r="77" spans="1:30" x14ac:dyDescent="0.25">
      <c r="A77" s="7"/>
      <c r="B77" s="120"/>
      <c r="C77" s="11"/>
      <c r="D77" s="11"/>
      <c r="E77" s="119"/>
      <c r="F77" s="119"/>
      <c r="G77" s="119"/>
      <c r="H77" s="119"/>
      <c r="I77" s="122"/>
      <c r="J77" s="123"/>
      <c r="K77" s="123"/>
      <c r="L77" s="123"/>
      <c r="M77" s="123"/>
      <c r="N77" s="123"/>
      <c r="O77" s="123"/>
      <c r="P77" s="118"/>
      <c r="R77" s="87"/>
      <c r="S77" s="87"/>
      <c r="T77" s="86"/>
      <c r="U77" s="86"/>
      <c r="V77" s="86"/>
      <c r="W77" s="86"/>
      <c r="X77" s="86"/>
      <c r="Y77" s="86"/>
      <c r="Z77" s="86"/>
      <c r="AA77" s="86"/>
      <c r="AB77" s="86"/>
      <c r="AC77" s="86"/>
      <c r="AD77" s="86"/>
    </row>
    <row r="78" spans="1:30" x14ac:dyDescent="0.25">
      <c r="A78" s="7"/>
      <c r="B78" s="120" t="s">
        <v>149</v>
      </c>
      <c r="C78" s="11"/>
      <c r="D78" s="11"/>
      <c r="E78" s="119"/>
      <c r="F78" s="119"/>
      <c r="G78" s="119"/>
      <c r="H78" s="119"/>
      <c r="I78" s="122"/>
      <c r="J78" s="157">
        <v>0.35</v>
      </c>
      <c r="K78" s="157">
        <v>0.35</v>
      </c>
      <c r="L78" s="157">
        <v>0.35</v>
      </c>
      <c r="M78" s="157">
        <v>0.35</v>
      </c>
      <c r="N78" s="157">
        <v>0.35</v>
      </c>
      <c r="O78" s="157">
        <v>0.35</v>
      </c>
      <c r="P78" s="118"/>
      <c r="R78" s="87"/>
      <c r="S78" s="87"/>
      <c r="T78" s="86"/>
      <c r="U78" s="86"/>
      <c r="V78" s="86"/>
      <c r="W78" s="86"/>
      <c r="X78" s="86"/>
      <c r="Y78" s="86"/>
      <c r="Z78" s="86"/>
      <c r="AA78" s="86"/>
      <c r="AB78" s="86"/>
      <c r="AC78" s="86"/>
      <c r="AD78" s="86"/>
    </row>
    <row r="79" spans="1:30" x14ac:dyDescent="0.25">
      <c r="A79" s="7"/>
      <c r="B79" s="120"/>
      <c r="C79" s="11"/>
      <c r="D79" s="11"/>
      <c r="E79" s="119"/>
      <c r="F79" s="119"/>
      <c r="G79" s="119"/>
      <c r="H79" s="119"/>
      <c r="I79" s="122"/>
      <c r="J79" s="123"/>
      <c r="K79" s="123"/>
      <c r="L79" s="123"/>
      <c r="M79" s="123"/>
      <c r="N79" s="123"/>
      <c r="O79" s="123"/>
      <c r="P79" s="118"/>
      <c r="R79" s="66"/>
      <c r="S79" s="66"/>
    </row>
    <row r="80" spans="1:30" x14ac:dyDescent="0.25">
      <c r="A80" s="7"/>
      <c r="B80" s="11"/>
      <c r="C80" s="11"/>
      <c r="D80" s="11"/>
      <c r="E80" s="119"/>
      <c r="F80" s="119"/>
      <c r="G80" s="119"/>
      <c r="H80" s="119"/>
      <c r="I80" s="122"/>
      <c r="J80" s="121">
        <v>1</v>
      </c>
      <c r="K80" s="121">
        <v>2</v>
      </c>
      <c r="L80" s="121">
        <v>3</v>
      </c>
      <c r="M80" s="121">
        <v>4</v>
      </c>
      <c r="N80" s="121">
        <v>5</v>
      </c>
      <c r="O80" s="121">
        <v>6</v>
      </c>
      <c r="P80" s="118"/>
      <c r="R80" s="66"/>
      <c r="S80" s="66"/>
    </row>
    <row r="81" spans="1:26" x14ac:dyDescent="0.25">
      <c r="A81" s="7"/>
      <c r="B81" s="120" t="s">
        <v>165</v>
      </c>
      <c r="C81" s="11"/>
      <c r="D81" s="11"/>
      <c r="E81" s="119"/>
      <c r="F81" s="119"/>
      <c r="G81" s="119"/>
      <c r="H81" s="115" t="s">
        <v>164</v>
      </c>
      <c r="I81" s="115"/>
      <c r="J81" s="114">
        <f>J76*(1-J78)</f>
        <v>27.205612460970787</v>
      </c>
      <c r="K81" s="114">
        <f t="shared" ref="K81:N81" si="19">K76*(1-K78)</f>
        <v>28.584288067029842</v>
      </c>
      <c r="L81" s="114">
        <f t="shared" si="19"/>
        <v>30.032321012060965</v>
      </c>
      <c r="M81" s="114">
        <f t="shared" si="19"/>
        <v>31.553170109642743</v>
      </c>
      <c r="N81" s="114">
        <f t="shared" si="19"/>
        <v>33.150464836897029</v>
      </c>
      <c r="O81" s="114">
        <f>O76*(1-O78)</f>
        <v>34.828013644567612</v>
      </c>
      <c r="P81" s="118"/>
      <c r="R81" s="66"/>
      <c r="S81" s="66"/>
    </row>
    <row r="82" spans="1:26" x14ac:dyDescent="0.25">
      <c r="A82" s="7"/>
      <c r="B82" s="7"/>
      <c r="C82" s="21"/>
      <c r="D82" s="21"/>
      <c r="E82" s="21"/>
      <c r="F82" s="21"/>
      <c r="G82" s="21"/>
      <c r="H82" s="274" t="s">
        <v>119</v>
      </c>
      <c r="I82" s="275"/>
      <c r="J82" s="116">
        <f>J36</f>
        <v>9.8742017953262415E-2</v>
      </c>
      <c r="K82" s="116">
        <f>K36</f>
        <v>9.6306437982646861E-2</v>
      </c>
      <c r="L82" s="116">
        <f>L36</f>
        <v>9.3870858012031308E-2</v>
      </c>
      <c r="M82" s="116">
        <f t="shared" ref="M82" si="20">M36</f>
        <v>9.1435278041415755E-2</v>
      </c>
      <c r="N82" s="116">
        <f>N36</f>
        <v>8.8999698070800201E-2</v>
      </c>
      <c r="O82" s="116">
        <f>R36</f>
        <v>7.9257378188338043E-2</v>
      </c>
      <c r="P82" s="7"/>
      <c r="R82" s="66"/>
      <c r="S82" s="66"/>
    </row>
    <row r="83" spans="1:26" x14ac:dyDescent="0.25">
      <c r="A83" s="7"/>
      <c r="B83" s="7"/>
      <c r="C83" s="21"/>
      <c r="D83" s="21"/>
      <c r="E83" s="21"/>
      <c r="F83" s="21"/>
      <c r="G83" s="21"/>
      <c r="H83" s="115" t="s">
        <v>163</v>
      </c>
      <c r="I83" s="22"/>
      <c r="J83" s="114">
        <f t="shared" ref="J83:N83" si="21">J81/((1+J82)^J80)</f>
        <v>24.760691787913444</v>
      </c>
      <c r="K83" s="114">
        <f t="shared" si="21"/>
        <v>23.782825589237117</v>
      </c>
      <c r="L83" s="114">
        <f t="shared" si="21"/>
        <v>22.945141500499247</v>
      </c>
      <c r="M83" s="114">
        <f t="shared" si="21"/>
        <v>22.235712493336763</v>
      </c>
      <c r="N83" s="114">
        <f t="shared" si="21"/>
        <v>21.644662868395535</v>
      </c>
      <c r="O83" s="114">
        <f>O81/((1+O82)^O80)</f>
        <v>22.038323204406563</v>
      </c>
      <c r="P83" s="7"/>
      <c r="R83" s="66"/>
      <c r="S83" s="66"/>
    </row>
    <row r="84" spans="1:26" ht="15.75" thickBot="1" x14ac:dyDescent="0.3">
      <c r="A84" s="7"/>
      <c r="B84" s="7"/>
      <c r="C84" s="7"/>
      <c r="D84" s="7"/>
      <c r="E84" s="7"/>
      <c r="F84" s="7"/>
      <c r="G84" s="7"/>
      <c r="H84" s="7"/>
      <c r="I84" s="113" t="s">
        <v>162</v>
      </c>
      <c r="J84" s="112">
        <f>SUM(J83:P83)</f>
        <v>137.40735744378867</v>
      </c>
      <c r="K84" s="7"/>
      <c r="L84" s="7"/>
      <c r="M84" s="7"/>
      <c r="N84" s="7"/>
      <c r="O84" s="31"/>
      <c r="P84" s="7"/>
      <c r="Q84" s="67"/>
      <c r="R84" s="66"/>
      <c r="S84" s="66"/>
    </row>
    <row r="85" spans="1:26" x14ac:dyDescent="0.25">
      <c r="A85" s="7"/>
      <c r="B85" s="7" t="s">
        <v>161</v>
      </c>
      <c r="C85" s="111">
        <v>0.03</v>
      </c>
      <c r="D85" s="7"/>
      <c r="E85" s="7"/>
      <c r="F85" s="7"/>
      <c r="G85" s="7"/>
      <c r="H85" s="7"/>
      <c r="I85" s="21"/>
      <c r="J85" s="11"/>
      <c r="K85" s="7"/>
      <c r="L85" s="7"/>
      <c r="M85" s="7"/>
      <c r="N85" s="7"/>
      <c r="O85" s="31"/>
      <c r="P85" s="7"/>
      <c r="Q85" s="67"/>
      <c r="R85" s="66"/>
      <c r="S85" s="66"/>
    </row>
    <row r="86" spans="1:26" x14ac:dyDescent="0.25">
      <c r="A86" s="7" t="s">
        <v>153</v>
      </c>
      <c r="B86" s="7" t="s">
        <v>160</v>
      </c>
      <c r="C86" s="7"/>
      <c r="D86" s="7"/>
      <c r="E86" s="7"/>
      <c r="F86" s="7"/>
      <c r="G86" s="7"/>
      <c r="H86" s="7"/>
      <c r="I86" s="7"/>
      <c r="J86" s="109"/>
      <c r="K86" s="7"/>
      <c r="L86" s="7"/>
      <c r="M86" s="7"/>
      <c r="N86" s="108">
        <f>O83/(O82-C85)</f>
        <v>447.41161659359813</v>
      </c>
      <c r="O86" s="31"/>
      <c r="P86" s="7"/>
      <c r="Q86" s="67"/>
      <c r="R86" s="66"/>
      <c r="S86" s="66"/>
    </row>
    <row r="87" spans="1:26" x14ac:dyDescent="0.25">
      <c r="A87" s="7"/>
      <c r="B87" s="38" t="s">
        <v>159</v>
      </c>
      <c r="C87" s="38"/>
      <c r="D87" s="38"/>
      <c r="E87" s="38"/>
      <c r="F87" s="38"/>
      <c r="G87" s="38"/>
      <c r="H87" s="38"/>
      <c r="I87" s="38"/>
      <c r="J87" s="38"/>
      <c r="K87" s="38"/>
      <c r="L87" s="38"/>
      <c r="M87" s="38"/>
      <c r="N87" s="107">
        <f>N86/((1+O82)^O80)</f>
        <v>283.11123087646189</v>
      </c>
      <c r="O87" s="31"/>
      <c r="P87" s="7"/>
      <c r="Q87" s="67"/>
      <c r="R87" s="66"/>
      <c r="S87" s="66"/>
      <c r="T87" s="61"/>
      <c r="U87" s="61"/>
      <c r="V87" s="61"/>
      <c r="W87" s="61"/>
      <c r="X87" s="61"/>
      <c r="Y87" s="61"/>
      <c r="Z87" s="61"/>
    </row>
    <row r="88" spans="1:26" x14ac:dyDescent="0.25">
      <c r="A88" s="7"/>
      <c r="B88" s="21" t="s">
        <v>158</v>
      </c>
      <c r="C88" s="21"/>
      <c r="D88" s="21"/>
      <c r="E88" s="21"/>
      <c r="F88" s="21"/>
      <c r="G88" s="21"/>
      <c r="H88" s="21"/>
      <c r="I88" s="21"/>
      <c r="J88" s="21"/>
      <c r="K88" s="21"/>
      <c r="L88" s="21"/>
      <c r="M88" s="21"/>
      <c r="N88" s="106">
        <f>J84+N87</f>
        <v>420.51858832025056</v>
      </c>
      <c r="O88" s="31"/>
      <c r="P88" s="7"/>
      <c r="Q88" s="67"/>
      <c r="R88" s="66"/>
      <c r="S88" s="66"/>
      <c r="T88" s="61"/>
      <c r="U88" s="61"/>
      <c r="V88" s="61"/>
      <c r="W88" s="61"/>
      <c r="X88" s="61"/>
      <c r="Y88" s="61"/>
      <c r="Z88" s="61"/>
    </row>
    <row r="89" spans="1:26" x14ac:dyDescent="0.25">
      <c r="A89" s="7"/>
      <c r="B89" s="105" t="s">
        <v>157</v>
      </c>
      <c r="C89" s="7"/>
      <c r="D89" s="7"/>
      <c r="E89" s="7"/>
      <c r="F89" s="7"/>
      <c r="G89" s="7"/>
      <c r="H89" s="7"/>
      <c r="I89" s="7"/>
      <c r="J89" s="7"/>
      <c r="K89" s="7"/>
      <c r="L89" s="7"/>
      <c r="M89" s="7"/>
      <c r="N89" s="158">
        <v>45.859000000000002</v>
      </c>
      <c r="O89" s="31"/>
      <c r="P89" s="7"/>
      <c r="Q89" s="67"/>
      <c r="R89" s="66"/>
      <c r="S89" s="66"/>
      <c r="T89" s="61"/>
      <c r="U89" s="61"/>
      <c r="V89" s="61"/>
      <c r="W89" s="61"/>
      <c r="X89" s="61"/>
      <c r="Y89" s="61"/>
      <c r="Z89" s="61"/>
    </row>
    <row r="90" spans="1:26" x14ac:dyDescent="0.25">
      <c r="A90" s="7"/>
      <c r="B90" s="104" t="s">
        <v>156</v>
      </c>
      <c r="C90" s="38"/>
      <c r="D90" s="38"/>
      <c r="E90" s="38"/>
      <c r="F90" s="38"/>
      <c r="G90" s="38"/>
      <c r="H90" s="38"/>
      <c r="I90" s="38"/>
      <c r="J90" s="38"/>
      <c r="K90" s="38"/>
      <c r="L90" s="38"/>
      <c r="M90" s="38"/>
      <c r="N90" s="158">
        <f>47.928+7.078</f>
        <v>55.006</v>
      </c>
      <c r="O90" s="31"/>
      <c r="P90" s="7"/>
      <c r="Q90" s="67"/>
      <c r="R90" s="66"/>
      <c r="S90" s="66"/>
      <c r="T90" s="61"/>
      <c r="U90" s="61"/>
      <c r="V90" s="61"/>
      <c r="W90" s="61"/>
      <c r="X90" s="61"/>
      <c r="Y90" s="61"/>
      <c r="Z90" s="61"/>
    </row>
    <row r="91" spans="1:26" x14ac:dyDescent="0.25">
      <c r="A91" s="7"/>
      <c r="B91" s="21" t="s">
        <v>155</v>
      </c>
      <c r="C91" s="21"/>
      <c r="D91" s="21"/>
      <c r="E91" s="21"/>
      <c r="F91" s="21"/>
      <c r="G91" s="21"/>
      <c r="H91" s="21"/>
      <c r="I91" s="21"/>
      <c r="J91" s="21"/>
      <c r="K91" s="21"/>
      <c r="L91" s="21"/>
      <c r="M91" s="21"/>
      <c r="N91" s="103">
        <f>N88+N89-N90</f>
        <v>411.37158832025057</v>
      </c>
      <c r="O91" s="31"/>
      <c r="P91" s="7"/>
      <c r="Q91" s="67"/>
      <c r="R91" s="66"/>
      <c r="S91" s="66"/>
      <c r="T91" s="61"/>
      <c r="U91" s="61"/>
      <c r="V91" s="61"/>
      <c r="W91" s="61"/>
      <c r="X91" s="61"/>
      <c r="Y91" s="61"/>
      <c r="Z91" s="61"/>
    </row>
    <row r="92" spans="1:26" x14ac:dyDescent="0.25">
      <c r="A92" s="7"/>
      <c r="B92" s="38" t="s">
        <v>154</v>
      </c>
      <c r="C92" s="38"/>
      <c r="D92" s="38"/>
      <c r="E92" s="38"/>
      <c r="F92" s="38"/>
      <c r="G92" s="38"/>
      <c r="H92" s="38"/>
      <c r="I92" s="38"/>
      <c r="J92" s="38"/>
      <c r="K92" s="38"/>
      <c r="L92" s="38"/>
      <c r="M92" s="38"/>
      <c r="N92" s="102">
        <f>4.92</f>
        <v>4.92</v>
      </c>
      <c r="O92" s="31"/>
      <c r="P92" s="7"/>
      <c r="Q92" s="67"/>
      <c r="R92" s="66"/>
      <c r="S92" s="66"/>
      <c r="T92" s="61"/>
      <c r="U92" s="61"/>
      <c r="V92" s="61"/>
      <c r="W92" s="61"/>
      <c r="X92" s="61"/>
      <c r="Y92" s="61"/>
      <c r="Z92" s="61"/>
    </row>
    <row r="93" spans="1:26" x14ac:dyDescent="0.25">
      <c r="A93" s="7" t="s">
        <v>153</v>
      </c>
      <c r="B93" s="21" t="s">
        <v>152</v>
      </c>
      <c r="C93" s="21"/>
      <c r="D93" s="21"/>
      <c r="E93" s="21"/>
      <c r="F93" s="21"/>
      <c r="G93" s="21"/>
      <c r="H93" s="21"/>
      <c r="I93" s="21"/>
      <c r="J93" s="21"/>
      <c r="K93" s="21"/>
      <c r="L93" s="21"/>
      <c r="M93" s="21"/>
      <c r="N93" s="101">
        <f>N91/N92</f>
        <v>83.612111447205407</v>
      </c>
      <c r="O93" s="31"/>
      <c r="P93" s="7"/>
      <c r="Q93" s="67"/>
      <c r="R93" s="66"/>
      <c r="S93" s="66"/>
      <c r="T93" s="61"/>
      <c r="U93" s="61"/>
      <c r="V93" s="61"/>
      <c r="W93" s="61"/>
      <c r="X93" s="61"/>
      <c r="Y93" s="61"/>
      <c r="Z93" s="61"/>
    </row>
    <row r="94" spans="1:26" ht="15.75" thickBot="1" x14ac:dyDescent="0.3">
      <c r="A94" s="7"/>
      <c r="B94" s="21" t="s">
        <v>151</v>
      </c>
      <c r="C94" s="21"/>
      <c r="D94" s="21"/>
      <c r="E94" s="21"/>
      <c r="F94" s="21"/>
      <c r="G94" s="21"/>
      <c r="H94" s="21"/>
      <c r="I94" s="21"/>
      <c r="J94" s="21"/>
      <c r="K94" s="21"/>
      <c r="L94" s="21"/>
      <c r="M94" s="21"/>
      <c r="N94" s="101">
        <v>128</v>
      </c>
      <c r="O94" s="31"/>
      <c r="P94" s="7"/>
      <c r="Q94" s="67"/>
      <c r="R94" s="66"/>
      <c r="S94" s="66"/>
      <c r="T94" s="61"/>
      <c r="U94" s="61"/>
      <c r="V94" s="61"/>
      <c r="W94" s="61"/>
      <c r="X94" s="61"/>
      <c r="Y94" s="61"/>
      <c r="Z94" s="61"/>
    </row>
    <row r="95" spans="1:26" ht="15.75" thickBot="1" x14ac:dyDescent="0.3">
      <c r="A95" s="7"/>
      <c r="B95" s="21" t="s">
        <v>150</v>
      </c>
      <c r="C95" s="7"/>
      <c r="D95" s="7"/>
      <c r="E95" s="7"/>
      <c r="F95" s="7"/>
      <c r="G95" s="7"/>
      <c r="H95" s="7"/>
      <c r="I95" s="7"/>
      <c r="J95" s="7"/>
      <c r="K95" s="7"/>
      <c r="L95" s="7"/>
      <c r="M95" s="7"/>
      <c r="N95" s="205">
        <f>(N93-N94)/N94</f>
        <v>-0.34678037931870775</v>
      </c>
      <c r="O95" s="31"/>
      <c r="P95" s="7"/>
      <c r="Q95" s="67"/>
      <c r="R95" s="66"/>
      <c r="S95" s="66"/>
      <c r="T95" s="61"/>
      <c r="U95" s="61"/>
      <c r="V95" s="61"/>
      <c r="W95" s="61"/>
      <c r="X95" s="61"/>
      <c r="Y95" s="61"/>
      <c r="Z95" s="61"/>
    </row>
    <row r="96" spans="1:26" x14ac:dyDescent="0.25">
      <c r="A96" s="100"/>
      <c r="B96" s="100"/>
      <c r="C96" s="100"/>
      <c r="D96" s="100"/>
      <c r="E96" s="100"/>
      <c r="F96" s="100"/>
      <c r="G96" s="100"/>
      <c r="H96" s="100"/>
      <c r="I96" s="100"/>
      <c r="J96" s="100"/>
      <c r="K96" s="100"/>
      <c r="L96" s="100"/>
      <c r="M96" s="100"/>
      <c r="N96" s="7"/>
      <c r="O96" s="31"/>
      <c r="P96" s="7"/>
      <c r="Q96" s="67"/>
      <c r="R96" s="66"/>
      <c r="S96" s="66"/>
      <c r="T96" s="61"/>
      <c r="U96" s="61"/>
      <c r="V96" s="61"/>
      <c r="W96" s="61"/>
      <c r="X96" s="61"/>
      <c r="Y96" s="61"/>
      <c r="Z96" s="61"/>
    </row>
    <row r="97" spans="1:26" x14ac:dyDescent="0.25">
      <c r="A97" s="67"/>
      <c r="B97" s="67"/>
      <c r="C97" s="67"/>
      <c r="D97" s="67"/>
      <c r="E97" s="80"/>
      <c r="F97" s="80"/>
      <c r="G97" s="80"/>
      <c r="H97" s="80"/>
      <c r="I97" s="75"/>
      <c r="J97" s="75"/>
      <c r="K97" s="75"/>
      <c r="L97" s="75"/>
      <c r="M97" s="75"/>
      <c r="N97" s="75"/>
      <c r="O97" s="75"/>
      <c r="P97" s="67"/>
      <c r="Q97" s="67"/>
      <c r="R97" s="66"/>
      <c r="S97" s="66"/>
      <c r="T97" s="61"/>
      <c r="U97" s="61"/>
      <c r="V97" s="61"/>
      <c r="W97" s="61"/>
      <c r="X97" s="61"/>
      <c r="Y97" s="61"/>
      <c r="Z97" s="61"/>
    </row>
    <row r="98" spans="1:26" x14ac:dyDescent="0.25">
      <c r="A98" s="7"/>
      <c r="B98" s="152" t="s">
        <v>269</v>
      </c>
      <c r="C98" s="151"/>
      <c r="D98" s="151"/>
      <c r="E98" s="151"/>
      <c r="F98" s="151"/>
      <c r="G98" s="151"/>
      <c r="H98" s="151"/>
      <c r="I98" s="7"/>
      <c r="J98" s="7"/>
      <c r="K98" s="7"/>
      <c r="L98" s="7"/>
      <c r="M98" s="7"/>
      <c r="N98" s="7"/>
      <c r="O98" s="7"/>
      <c r="P98" s="67"/>
      <c r="Q98" s="67"/>
      <c r="R98" s="66"/>
      <c r="S98" s="66"/>
      <c r="T98" s="61"/>
      <c r="U98" s="61"/>
      <c r="V98" s="61"/>
      <c r="W98" s="61"/>
      <c r="X98" s="61"/>
      <c r="Y98" s="61"/>
      <c r="Z98" s="61"/>
    </row>
    <row r="99" spans="1:26" x14ac:dyDescent="0.25">
      <c r="A99" s="7"/>
      <c r="B99" s="31"/>
      <c r="C99" s="31"/>
      <c r="D99" s="31"/>
      <c r="E99" s="31"/>
      <c r="F99" s="31"/>
      <c r="G99" s="31"/>
      <c r="H99" s="31"/>
      <c r="I99" s="31"/>
      <c r="J99" s="31"/>
      <c r="K99" s="31"/>
      <c r="L99" s="31"/>
      <c r="M99" s="7"/>
      <c r="N99" s="7"/>
      <c r="O99" s="7"/>
      <c r="P99" s="67"/>
      <c r="Q99" s="67"/>
      <c r="R99" s="66"/>
      <c r="S99" s="66"/>
      <c r="T99" s="61"/>
      <c r="U99" s="61"/>
      <c r="V99" s="61"/>
      <c r="W99" s="61"/>
      <c r="X99" s="61"/>
      <c r="Y99" s="61"/>
      <c r="Z99" s="61"/>
    </row>
    <row r="100" spans="1:26" ht="18.75" x14ac:dyDescent="0.25">
      <c r="A100" s="7"/>
      <c r="B100" s="31"/>
      <c r="C100" s="60"/>
      <c r="D100" s="31"/>
      <c r="E100" s="31"/>
      <c r="F100" s="31"/>
      <c r="G100" s="155"/>
      <c r="H100" s="31"/>
      <c r="I100" s="31"/>
      <c r="J100" s="31"/>
      <c r="K100" s="60"/>
      <c r="L100" s="31"/>
      <c r="M100" s="150"/>
      <c r="N100" s="149"/>
      <c r="O100" s="149"/>
      <c r="P100" s="67"/>
      <c r="Q100" s="67"/>
      <c r="R100" s="66"/>
      <c r="S100" s="66"/>
      <c r="T100" s="61"/>
      <c r="U100" s="61"/>
      <c r="V100" s="61"/>
      <c r="W100" s="61"/>
      <c r="X100" s="61"/>
      <c r="Y100" s="61"/>
      <c r="Z100" s="61"/>
    </row>
    <row r="101" spans="1:26" ht="18.75" x14ac:dyDescent="0.25">
      <c r="A101" s="7"/>
      <c r="B101" s="31"/>
      <c r="C101" s="156"/>
      <c r="D101" s="31"/>
      <c r="E101" s="31"/>
      <c r="F101" s="31"/>
      <c r="G101" s="155"/>
      <c r="H101" s="31"/>
      <c r="I101" s="31"/>
      <c r="J101" s="31"/>
      <c r="K101" s="60"/>
      <c r="L101" s="31"/>
      <c r="M101" s="150"/>
      <c r="N101" s="149"/>
      <c r="O101" s="149"/>
      <c r="P101" s="67"/>
      <c r="Q101" s="67"/>
      <c r="R101" s="66"/>
      <c r="S101" s="66"/>
      <c r="T101" s="61"/>
      <c r="U101" s="61"/>
      <c r="V101" s="61"/>
      <c r="W101" s="61"/>
      <c r="X101" s="61"/>
      <c r="Y101" s="61"/>
      <c r="Z101" s="61"/>
    </row>
    <row r="102" spans="1:26" ht="18.75" x14ac:dyDescent="0.25">
      <c r="A102" s="7"/>
      <c r="B102" s="7"/>
      <c r="C102" s="7"/>
      <c r="D102" s="7"/>
      <c r="E102" s="7"/>
      <c r="F102" s="7"/>
      <c r="G102" s="7"/>
      <c r="H102" s="7"/>
      <c r="I102" s="7"/>
      <c r="J102" s="7"/>
      <c r="K102" s="7"/>
      <c r="L102" s="7"/>
      <c r="M102" s="7"/>
      <c r="N102" s="149"/>
      <c r="O102" s="149"/>
      <c r="P102" s="67"/>
      <c r="Q102" s="67"/>
      <c r="R102" s="66"/>
      <c r="S102" s="66"/>
      <c r="T102" s="61"/>
      <c r="U102" s="61"/>
      <c r="V102" s="61"/>
      <c r="W102" s="61"/>
      <c r="X102" s="61"/>
      <c r="Y102" s="61"/>
      <c r="Z102" s="61"/>
    </row>
    <row r="103" spans="1:26" x14ac:dyDescent="0.25">
      <c r="A103" s="7"/>
      <c r="B103" s="146"/>
      <c r="C103" s="147"/>
      <c r="D103" s="147"/>
      <c r="E103" s="147"/>
      <c r="F103" s="147"/>
      <c r="G103" s="147"/>
      <c r="H103" s="147"/>
      <c r="I103" s="147"/>
      <c r="J103" s="147"/>
      <c r="K103" s="147"/>
      <c r="L103" s="147"/>
      <c r="M103" s="147"/>
      <c r="N103" s="147"/>
      <c r="O103" s="7"/>
      <c r="P103" s="67"/>
      <c r="Q103" s="67"/>
      <c r="R103" s="66"/>
      <c r="S103" s="66"/>
      <c r="T103" s="61"/>
      <c r="U103" s="61"/>
      <c r="V103" s="61"/>
      <c r="W103" s="61"/>
      <c r="X103" s="61"/>
      <c r="Y103" s="61"/>
      <c r="Z103" s="61"/>
    </row>
    <row r="104" spans="1:26" x14ac:dyDescent="0.25">
      <c r="A104" s="7"/>
      <c r="B104" s="21"/>
      <c r="C104" s="31"/>
      <c r="D104" s="31"/>
      <c r="E104" s="31"/>
      <c r="F104" s="7"/>
      <c r="G104" s="7"/>
      <c r="H104" s="7"/>
      <c r="I104" s="7"/>
      <c r="J104" s="7"/>
      <c r="K104" s="7"/>
      <c r="L104" s="7"/>
      <c r="M104" s="7"/>
      <c r="N104" s="7"/>
      <c r="O104" s="7"/>
      <c r="P104" s="67"/>
      <c r="Q104" s="67"/>
      <c r="R104" s="66"/>
      <c r="S104" s="66"/>
      <c r="T104" s="61"/>
      <c r="U104" s="61"/>
      <c r="V104" s="61"/>
      <c r="W104" s="61"/>
      <c r="X104" s="61"/>
      <c r="Y104" s="61"/>
      <c r="Z104" s="61"/>
    </row>
    <row r="105" spans="1:26" x14ac:dyDescent="0.25">
      <c r="A105" s="7"/>
      <c r="B105" s="7"/>
      <c r="C105" s="31"/>
      <c r="D105" s="148"/>
      <c r="E105" s="31"/>
      <c r="F105" s="7"/>
      <c r="G105" s="7"/>
      <c r="H105" s="7"/>
      <c r="I105" s="7"/>
      <c r="J105" s="7"/>
      <c r="K105" s="7"/>
      <c r="L105" s="7"/>
      <c r="M105" s="7"/>
      <c r="N105" s="7"/>
      <c r="O105" s="7"/>
      <c r="P105" s="67"/>
      <c r="Q105" s="67"/>
      <c r="R105" s="66"/>
      <c r="S105" s="66"/>
      <c r="T105" s="61"/>
      <c r="U105" s="61"/>
      <c r="V105" s="61"/>
      <c r="W105" s="61"/>
      <c r="X105" s="61"/>
      <c r="Y105" s="61"/>
      <c r="Z105" s="61"/>
    </row>
    <row r="106" spans="1:26" x14ac:dyDescent="0.25">
      <c r="A106" s="7"/>
      <c r="B106" s="7"/>
      <c r="C106" s="31"/>
      <c r="D106" s="148"/>
      <c r="E106" s="31"/>
      <c r="F106" s="7"/>
      <c r="G106" s="7"/>
      <c r="H106" s="7"/>
      <c r="I106" s="7"/>
      <c r="J106" s="7"/>
      <c r="K106" s="7"/>
      <c r="L106" s="7"/>
      <c r="M106" s="7"/>
      <c r="N106" s="7"/>
      <c r="O106" s="7"/>
      <c r="P106" s="67"/>
      <c r="Q106" s="67"/>
      <c r="R106" s="66"/>
      <c r="S106" s="66"/>
      <c r="T106" s="61"/>
      <c r="U106" s="61"/>
      <c r="V106" s="61"/>
      <c r="W106" s="61"/>
      <c r="X106" s="61"/>
      <c r="Y106" s="61"/>
      <c r="Z106" s="61"/>
    </row>
    <row r="107" spans="1:26" x14ac:dyDescent="0.25">
      <c r="A107" s="7"/>
      <c r="B107" s="7"/>
      <c r="C107" s="7"/>
      <c r="D107" s="7"/>
      <c r="E107" s="7"/>
      <c r="F107" s="7"/>
      <c r="G107" s="7"/>
      <c r="H107" s="7"/>
      <c r="I107" s="7"/>
      <c r="J107" s="7"/>
      <c r="K107" s="7"/>
      <c r="L107" s="7"/>
      <c r="M107" s="7"/>
      <c r="N107" s="7"/>
      <c r="O107" s="31"/>
      <c r="P107" s="67"/>
      <c r="Q107" s="67"/>
      <c r="R107" s="66"/>
      <c r="S107" s="66"/>
      <c r="T107" s="61"/>
      <c r="U107" s="61"/>
      <c r="V107" s="61"/>
      <c r="W107" s="61"/>
      <c r="X107" s="61"/>
      <c r="Y107" s="61"/>
      <c r="Z107" s="61"/>
    </row>
    <row r="108" spans="1:26" x14ac:dyDescent="0.25">
      <c r="A108" s="7"/>
      <c r="B108" s="146" t="s">
        <v>173</v>
      </c>
      <c r="C108" s="147"/>
      <c r="D108" s="147"/>
      <c r="E108" s="146"/>
      <c r="F108" s="146"/>
      <c r="G108" s="146"/>
      <c r="H108" s="146"/>
      <c r="I108" s="145" t="s">
        <v>172</v>
      </c>
      <c r="J108" s="145">
        <v>1</v>
      </c>
      <c r="K108" s="145">
        <v>2</v>
      </c>
      <c r="L108" s="145">
        <v>3</v>
      </c>
      <c r="M108" s="145">
        <v>4</v>
      </c>
      <c r="N108" s="145">
        <v>5</v>
      </c>
      <c r="O108" s="145">
        <v>6</v>
      </c>
      <c r="P108" s="145">
        <v>7</v>
      </c>
      <c r="Q108" s="145">
        <v>8</v>
      </c>
      <c r="R108" s="144" t="s">
        <v>60</v>
      </c>
      <c r="S108" s="66"/>
      <c r="T108" s="61"/>
      <c r="U108" s="61"/>
      <c r="V108" s="61"/>
      <c r="W108" s="61"/>
      <c r="X108" s="61"/>
      <c r="Y108" s="61"/>
      <c r="Z108" s="61"/>
    </row>
    <row r="109" spans="1:26" x14ac:dyDescent="0.25">
      <c r="A109" s="7"/>
      <c r="B109" s="7"/>
      <c r="C109" s="7"/>
      <c r="D109" s="7"/>
      <c r="E109" s="136"/>
      <c r="F109" s="136"/>
      <c r="G109" s="136"/>
      <c r="H109" s="136"/>
      <c r="I109" s="143"/>
      <c r="J109" s="142"/>
      <c r="K109" s="142"/>
      <c r="L109" s="142"/>
      <c r="M109" s="142"/>
      <c r="N109" s="142"/>
      <c r="O109" s="31"/>
      <c r="P109" s="67"/>
      <c r="Q109" s="67"/>
      <c r="R109" s="66"/>
      <c r="S109" s="66"/>
      <c r="T109" s="61"/>
      <c r="U109" s="61"/>
      <c r="V109" s="61"/>
      <c r="W109" s="61"/>
      <c r="X109" s="61"/>
      <c r="Y109" s="61"/>
      <c r="Z109" s="61"/>
    </row>
    <row r="110" spans="1:26" x14ac:dyDescent="0.25">
      <c r="A110" s="7"/>
      <c r="B110" s="182" t="s">
        <v>171</v>
      </c>
      <c r="C110" s="183"/>
      <c r="D110" s="183"/>
      <c r="E110" s="184"/>
      <c r="F110" s="184"/>
      <c r="G110" s="184"/>
      <c r="H110" s="184"/>
      <c r="I110" s="185"/>
      <c r="J110" s="192">
        <f>'Story&amp;Estimates'!D66</f>
        <v>-7.0000000000000007E-2</v>
      </c>
      <c r="K110" s="192">
        <f>'Story&amp;Estimates'!E66</f>
        <v>-7.0000000000000007E-2</v>
      </c>
      <c r="L110" s="192">
        <f>'Story&amp;Estimates'!F66</f>
        <v>-7.0000000000000007E-2</v>
      </c>
      <c r="M110" s="192">
        <f>'Story&amp;Estimates'!G66</f>
        <v>5.6683802114892198E-2</v>
      </c>
      <c r="N110" s="192">
        <f>'Story&amp;Estimates'!H66</f>
        <v>7.0000000000000007E-2</v>
      </c>
      <c r="O110" s="192">
        <f>'Story&amp;Estimates'!I66</f>
        <v>8.0829049471277004E-2</v>
      </c>
      <c r="P110" s="192">
        <f>'Story&amp;Estimates'!J66</f>
        <v>9.1658098942553903E-2</v>
      </c>
      <c r="Q110" s="192">
        <f>'Story&amp;Estimates'!K66</f>
        <v>9.0999999999999998E-2</v>
      </c>
      <c r="R110" s="192">
        <f>'Story&amp;Estimates'!L66</f>
        <v>0.09</v>
      </c>
      <c r="S110" s="66"/>
      <c r="T110" s="61"/>
      <c r="U110" s="61"/>
      <c r="V110" s="61"/>
      <c r="W110" s="61"/>
      <c r="X110" s="61"/>
      <c r="Y110" s="61"/>
      <c r="Z110" s="61"/>
    </row>
    <row r="111" spans="1:26" x14ac:dyDescent="0.25">
      <c r="A111" s="7"/>
      <c r="B111" s="7"/>
      <c r="C111" s="7"/>
      <c r="D111" s="7"/>
      <c r="E111" s="7"/>
      <c r="F111" s="7"/>
      <c r="G111" s="21"/>
      <c r="H111" s="7"/>
      <c r="I111" s="128"/>
      <c r="J111" s="7"/>
      <c r="K111" s="7"/>
      <c r="L111" s="7"/>
      <c r="M111" s="7"/>
      <c r="N111" s="7"/>
      <c r="O111" s="31"/>
      <c r="P111" s="67"/>
      <c r="Q111" s="67"/>
      <c r="R111" s="66"/>
      <c r="S111" s="66"/>
      <c r="T111" s="61"/>
      <c r="U111" s="61"/>
      <c r="V111" s="61"/>
      <c r="W111" s="61"/>
      <c r="X111" s="61"/>
      <c r="Y111" s="61"/>
      <c r="Z111" s="61"/>
    </row>
    <row r="112" spans="1:26" x14ac:dyDescent="0.25">
      <c r="A112" s="7"/>
      <c r="B112" s="57" t="s">
        <v>170</v>
      </c>
      <c r="C112" s="7"/>
      <c r="D112" s="7"/>
      <c r="E112" s="136"/>
      <c r="F112" s="136"/>
      <c r="G112" s="136"/>
      <c r="H112" s="136"/>
      <c r="I112" s="193">
        <f>I68</f>
        <v>669.7</v>
      </c>
      <c r="J112" s="194">
        <f t="shared" ref="J112" si="22">I112+(I112*J110)</f>
        <v>622.82100000000003</v>
      </c>
      <c r="K112" s="194">
        <f t="shared" ref="K112" si="23">J112+(J112*K110)</f>
        <v>579.22352999999998</v>
      </c>
      <c r="L112" s="194">
        <f t="shared" ref="L112" si="24">K112+(K112*L110)</f>
        <v>538.67788289999999</v>
      </c>
      <c r="M112" s="194">
        <f t="shared" ref="M112" si="25">L112+(L112*M110)</f>
        <v>569.21219341797268</v>
      </c>
      <c r="N112" s="194">
        <f t="shared" ref="N112" si="26">M112+(M112*N110)</f>
        <v>609.0570469572308</v>
      </c>
      <c r="O112" s="194">
        <f t="shared" ref="O112" si="27">N112+(N112*O110)</f>
        <v>658.28654913656669</v>
      </c>
      <c r="P112" s="194">
        <f>O112+(O112*P110)</f>
        <v>718.62384278987849</v>
      </c>
      <c r="Q112" s="194">
        <f t="shared" ref="Q112" si="28">P112+(P112*Q110)</f>
        <v>784.01861248375747</v>
      </c>
      <c r="R112" s="194">
        <f t="shared" ref="R112" si="29">Q112+(Q112*R110)</f>
        <v>854.58028760729565</v>
      </c>
      <c r="S112" s="66"/>
      <c r="T112" s="61"/>
      <c r="U112" s="61"/>
      <c r="V112" s="61"/>
      <c r="W112" s="61"/>
      <c r="X112" s="61"/>
      <c r="Y112" s="61"/>
      <c r="Z112" s="61"/>
    </row>
    <row r="113" spans="1:26" x14ac:dyDescent="0.25">
      <c r="A113" s="7"/>
      <c r="B113" s="134"/>
      <c r="C113" s="7"/>
      <c r="D113" s="7"/>
      <c r="E113" s="133"/>
      <c r="F113" s="133"/>
      <c r="G113" s="133"/>
      <c r="H113" s="133"/>
      <c r="I113" s="132"/>
      <c r="J113" s="131"/>
      <c r="K113" s="131"/>
      <c r="L113" s="131"/>
      <c r="M113" s="131"/>
      <c r="N113" s="131"/>
      <c r="O113" s="130"/>
      <c r="P113" s="67"/>
      <c r="Q113" s="67"/>
      <c r="R113" s="66"/>
      <c r="S113" s="66"/>
      <c r="T113" s="61"/>
      <c r="U113" s="61"/>
      <c r="V113" s="61"/>
      <c r="W113" s="61"/>
      <c r="X113" s="61"/>
      <c r="Y113" s="61"/>
      <c r="Z113" s="61"/>
    </row>
    <row r="114" spans="1:26" x14ac:dyDescent="0.25">
      <c r="A114" s="7"/>
      <c r="B114" s="186" t="s">
        <v>169</v>
      </c>
      <c r="C114" s="183"/>
      <c r="D114" s="183"/>
      <c r="E114" s="183"/>
      <c r="F114" s="183"/>
      <c r="G114" s="183"/>
      <c r="H114" s="183"/>
      <c r="I114" s="187"/>
      <c r="J114" s="196">
        <f>'Story&amp;Estimates'!F150</f>
        <v>9.2733333333333334E-2</v>
      </c>
      <c r="K114" s="196">
        <f>'Story&amp;Estimates'!G150</f>
        <v>8.5466666666666663E-2</v>
      </c>
      <c r="L114" s="196">
        <f>'Story&amp;Estimates'!H150</f>
        <v>7.8200000000000006E-2</v>
      </c>
      <c r="M114" s="196">
        <f>'Story&amp;Estimates'!I150</f>
        <v>0.10400000000000001</v>
      </c>
      <c r="N114" s="196">
        <f>'Story&amp;Estimates'!J150</f>
        <v>0.10800000000000001</v>
      </c>
      <c r="O114" s="196">
        <f>'Story&amp;Estimates'!K150</f>
        <v>0.11200000000000002</v>
      </c>
      <c r="P114" s="196">
        <f>'Story&amp;Estimates'!L150</f>
        <v>0.11600000000000002</v>
      </c>
      <c r="Q114" s="196">
        <f>'Story&amp;Estimates'!M150</f>
        <v>0.12</v>
      </c>
      <c r="R114" s="196">
        <f>'Story&amp;Estimates'!N150</f>
        <v>0.12</v>
      </c>
      <c r="S114" s="66"/>
      <c r="T114" s="61"/>
      <c r="U114" s="61"/>
      <c r="V114" s="61"/>
      <c r="W114" s="61"/>
      <c r="X114" s="61"/>
      <c r="Y114" s="61"/>
      <c r="Z114" s="61"/>
    </row>
    <row r="115" spans="1:26" x14ac:dyDescent="0.25">
      <c r="A115" s="7"/>
      <c r="B115" s="57"/>
      <c r="C115" s="7"/>
      <c r="D115" s="7"/>
      <c r="E115" s="7"/>
      <c r="F115" s="7"/>
      <c r="G115" s="7"/>
      <c r="H115" s="7"/>
      <c r="I115" s="125"/>
      <c r="J115" s="120"/>
      <c r="K115" s="120"/>
      <c r="L115" s="120"/>
      <c r="M115" s="120"/>
      <c r="N115" s="120"/>
      <c r="O115" s="130"/>
      <c r="P115" s="67"/>
      <c r="Q115" s="67"/>
      <c r="R115" s="66"/>
      <c r="S115" s="66"/>
      <c r="T115" s="61"/>
      <c r="U115" s="61"/>
      <c r="V115" s="61"/>
      <c r="W115" s="61"/>
      <c r="X115" s="61"/>
      <c r="Y115" s="61"/>
      <c r="Z115" s="61"/>
    </row>
    <row r="116" spans="1:26" x14ac:dyDescent="0.25">
      <c r="A116" s="7"/>
      <c r="B116" s="57" t="s">
        <v>168</v>
      </c>
      <c r="C116" s="7"/>
      <c r="D116" s="7"/>
      <c r="E116" s="136"/>
      <c r="F116" s="136"/>
      <c r="G116" s="136"/>
      <c r="H116" s="136"/>
      <c r="I116" s="125"/>
      <c r="J116" s="195">
        <f t="shared" ref="J116:R116" si="30">J112*J114</f>
        <v>57.756267400000006</v>
      </c>
      <c r="K116" s="11">
        <f t="shared" si="30"/>
        <v>49.504304363999999</v>
      </c>
      <c r="L116" s="11">
        <f t="shared" si="30"/>
        <v>42.124610442780003</v>
      </c>
      <c r="M116" s="11">
        <f t="shared" si="30"/>
        <v>59.198068115469162</v>
      </c>
      <c r="N116" s="11">
        <f t="shared" si="30"/>
        <v>65.778161071380936</v>
      </c>
      <c r="O116" s="11">
        <f t="shared" si="30"/>
        <v>73.728093503295483</v>
      </c>
      <c r="P116" s="11">
        <f t="shared" si="30"/>
        <v>83.360365763625921</v>
      </c>
      <c r="Q116" s="11">
        <f t="shared" si="30"/>
        <v>94.082233498050897</v>
      </c>
      <c r="R116" s="11">
        <f t="shared" si="30"/>
        <v>102.54963451287547</v>
      </c>
      <c r="S116" s="66"/>
      <c r="T116" s="61"/>
      <c r="U116" s="61"/>
      <c r="V116" s="61"/>
      <c r="W116" s="61"/>
      <c r="X116" s="61"/>
      <c r="Y116" s="61"/>
      <c r="Z116" s="61"/>
    </row>
    <row r="117" spans="1:26" x14ac:dyDescent="0.25">
      <c r="A117" s="7"/>
      <c r="B117" s="134"/>
      <c r="C117" s="7"/>
      <c r="D117" s="7"/>
      <c r="E117" s="133"/>
      <c r="F117" s="133"/>
      <c r="G117" s="133"/>
      <c r="H117" s="133"/>
      <c r="I117" s="132"/>
      <c r="J117" s="131"/>
      <c r="K117" s="131"/>
      <c r="L117" s="131"/>
      <c r="M117" s="131"/>
      <c r="N117" s="131"/>
      <c r="O117" s="130"/>
      <c r="P117" s="67"/>
      <c r="Q117" s="67"/>
      <c r="R117" s="66"/>
      <c r="S117" s="66"/>
      <c r="T117" s="61"/>
      <c r="U117" s="61"/>
      <c r="V117" s="61"/>
      <c r="W117" s="61"/>
      <c r="X117" s="61"/>
      <c r="Y117" s="61"/>
      <c r="Z117" s="61"/>
    </row>
    <row r="118" spans="1:26" x14ac:dyDescent="0.25">
      <c r="A118" s="7"/>
      <c r="B118" s="198" t="s">
        <v>167</v>
      </c>
      <c r="C118" s="183"/>
      <c r="D118" s="183"/>
      <c r="E118" s="183"/>
      <c r="F118" s="183"/>
      <c r="G118" s="183"/>
      <c r="H118" s="183"/>
      <c r="I118" s="188"/>
      <c r="J118" s="197">
        <f>J74</f>
        <v>0.19347247990105135</v>
      </c>
      <c r="K118" s="197">
        <f t="shared" ref="K118:N118" si="31">K74</f>
        <v>0.19677798392084109</v>
      </c>
      <c r="L118" s="197">
        <f t="shared" si="31"/>
        <v>0.20008348794063083</v>
      </c>
      <c r="M118" s="197">
        <f t="shared" si="31"/>
        <v>0.20338899196042057</v>
      </c>
      <c r="N118" s="197">
        <f t="shared" si="31"/>
        <v>0.20669449598021031</v>
      </c>
      <c r="O118" s="197">
        <f>O74</f>
        <v>0.21</v>
      </c>
      <c r="P118" s="197">
        <f>O118</f>
        <v>0.21</v>
      </c>
      <c r="Q118" s="197">
        <f t="shared" ref="Q118:R118" si="32">P118</f>
        <v>0.21</v>
      </c>
      <c r="R118" s="197">
        <f t="shared" si="32"/>
        <v>0.21</v>
      </c>
      <c r="S118" s="66"/>
      <c r="T118" s="61"/>
      <c r="U118" s="61"/>
      <c r="V118" s="61"/>
      <c r="W118" s="61"/>
      <c r="X118" s="61"/>
      <c r="Y118" s="61"/>
      <c r="Z118" s="61"/>
    </row>
    <row r="119" spans="1:26" x14ac:dyDescent="0.25">
      <c r="A119" s="7"/>
      <c r="B119" s="7"/>
      <c r="C119" s="7"/>
      <c r="D119" s="7"/>
      <c r="E119" s="7"/>
      <c r="F119" s="7"/>
      <c r="G119" s="7"/>
      <c r="H119" s="7"/>
      <c r="I119" s="128"/>
      <c r="J119" s="7"/>
      <c r="K119" s="7"/>
      <c r="L119" s="7"/>
      <c r="M119" s="7"/>
      <c r="N119" s="7"/>
      <c r="O119" s="31"/>
      <c r="P119" s="67"/>
      <c r="Q119" s="67"/>
      <c r="R119" s="66"/>
      <c r="S119" s="66"/>
      <c r="T119" s="61"/>
      <c r="U119" s="61"/>
      <c r="V119" s="61"/>
      <c r="W119" s="61"/>
      <c r="X119" s="61"/>
      <c r="Y119" s="61"/>
      <c r="Z119" s="61"/>
    </row>
    <row r="120" spans="1:26" x14ac:dyDescent="0.25">
      <c r="A120" s="7"/>
      <c r="B120" s="108" t="s">
        <v>166</v>
      </c>
      <c r="C120" s="126"/>
      <c r="D120" s="126"/>
      <c r="E120" s="126"/>
      <c r="F120" s="126"/>
      <c r="G120" s="126"/>
      <c r="H120" s="126"/>
      <c r="I120" s="125"/>
      <c r="J120" s="108">
        <f>J116*(1-J118)</f>
        <v>46.582019116293758</v>
      </c>
      <c r="K120" s="108">
        <f t="shared" ref="K120:N120" si="33">K116*(1-K118)</f>
        <v>39.76294715584838</v>
      </c>
      <c r="L120" s="108">
        <f t="shared" si="33"/>
        <v>33.696171457248262</v>
      </c>
      <c r="M120" s="108">
        <f t="shared" si="33"/>
        <v>47.157832715459577</v>
      </c>
      <c r="N120" s="108">
        <f t="shared" si="33"/>
        <v>52.182177222226763</v>
      </c>
      <c r="O120" s="108">
        <f>O116*(1-O118)</f>
        <v>58.245193867603433</v>
      </c>
      <c r="P120" s="108">
        <f t="shared" ref="P120:R120" si="34">P116*(1-P118)</f>
        <v>65.854688953264485</v>
      </c>
      <c r="Q120" s="108">
        <f t="shared" si="34"/>
        <v>74.324964463460205</v>
      </c>
      <c r="R120" s="108">
        <f t="shared" si="34"/>
        <v>81.014211265171625</v>
      </c>
      <c r="S120" s="66"/>
      <c r="T120" s="61"/>
      <c r="U120" s="61"/>
      <c r="V120" s="61"/>
      <c r="W120" s="61"/>
      <c r="X120" s="61"/>
      <c r="Y120" s="61"/>
      <c r="Z120" s="61"/>
    </row>
    <row r="121" spans="1:26" x14ac:dyDescent="0.25">
      <c r="A121" s="7"/>
      <c r="B121" s="120"/>
      <c r="C121" s="11"/>
      <c r="D121" s="11"/>
      <c r="E121" s="119"/>
      <c r="F121" s="119"/>
      <c r="G121" s="119"/>
      <c r="H121" s="119"/>
      <c r="I121" s="122"/>
      <c r="J121" s="123"/>
      <c r="K121" s="123"/>
      <c r="L121" s="123"/>
      <c r="M121" s="123"/>
      <c r="N121" s="123"/>
      <c r="O121" s="123"/>
      <c r="P121" s="67"/>
      <c r="Q121" s="67"/>
      <c r="R121" s="66"/>
      <c r="S121" s="66"/>
      <c r="T121" s="61"/>
      <c r="U121" s="61"/>
      <c r="V121" s="61"/>
      <c r="W121" s="61"/>
      <c r="X121" s="61"/>
      <c r="Y121" s="61"/>
      <c r="Z121" s="61"/>
    </row>
    <row r="122" spans="1:26" x14ac:dyDescent="0.25">
      <c r="B122" s="199" t="s">
        <v>183</v>
      </c>
      <c r="C122" s="189"/>
      <c r="D122" s="189"/>
      <c r="E122" s="190"/>
      <c r="F122" s="190"/>
      <c r="G122" s="190"/>
      <c r="H122" s="190"/>
      <c r="I122" s="191"/>
      <c r="J122" s="201">
        <f>'Story&amp;Estimates'!H232</f>
        <v>20.121606060606062</v>
      </c>
      <c r="K122" s="201">
        <f>'Story&amp;Estimates'!I232</f>
        <v>20.121606060606062</v>
      </c>
      <c r="L122" s="201">
        <f>'Story&amp;Estimates'!J232</f>
        <v>20.121606060606062</v>
      </c>
      <c r="M122" s="201">
        <f>'Story&amp;Estimates'!K232</f>
        <v>20.121606060606062</v>
      </c>
      <c r="N122" s="201">
        <f>'Story&amp;Estimates'!L232</f>
        <v>21.689763403263406</v>
      </c>
      <c r="O122" s="201">
        <f>'Story&amp;Estimates'!M232</f>
        <v>23.257920745920742</v>
      </c>
      <c r="P122" s="201">
        <f>'Story&amp;Estimates'!N232</f>
        <v>24.826078088578086</v>
      </c>
      <c r="Q122" s="201">
        <f>'Story&amp;Estimates'!O232</f>
        <v>26.39423543123543</v>
      </c>
      <c r="R122" s="201">
        <f>'Story&amp;Estimates'!P232</f>
        <v>27.962392773892773</v>
      </c>
      <c r="S122" s="66"/>
      <c r="T122" s="61"/>
      <c r="U122" s="61"/>
      <c r="V122" s="61"/>
      <c r="W122" s="61"/>
      <c r="X122" s="61"/>
      <c r="Y122" s="61"/>
      <c r="Z122" s="61"/>
    </row>
    <row r="123" spans="1:26" x14ac:dyDescent="0.25">
      <c r="B123" s="120"/>
      <c r="C123" s="11"/>
      <c r="D123" s="11"/>
      <c r="E123" s="119"/>
      <c r="F123" s="119"/>
      <c r="G123" s="119"/>
      <c r="H123" s="119"/>
      <c r="I123" s="122"/>
      <c r="J123" s="157"/>
      <c r="K123" s="157"/>
      <c r="L123" s="157"/>
      <c r="M123" s="157"/>
      <c r="N123" s="157"/>
      <c r="O123" s="157"/>
      <c r="P123" s="67"/>
      <c r="Q123" s="67"/>
      <c r="R123" s="66"/>
      <c r="S123" s="66"/>
      <c r="T123" s="61"/>
      <c r="U123" s="61"/>
      <c r="V123" s="61"/>
      <c r="W123" s="61"/>
      <c r="X123" s="61"/>
      <c r="Y123" s="61"/>
      <c r="Z123" s="61"/>
    </row>
    <row r="124" spans="1:26" x14ac:dyDescent="0.25">
      <c r="B124" s="199" t="s">
        <v>210</v>
      </c>
      <c r="C124" s="189"/>
      <c r="D124" s="189"/>
      <c r="E124" s="190"/>
      <c r="F124" s="190"/>
      <c r="G124" s="190"/>
      <c r="H124" s="190"/>
      <c r="I124" s="191"/>
      <c r="J124" s="200">
        <v>-0.02</v>
      </c>
      <c r="K124" s="200">
        <v>-0.02</v>
      </c>
      <c r="L124" s="200">
        <v>-0.02</v>
      </c>
      <c r="M124" s="200">
        <v>-0.02</v>
      </c>
      <c r="N124" s="200">
        <v>-0.02</v>
      </c>
      <c r="O124" s="200">
        <v>-0.02</v>
      </c>
      <c r="P124" s="200">
        <v>-0.02</v>
      </c>
      <c r="Q124" s="200">
        <v>-0.02</v>
      </c>
      <c r="R124" s="200">
        <v>0</v>
      </c>
      <c r="S124" s="66"/>
      <c r="T124" s="61"/>
      <c r="U124" s="61"/>
      <c r="V124" s="61"/>
      <c r="W124" s="61"/>
      <c r="X124" s="61"/>
      <c r="Y124" s="61"/>
      <c r="Z124" s="61"/>
    </row>
    <row r="125" spans="1:26" x14ac:dyDescent="0.25">
      <c r="B125" s="120"/>
      <c r="C125" s="11"/>
      <c r="D125" s="11"/>
      <c r="E125" s="119"/>
      <c r="F125" s="119"/>
      <c r="G125" s="119"/>
      <c r="H125" s="119"/>
      <c r="I125" s="122"/>
      <c r="J125" s="157"/>
      <c r="K125" s="157"/>
      <c r="L125" s="157"/>
      <c r="M125" s="157"/>
      <c r="N125" s="157"/>
      <c r="O125" s="157"/>
      <c r="P125" s="67"/>
      <c r="Q125" s="67"/>
      <c r="R125" s="66"/>
      <c r="S125" s="66"/>
      <c r="T125" s="61"/>
      <c r="U125" s="61"/>
      <c r="V125" s="61"/>
      <c r="W125" s="61"/>
      <c r="X125" s="61"/>
      <c r="Y125" s="61"/>
      <c r="Z125" s="61"/>
    </row>
    <row r="126" spans="1:26" x14ac:dyDescent="0.25">
      <c r="A126" s="7"/>
      <c r="B126" s="108" t="s">
        <v>347</v>
      </c>
      <c r="C126" s="11"/>
      <c r="D126" s="11"/>
      <c r="E126" s="119"/>
      <c r="F126" s="119"/>
      <c r="G126" s="119"/>
      <c r="H126" s="119"/>
      <c r="I126" s="122"/>
      <c r="J126" s="108">
        <f t="shared" ref="J126:O126" si="35">J112*(J124)</f>
        <v>-12.456420000000001</v>
      </c>
      <c r="K126" s="108">
        <f t="shared" si="35"/>
        <v>-11.5844706</v>
      </c>
      <c r="L126" s="108">
        <f t="shared" si="35"/>
        <v>-10.773557658</v>
      </c>
      <c r="M126" s="108">
        <f t="shared" si="35"/>
        <v>-11.384243868359453</v>
      </c>
      <c r="N126" s="108">
        <f t="shared" si="35"/>
        <v>-12.181140939144615</v>
      </c>
      <c r="O126" s="108">
        <f t="shared" si="35"/>
        <v>-13.165730982731334</v>
      </c>
      <c r="P126" s="108">
        <f t="shared" ref="P126:Q126" si="36">P112*(P124)</f>
        <v>-14.37247685579757</v>
      </c>
      <c r="Q126" s="108">
        <f t="shared" si="36"/>
        <v>-15.68037224967515</v>
      </c>
      <c r="R126" s="108">
        <f>R112*(R124)</f>
        <v>0</v>
      </c>
      <c r="S126" s="66"/>
      <c r="T126" s="61"/>
      <c r="U126" s="61"/>
      <c r="V126" s="61"/>
      <c r="W126" s="61"/>
      <c r="X126" s="61"/>
      <c r="Y126" s="61"/>
      <c r="Z126" s="61"/>
    </row>
    <row r="127" spans="1:26" x14ac:dyDescent="0.25">
      <c r="A127" s="7"/>
      <c r="B127" s="120"/>
      <c r="C127" s="11"/>
      <c r="D127" s="11"/>
      <c r="E127" s="119"/>
      <c r="F127" s="119"/>
      <c r="G127" s="119"/>
      <c r="H127" s="119"/>
      <c r="I127" s="122"/>
      <c r="J127" s="123"/>
      <c r="K127" s="123"/>
      <c r="L127" s="123"/>
      <c r="M127" s="123"/>
      <c r="N127" s="123"/>
      <c r="O127" s="123"/>
      <c r="P127" s="67"/>
      <c r="Q127" s="67"/>
      <c r="R127" s="66"/>
      <c r="S127" s="66"/>
      <c r="T127" s="61"/>
      <c r="U127" s="61"/>
      <c r="V127" s="61"/>
      <c r="W127" s="61"/>
      <c r="X127" s="61"/>
      <c r="Y127" s="61"/>
      <c r="Z127" s="61"/>
    </row>
    <row r="128" spans="1:26" x14ac:dyDescent="0.25">
      <c r="A128" s="7"/>
      <c r="B128" s="120"/>
      <c r="C128" s="11"/>
      <c r="D128" s="11"/>
      <c r="E128" s="119"/>
      <c r="F128" s="119"/>
      <c r="G128" s="119"/>
      <c r="H128" s="119"/>
      <c r="I128" s="122"/>
      <c r="J128" s="123"/>
      <c r="K128" s="123"/>
      <c r="L128" s="123"/>
      <c r="M128" s="123"/>
      <c r="N128" s="123"/>
      <c r="O128" s="123"/>
      <c r="P128" s="67"/>
      <c r="Q128" s="67"/>
      <c r="R128" s="66"/>
      <c r="S128" s="66"/>
      <c r="T128" s="61"/>
      <c r="U128" s="61"/>
      <c r="V128" s="61"/>
      <c r="W128" s="61"/>
      <c r="X128" s="61"/>
      <c r="Y128" s="61"/>
      <c r="Z128" s="61"/>
    </row>
    <row r="129" spans="1:26" x14ac:dyDescent="0.25">
      <c r="A129" s="7"/>
      <c r="B129" s="11"/>
      <c r="C129" s="11"/>
      <c r="D129" s="11"/>
      <c r="E129" s="119"/>
      <c r="F129" s="119"/>
      <c r="G129" s="119"/>
      <c r="H129" s="119"/>
      <c r="I129" s="122"/>
      <c r="J129" s="121">
        <v>1</v>
      </c>
      <c r="K129" s="121">
        <v>2</v>
      </c>
      <c r="L129" s="121">
        <v>3</v>
      </c>
      <c r="M129" s="121">
        <v>4</v>
      </c>
      <c r="N129" s="121">
        <v>5</v>
      </c>
      <c r="O129" s="121">
        <v>6</v>
      </c>
      <c r="P129" s="121">
        <v>7</v>
      </c>
      <c r="Q129" s="121">
        <v>8</v>
      </c>
      <c r="R129" s="121">
        <v>9</v>
      </c>
      <c r="S129" s="66"/>
      <c r="T129" s="61"/>
      <c r="U129" s="61"/>
      <c r="V129" s="61"/>
      <c r="W129" s="61"/>
      <c r="X129" s="61"/>
      <c r="Y129" s="61"/>
      <c r="Z129" s="61"/>
    </row>
    <row r="130" spans="1:26" x14ac:dyDescent="0.25">
      <c r="A130" s="7"/>
      <c r="B130" s="120" t="s">
        <v>165</v>
      </c>
      <c r="C130" s="11"/>
      <c r="D130" s="11"/>
      <c r="E130" s="119"/>
      <c r="F130" s="119"/>
      <c r="G130" s="119"/>
      <c r="H130" s="115" t="s">
        <v>164</v>
      </c>
      <c r="I130" s="115"/>
      <c r="J130" s="114">
        <f>J120-J122+J126</f>
        <v>14.003993055687694</v>
      </c>
      <c r="K130" s="114">
        <f>K120-K122+K126</f>
        <v>8.0568704952423182</v>
      </c>
      <c r="L130" s="114">
        <f>L120-L122+L126</f>
        <v>2.8010077386422001</v>
      </c>
      <c r="M130" s="114">
        <f>M120-M122+M126</f>
        <v>15.651982786494061</v>
      </c>
      <c r="N130" s="114">
        <f>N120-N122+N126</f>
        <v>18.311272879818741</v>
      </c>
      <c r="O130" s="114">
        <f>O120-O122+O126</f>
        <v>21.821542138951358</v>
      </c>
      <c r="P130" s="114">
        <f>P120-P122+P126</f>
        <v>26.656134008888827</v>
      </c>
      <c r="Q130" s="114">
        <f>Q120-Q122+Q126</f>
        <v>32.250356782549623</v>
      </c>
      <c r="R130" s="114">
        <f>R120-R122+R126</f>
        <v>53.051818491278851</v>
      </c>
      <c r="S130" s="66"/>
      <c r="T130" s="61"/>
      <c r="U130" s="61"/>
      <c r="V130" s="61"/>
      <c r="W130" s="61"/>
      <c r="X130" s="61"/>
      <c r="Y130" s="61"/>
      <c r="Z130" s="61"/>
    </row>
    <row r="131" spans="1:26" x14ac:dyDescent="0.25">
      <c r="A131" s="7"/>
      <c r="B131" s="7"/>
      <c r="C131" s="21"/>
      <c r="D131" s="21"/>
      <c r="E131" s="21"/>
      <c r="F131" s="21"/>
      <c r="G131" s="21"/>
      <c r="H131" s="274" t="s">
        <v>119</v>
      </c>
      <c r="I131" s="275"/>
      <c r="J131" s="116">
        <f>J82</f>
        <v>9.8742017953262415E-2</v>
      </c>
      <c r="K131" s="116">
        <f t="shared" ref="K131:N131" si="37">K82</f>
        <v>9.6306437982646861E-2</v>
      </c>
      <c r="L131" s="116">
        <f t="shared" si="37"/>
        <v>9.3870858012031308E-2</v>
      </c>
      <c r="M131" s="116">
        <f t="shared" si="37"/>
        <v>9.1435278041415755E-2</v>
      </c>
      <c r="N131" s="116">
        <f t="shared" si="37"/>
        <v>8.8999698070800201E-2</v>
      </c>
      <c r="O131" s="116">
        <f>O82</f>
        <v>7.9257378188338043E-2</v>
      </c>
      <c r="P131" s="116">
        <f>O131</f>
        <v>7.9257378188338043E-2</v>
      </c>
      <c r="Q131" s="116">
        <f t="shared" ref="Q131:R131" si="38">P131</f>
        <v>7.9257378188338043E-2</v>
      </c>
      <c r="R131" s="116">
        <f t="shared" si="38"/>
        <v>7.9257378188338043E-2</v>
      </c>
      <c r="S131" s="66"/>
      <c r="T131" s="61"/>
      <c r="U131" s="61"/>
      <c r="V131" s="61"/>
      <c r="W131" s="61"/>
      <c r="X131" s="61"/>
      <c r="Y131" s="61"/>
      <c r="Z131" s="61"/>
    </row>
    <row r="132" spans="1:26" x14ac:dyDescent="0.25">
      <c r="A132" s="7"/>
      <c r="B132" s="7"/>
      <c r="C132" s="21"/>
      <c r="D132" s="21"/>
      <c r="E132" s="21"/>
      <c r="F132" s="21"/>
      <c r="G132" s="21"/>
      <c r="H132" s="115" t="s">
        <v>163</v>
      </c>
      <c r="I132" s="22"/>
      <c r="J132" s="114">
        <f t="shared" ref="J132:O132" si="39">J130/((1+J131)^J129)</f>
        <v>12.745478762862229</v>
      </c>
      <c r="K132" s="114">
        <f t="shared" si="39"/>
        <v>6.703512969575562</v>
      </c>
      <c r="L132" s="114">
        <f t="shared" si="39"/>
        <v>2.1400117187522096</v>
      </c>
      <c r="M132" s="114">
        <f t="shared" si="39"/>
        <v>11.030048263986572</v>
      </c>
      <c r="N132" s="114">
        <f t="shared" si="39"/>
        <v>11.955830185938638</v>
      </c>
      <c r="O132" s="114">
        <f t="shared" si="39"/>
        <v>13.808143162703695</v>
      </c>
      <c r="P132" s="114">
        <f t="shared" ref="P132:R132" si="40">P130/((1+P131)^P129)</f>
        <v>15.628668475257943</v>
      </c>
      <c r="Q132" s="114">
        <f t="shared" si="40"/>
        <v>17.520008515239162</v>
      </c>
      <c r="R132" s="114">
        <f t="shared" si="40"/>
        <v>26.703921219834836</v>
      </c>
      <c r="S132" s="66"/>
      <c r="T132" s="61"/>
      <c r="U132" s="61"/>
      <c r="V132" s="61"/>
      <c r="W132" s="61"/>
      <c r="X132" s="61"/>
      <c r="Y132" s="61"/>
      <c r="Z132" s="61"/>
    </row>
    <row r="133" spans="1:26" ht="15.75" thickBot="1" x14ac:dyDescent="0.3">
      <c r="A133" s="7"/>
      <c r="B133" s="7"/>
      <c r="C133" s="7"/>
      <c r="D133" s="7"/>
      <c r="E133" s="7"/>
      <c r="F133" s="7"/>
      <c r="G133" s="7"/>
      <c r="H133" s="7"/>
      <c r="I133" s="113" t="s">
        <v>162</v>
      </c>
      <c r="J133" s="112">
        <f>SUM(J132:O132)</f>
        <v>58.383025063818899</v>
      </c>
      <c r="K133" s="7"/>
      <c r="L133" s="7"/>
      <c r="M133" s="7"/>
      <c r="N133" s="7"/>
      <c r="O133" s="31"/>
      <c r="P133" s="67"/>
      <c r="Q133" s="67"/>
      <c r="R133" s="66"/>
      <c r="S133" s="66"/>
      <c r="T133" s="61"/>
      <c r="U133" s="61"/>
      <c r="V133" s="61"/>
      <c r="W133" s="61"/>
      <c r="X133" s="61"/>
      <c r="Y133" s="61"/>
      <c r="Z133" s="61"/>
    </row>
    <row r="134" spans="1:26" x14ac:dyDescent="0.25">
      <c r="A134" s="7"/>
      <c r="B134" s="7" t="s">
        <v>161</v>
      </c>
      <c r="C134" s="111">
        <v>0.04</v>
      </c>
      <c r="D134" s="7"/>
      <c r="E134" s="7"/>
      <c r="F134" s="7"/>
      <c r="G134" s="7"/>
      <c r="H134" s="7"/>
      <c r="I134" s="21"/>
      <c r="J134" s="11"/>
      <c r="K134" s="7"/>
      <c r="L134" s="7"/>
      <c r="M134" s="7"/>
      <c r="N134" s="7"/>
      <c r="O134" s="31"/>
      <c r="P134" s="67"/>
      <c r="Q134" s="67"/>
      <c r="R134" s="66"/>
      <c r="S134" s="66"/>
      <c r="T134" s="61"/>
      <c r="U134" s="61"/>
      <c r="V134" s="61"/>
      <c r="W134" s="61"/>
      <c r="X134" s="61"/>
      <c r="Y134" s="61"/>
      <c r="Z134" s="61"/>
    </row>
    <row r="135" spans="1:26" x14ac:dyDescent="0.25">
      <c r="A135" s="7" t="s">
        <v>153</v>
      </c>
      <c r="B135" s="7" t="s">
        <v>160</v>
      </c>
      <c r="C135" s="7"/>
      <c r="D135" s="7"/>
      <c r="E135" s="7"/>
      <c r="F135" s="7"/>
      <c r="G135" s="7"/>
      <c r="H135" s="7"/>
      <c r="I135" s="7"/>
      <c r="J135" s="109"/>
      <c r="K135" s="7"/>
      <c r="L135" s="7"/>
      <c r="M135" s="7"/>
      <c r="N135" s="108">
        <f>R132/(R131-C134)</f>
        <v>680.22681218603668</v>
      </c>
      <c r="O135" s="31"/>
      <c r="P135" s="67"/>
      <c r="Q135" s="67"/>
      <c r="R135" s="66"/>
      <c r="S135" s="66"/>
      <c r="T135" s="61"/>
      <c r="U135" s="61"/>
      <c r="V135" s="61"/>
      <c r="W135" s="61"/>
      <c r="X135" s="61"/>
      <c r="Y135" s="61"/>
      <c r="Z135" s="61"/>
    </row>
    <row r="136" spans="1:26" x14ac:dyDescent="0.25">
      <c r="A136" s="7"/>
      <c r="B136" s="38" t="s">
        <v>159</v>
      </c>
      <c r="C136" s="38"/>
      <c r="D136" s="38"/>
      <c r="E136" s="38"/>
      <c r="F136" s="38"/>
      <c r="G136" s="38"/>
      <c r="H136" s="38"/>
      <c r="I136" s="38"/>
      <c r="J136" s="38"/>
      <c r="K136" s="38"/>
      <c r="L136" s="38"/>
      <c r="M136" s="38"/>
      <c r="N136" s="107">
        <f>N135/((1+R131)^R129)</f>
        <v>342.39586353145262</v>
      </c>
      <c r="O136" s="31"/>
      <c r="P136" s="67"/>
      <c r="Q136" s="67"/>
      <c r="R136" s="66"/>
      <c r="S136" s="66"/>
      <c r="T136" s="61"/>
      <c r="U136" s="61"/>
      <c r="V136" s="61"/>
      <c r="W136" s="61"/>
      <c r="X136" s="61"/>
      <c r="Y136" s="61"/>
      <c r="Z136" s="61"/>
    </row>
    <row r="137" spans="1:26" x14ac:dyDescent="0.25">
      <c r="A137" s="7"/>
      <c r="B137" s="21" t="s">
        <v>158</v>
      </c>
      <c r="C137" s="21"/>
      <c r="D137" s="21"/>
      <c r="E137" s="21"/>
      <c r="F137" s="21"/>
      <c r="G137" s="21"/>
      <c r="H137" s="21"/>
      <c r="I137" s="21"/>
      <c r="J137" s="21"/>
      <c r="K137" s="21"/>
      <c r="L137" s="21"/>
      <c r="M137" s="21"/>
      <c r="N137" s="106">
        <f>J133+N136</f>
        <v>400.7788885952715</v>
      </c>
      <c r="O137" s="31"/>
      <c r="P137" s="67"/>
      <c r="Q137" s="67"/>
      <c r="R137" s="66"/>
      <c r="S137" s="66"/>
      <c r="T137" s="61"/>
      <c r="U137" s="61"/>
      <c r="V137" s="61"/>
      <c r="W137" s="61"/>
      <c r="X137" s="61"/>
      <c r="Y137" s="61"/>
      <c r="Z137" s="61"/>
    </row>
    <row r="138" spans="1:26" x14ac:dyDescent="0.25">
      <c r="A138" s="7"/>
      <c r="B138" s="105" t="s">
        <v>157</v>
      </c>
      <c r="C138" s="7"/>
      <c r="D138" s="7"/>
      <c r="E138" s="7"/>
      <c r="F138" s="7"/>
      <c r="G138" s="7"/>
      <c r="H138" s="7"/>
      <c r="I138" s="7"/>
      <c r="J138" s="7"/>
      <c r="K138" s="7"/>
      <c r="L138" s="7"/>
      <c r="M138" s="7"/>
      <c r="N138" s="158">
        <v>45.859000000000002</v>
      </c>
      <c r="O138" s="31"/>
      <c r="P138" s="67"/>
      <c r="Q138" s="67"/>
      <c r="R138" s="66"/>
      <c r="S138" s="66"/>
      <c r="T138" s="61"/>
      <c r="U138" s="61"/>
      <c r="V138" s="61"/>
      <c r="W138" s="61"/>
      <c r="X138" s="61"/>
      <c r="Y138" s="61"/>
      <c r="Z138" s="61"/>
    </row>
    <row r="139" spans="1:26" x14ac:dyDescent="0.25">
      <c r="A139" s="7"/>
      <c r="B139" s="104" t="s">
        <v>156</v>
      </c>
      <c r="C139" s="38"/>
      <c r="D139" s="38"/>
      <c r="E139" s="38"/>
      <c r="F139" s="38"/>
      <c r="G139" s="38"/>
      <c r="H139" s="38"/>
      <c r="I139" s="38"/>
      <c r="J139" s="38"/>
      <c r="K139" s="38"/>
      <c r="L139" s="38"/>
      <c r="M139" s="38"/>
      <c r="N139" s="158">
        <f>N90</f>
        <v>55.006</v>
      </c>
      <c r="O139" s="31"/>
      <c r="P139" s="67"/>
      <c r="Q139" s="67"/>
      <c r="R139" s="66"/>
      <c r="S139" s="66"/>
      <c r="T139" s="61"/>
      <c r="U139" s="61"/>
      <c r="V139" s="61"/>
      <c r="W139" s="61"/>
      <c r="X139" s="61"/>
      <c r="Y139" s="61"/>
      <c r="Z139" s="61"/>
    </row>
    <row r="140" spans="1:26" x14ac:dyDescent="0.25">
      <c r="A140" s="7"/>
      <c r="B140" s="21" t="s">
        <v>155</v>
      </c>
      <c r="C140" s="21"/>
      <c r="D140" s="21"/>
      <c r="E140" s="21"/>
      <c r="F140" s="21"/>
      <c r="G140" s="21"/>
      <c r="H140" s="21"/>
      <c r="I140" s="21"/>
      <c r="J140" s="21"/>
      <c r="K140" s="21"/>
      <c r="L140" s="21"/>
      <c r="M140" s="21"/>
      <c r="N140" s="103">
        <f>N137+N138-N139</f>
        <v>391.63188859527145</v>
      </c>
      <c r="O140" s="31"/>
      <c r="P140" s="67"/>
      <c r="Q140" s="67"/>
      <c r="R140" s="66"/>
      <c r="S140" s="66"/>
      <c r="T140" s="61"/>
      <c r="U140" s="61"/>
      <c r="V140" s="61"/>
      <c r="W140" s="61"/>
      <c r="X140" s="61"/>
      <c r="Y140" s="61"/>
      <c r="Z140" s="61"/>
    </row>
    <row r="141" spans="1:26" x14ac:dyDescent="0.25">
      <c r="A141" s="7"/>
      <c r="B141" s="38" t="s">
        <v>154</v>
      </c>
      <c r="C141" s="38"/>
      <c r="D141" s="38"/>
      <c r="E141" s="38"/>
      <c r="F141" s="38"/>
      <c r="G141" s="38"/>
      <c r="H141" s="38"/>
      <c r="I141" s="38"/>
      <c r="J141" s="38"/>
      <c r="K141" s="38"/>
      <c r="L141" s="38"/>
      <c r="M141" s="38"/>
      <c r="N141" s="102">
        <f>4.908</f>
        <v>4.9080000000000004</v>
      </c>
      <c r="O141" s="31"/>
      <c r="P141" s="67"/>
      <c r="Q141" s="67"/>
      <c r="R141" s="66"/>
      <c r="S141" s="66"/>
      <c r="T141" s="61"/>
      <c r="U141" s="61"/>
      <c r="V141" s="61"/>
      <c r="W141" s="61"/>
      <c r="X141" s="61"/>
      <c r="Y141" s="61"/>
      <c r="Z141" s="61"/>
    </row>
    <row r="142" spans="1:26" x14ac:dyDescent="0.25">
      <c r="A142" s="7" t="s">
        <v>153</v>
      </c>
      <c r="B142" s="21" t="s">
        <v>152</v>
      </c>
      <c r="C142" s="21"/>
      <c r="D142" s="21"/>
      <c r="E142" s="21"/>
      <c r="F142" s="21"/>
      <c r="G142" s="21"/>
      <c r="H142" s="21"/>
      <c r="I142" s="21"/>
      <c r="J142" s="21"/>
      <c r="K142" s="21"/>
      <c r="L142" s="21"/>
      <c r="M142" s="21"/>
      <c r="N142" s="101">
        <f>N140/N141</f>
        <v>79.79459832829491</v>
      </c>
      <c r="O142" s="31"/>
      <c r="P142" s="67"/>
      <c r="Q142" s="67"/>
      <c r="R142" s="66"/>
      <c r="S142" s="66"/>
      <c r="T142" s="61"/>
      <c r="U142" s="61"/>
      <c r="V142" s="61"/>
      <c r="W142" s="61"/>
      <c r="X142" s="61"/>
      <c r="Y142" s="61"/>
      <c r="Z142" s="61"/>
    </row>
    <row r="143" spans="1:26" ht="15.75" thickBot="1" x14ac:dyDescent="0.3">
      <c r="A143" s="7"/>
      <c r="B143" s="21" t="s">
        <v>151</v>
      </c>
      <c r="C143" s="21"/>
      <c r="D143" s="21"/>
      <c r="E143" s="21"/>
      <c r="F143" s="21"/>
      <c r="G143" s="21"/>
      <c r="H143" s="21"/>
      <c r="I143" s="21"/>
      <c r="J143" s="21"/>
      <c r="K143" s="21"/>
      <c r="L143" s="21"/>
      <c r="M143" s="21"/>
      <c r="N143" s="101">
        <v>128</v>
      </c>
      <c r="O143" s="31"/>
      <c r="P143" s="67"/>
      <c r="Q143" s="67"/>
      <c r="R143" s="66"/>
      <c r="S143" s="66"/>
      <c r="T143" s="61"/>
      <c r="U143" s="61"/>
      <c r="V143" s="61"/>
      <c r="W143" s="61"/>
      <c r="X143" s="61"/>
      <c r="Y143" s="61"/>
      <c r="Z143" s="61"/>
    </row>
    <row r="144" spans="1:26" ht="15.75" thickBot="1" x14ac:dyDescent="0.3">
      <c r="A144" s="7"/>
      <c r="B144" s="21" t="s">
        <v>150</v>
      </c>
      <c r="C144" s="7"/>
      <c r="D144" s="7"/>
      <c r="E144" s="7"/>
      <c r="F144" s="7"/>
      <c r="G144" s="7"/>
      <c r="H144" s="7"/>
      <c r="I144" s="7"/>
      <c r="J144" s="7"/>
      <c r="K144" s="7"/>
      <c r="L144" s="7"/>
      <c r="M144" s="7"/>
      <c r="N144" s="220">
        <f>(N142-N143)/N143</f>
        <v>-0.37660470056019602</v>
      </c>
      <c r="O144" s="31"/>
      <c r="P144" s="67"/>
      <c r="Q144" s="67"/>
      <c r="R144" s="66"/>
      <c r="S144" s="66"/>
      <c r="T144" s="61"/>
      <c r="U144" s="61"/>
      <c r="V144" s="61"/>
      <c r="W144" s="61"/>
      <c r="X144" s="61"/>
      <c r="Y144" s="61"/>
      <c r="Z144" s="61"/>
    </row>
    <row r="145" spans="1:26" x14ac:dyDescent="0.25">
      <c r="A145" s="100"/>
      <c r="B145" s="100"/>
      <c r="C145" s="100"/>
      <c r="D145" s="100"/>
      <c r="E145" s="100"/>
      <c r="F145" s="100"/>
      <c r="G145" s="100"/>
      <c r="H145" s="100"/>
      <c r="I145" s="100"/>
      <c r="J145" s="100"/>
      <c r="K145" s="100"/>
      <c r="L145" s="100"/>
      <c r="M145" s="100"/>
      <c r="N145" s="7"/>
      <c r="O145" s="31"/>
      <c r="P145" s="67"/>
      <c r="Q145" s="67"/>
      <c r="R145" s="66"/>
      <c r="S145" s="66"/>
      <c r="T145" s="61"/>
      <c r="U145" s="61"/>
      <c r="V145" s="61"/>
      <c r="W145" s="61"/>
      <c r="X145" s="61"/>
      <c r="Y145" s="61"/>
      <c r="Z145" s="61"/>
    </row>
    <row r="146" spans="1:26" x14ac:dyDescent="0.25">
      <c r="A146" s="69"/>
      <c r="B146" s="67"/>
      <c r="C146" s="67"/>
      <c r="D146" s="67"/>
      <c r="E146" s="67"/>
      <c r="F146" s="67"/>
      <c r="G146" s="67"/>
      <c r="H146" s="67"/>
      <c r="I146" s="67"/>
      <c r="J146" s="67"/>
      <c r="K146" s="67"/>
      <c r="L146" s="67"/>
      <c r="M146" s="67"/>
      <c r="N146" s="67"/>
      <c r="O146" s="67"/>
      <c r="P146" s="67"/>
      <c r="Q146" s="67"/>
      <c r="R146" s="66"/>
      <c r="S146" s="66"/>
      <c r="T146" s="61"/>
      <c r="U146" s="61"/>
      <c r="V146" s="61"/>
      <c r="W146" s="61"/>
      <c r="X146" s="61"/>
      <c r="Y146" s="61"/>
      <c r="Z146" s="61"/>
    </row>
    <row r="147" spans="1:26" x14ac:dyDescent="0.25">
      <c r="A147" s="67"/>
      <c r="B147" s="75"/>
      <c r="C147" s="75"/>
      <c r="D147" s="75"/>
      <c r="E147" s="75"/>
      <c r="F147" s="75"/>
      <c r="G147" s="75"/>
      <c r="H147" s="75"/>
      <c r="I147" s="75"/>
      <c r="J147" s="79"/>
      <c r="K147" s="79"/>
      <c r="L147" s="79"/>
      <c r="M147" s="79"/>
      <c r="N147" s="79"/>
      <c r="O147" s="79"/>
      <c r="P147" s="67"/>
      <c r="Q147" s="67"/>
      <c r="R147" s="66"/>
      <c r="S147" s="66"/>
      <c r="T147" s="61"/>
      <c r="U147" s="61"/>
      <c r="V147" s="61"/>
      <c r="W147" s="61"/>
      <c r="X147" s="61"/>
      <c r="Y147" s="61"/>
      <c r="Z147" s="61"/>
    </row>
    <row r="148" spans="1:26" x14ac:dyDescent="0.25">
      <c r="A148" s="67"/>
      <c r="B148" s="75"/>
      <c r="C148" s="75"/>
      <c r="D148" s="75"/>
      <c r="E148" s="75"/>
      <c r="F148" s="75"/>
      <c r="G148" s="75"/>
      <c r="H148" s="273"/>
      <c r="I148" s="273"/>
      <c r="J148" s="75"/>
      <c r="K148" s="75"/>
      <c r="L148" s="75"/>
      <c r="M148" s="75"/>
      <c r="N148" s="75"/>
      <c r="O148" s="75"/>
      <c r="P148" s="67"/>
      <c r="Q148" s="67"/>
      <c r="R148" s="66"/>
      <c r="S148" s="66"/>
      <c r="T148" s="61"/>
      <c r="U148" s="61"/>
      <c r="V148" s="61"/>
      <c r="W148" s="61"/>
      <c r="X148" s="61"/>
      <c r="Y148" s="61"/>
      <c r="Z148" s="61"/>
    </row>
    <row r="149" spans="1:26" x14ac:dyDescent="0.25">
      <c r="A149" s="67"/>
      <c r="B149" s="67"/>
      <c r="C149" s="69"/>
      <c r="D149" s="69"/>
      <c r="E149" s="69"/>
      <c r="F149" s="69"/>
      <c r="G149" s="69"/>
      <c r="H149" s="273"/>
      <c r="I149" s="273"/>
      <c r="J149" s="78"/>
      <c r="K149" s="78"/>
      <c r="L149" s="78"/>
      <c r="M149" s="78"/>
      <c r="N149" s="78"/>
      <c r="O149" s="78"/>
      <c r="P149" s="67"/>
      <c r="Q149" s="67"/>
      <c r="R149" s="66"/>
      <c r="S149" s="66"/>
      <c r="T149" s="61"/>
      <c r="U149" s="61"/>
      <c r="V149" s="61"/>
      <c r="W149" s="61"/>
      <c r="X149" s="61"/>
      <c r="Y149" s="61"/>
      <c r="Z149" s="61"/>
    </row>
    <row r="150" spans="1:26" x14ac:dyDescent="0.25">
      <c r="A150" s="67"/>
      <c r="B150" s="67"/>
      <c r="C150" s="69"/>
      <c r="D150" s="69"/>
      <c r="E150" s="69"/>
      <c r="F150" s="69"/>
      <c r="G150" s="69"/>
      <c r="H150" s="69"/>
      <c r="I150" s="67"/>
      <c r="J150" s="75"/>
      <c r="K150" s="75"/>
      <c r="L150" s="75"/>
      <c r="M150" s="75"/>
      <c r="N150" s="75"/>
      <c r="O150" s="75"/>
      <c r="P150" s="67"/>
      <c r="Q150" s="67"/>
      <c r="R150" s="66"/>
      <c r="S150" s="66"/>
      <c r="T150" s="61"/>
      <c r="U150" s="61"/>
      <c r="V150" s="61"/>
      <c r="W150" s="61"/>
      <c r="X150" s="61"/>
      <c r="Y150" s="61"/>
      <c r="Z150" s="61"/>
    </row>
    <row r="151" spans="1:26" x14ac:dyDescent="0.25">
      <c r="A151" s="67"/>
      <c r="B151" s="67"/>
      <c r="C151" s="67"/>
      <c r="D151" s="67"/>
      <c r="E151" s="67"/>
      <c r="F151" s="67"/>
      <c r="G151" s="67"/>
      <c r="H151" s="67"/>
      <c r="I151" s="69"/>
      <c r="J151" s="75"/>
      <c r="K151" s="67"/>
      <c r="L151" s="67"/>
      <c r="M151" s="67"/>
      <c r="N151" s="67"/>
      <c r="O151" s="67"/>
      <c r="P151" s="67"/>
      <c r="Q151" s="67"/>
      <c r="R151" s="66"/>
      <c r="S151" s="66"/>
      <c r="T151" s="61"/>
      <c r="U151" s="61"/>
      <c r="V151" s="61"/>
      <c r="W151" s="61"/>
      <c r="X151" s="61"/>
      <c r="Y151" s="61"/>
      <c r="Z151" s="61"/>
    </row>
    <row r="152" spans="1:26" x14ac:dyDescent="0.25">
      <c r="A152" s="67"/>
      <c r="B152" s="67"/>
      <c r="C152" s="77"/>
      <c r="D152" s="67"/>
      <c r="E152" s="67"/>
      <c r="F152" s="67"/>
      <c r="G152" s="67"/>
      <c r="H152" s="67"/>
      <c r="I152" s="69"/>
      <c r="J152" s="75"/>
      <c r="K152" s="67"/>
      <c r="L152" s="67"/>
      <c r="M152" s="67"/>
      <c r="N152" s="67"/>
      <c r="O152" s="67"/>
      <c r="P152" s="67"/>
      <c r="Q152" s="67"/>
      <c r="R152" s="66"/>
      <c r="S152" s="66"/>
      <c r="T152" s="61"/>
      <c r="U152" s="61"/>
      <c r="V152" s="61"/>
      <c r="W152" s="61"/>
      <c r="X152" s="61"/>
      <c r="Y152" s="61"/>
      <c r="Z152" s="61"/>
    </row>
    <row r="153" spans="1:26" x14ac:dyDescent="0.25">
      <c r="A153" s="67"/>
      <c r="B153" s="67"/>
      <c r="C153" s="67"/>
      <c r="D153" s="67"/>
      <c r="E153" s="67"/>
      <c r="F153" s="67"/>
      <c r="G153" s="67"/>
      <c r="H153" s="67"/>
      <c r="I153" s="67"/>
      <c r="J153" s="76"/>
      <c r="K153" s="67"/>
      <c r="L153" s="67"/>
      <c r="M153" s="67"/>
      <c r="N153" s="75"/>
      <c r="O153" s="67"/>
      <c r="P153" s="67"/>
      <c r="Q153" s="67"/>
      <c r="R153" s="66"/>
      <c r="S153" s="66"/>
      <c r="T153" s="61"/>
      <c r="U153" s="61"/>
      <c r="V153" s="61"/>
      <c r="W153" s="61"/>
      <c r="X153" s="61"/>
      <c r="Y153" s="61"/>
      <c r="Z153" s="61"/>
    </row>
    <row r="154" spans="1:26" x14ac:dyDescent="0.25">
      <c r="A154" s="67"/>
      <c r="B154" s="67"/>
      <c r="C154" s="67"/>
      <c r="D154" s="67"/>
      <c r="E154" s="67"/>
      <c r="F154" s="67"/>
      <c r="G154" s="67"/>
      <c r="H154" s="67"/>
      <c r="I154" s="67"/>
      <c r="J154" s="67"/>
      <c r="K154" s="67"/>
      <c r="L154" s="67"/>
      <c r="M154" s="67"/>
      <c r="N154" s="75"/>
      <c r="O154" s="67"/>
      <c r="P154" s="67"/>
      <c r="Q154" s="67"/>
      <c r="R154" s="66"/>
      <c r="S154" s="66"/>
      <c r="T154" s="61"/>
      <c r="U154" s="61"/>
      <c r="V154" s="61"/>
      <c r="W154" s="61"/>
      <c r="X154" s="61"/>
      <c r="Y154" s="61"/>
      <c r="Z154" s="61"/>
    </row>
    <row r="155" spans="1:26" x14ac:dyDescent="0.25">
      <c r="A155" s="67"/>
      <c r="B155" s="69"/>
      <c r="C155" s="69"/>
      <c r="D155" s="69"/>
      <c r="E155" s="69"/>
      <c r="F155" s="69"/>
      <c r="G155" s="69"/>
      <c r="H155" s="69"/>
      <c r="I155" s="69"/>
      <c r="J155" s="69"/>
      <c r="K155" s="69"/>
      <c r="L155" s="69"/>
      <c r="M155" s="69"/>
      <c r="N155" s="74"/>
      <c r="O155" s="67"/>
      <c r="P155" s="67"/>
      <c r="Q155" s="67"/>
      <c r="R155" s="66"/>
      <c r="S155" s="66"/>
      <c r="T155" s="61"/>
      <c r="U155" s="61"/>
      <c r="V155" s="61"/>
      <c r="W155" s="61"/>
      <c r="X155" s="61"/>
      <c r="Y155" s="61"/>
      <c r="Z155" s="61"/>
    </row>
    <row r="156" spans="1:26" x14ac:dyDescent="0.25">
      <c r="A156" s="67"/>
      <c r="B156" s="73"/>
      <c r="C156" s="67"/>
      <c r="D156" s="67"/>
      <c r="E156" s="67"/>
      <c r="F156" s="67"/>
      <c r="G156" s="67"/>
      <c r="H156" s="67"/>
      <c r="I156" s="67"/>
      <c r="J156" s="67"/>
      <c r="K156" s="67"/>
      <c r="L156" s="67"/>
      <c r="M156" s="67"/>
      <c r="N156" s="72"/>
      <c r="O156" s="67"/>
      <c r="P156" s="67"/>
      <c r="Q156" s="67"/>
      <c r="R156" s="66"/>
      <c r="S156" s="66"/>
      <c r="T156" s="61"/>
      <c r="U156" s="61"/>
      <c r="V156" s="61"/>
      <c r="W156" s="61"/>
      <c r="X156" s="61"/>
      <c r="Y156" s="61"/>
      <c r="Z156" s="61"/>
    </row>
    <row r="157" spans="1:26" x14ac:dyDescent="0.25">
      <c r="A157" s="67"/>
      <c r="B157" s="73"/>
      <c r="C157" s="67"/>
      <c r="D157" s="67"/>
      <c r="E157" s="67"/>
      <c r="F157" s="67"/>
      <c r="G157" s="67"/>
      <c r="H157" s="67"/>
      <c r="I157" s="67"/>
      <c r="J157" s="67"/>
      <c r="K157" s="67"/>
      <c r="L157" s="67"/>
      <c r="M157" s="67"/>
      <c r="N157" s="72"/>
      <c r="O157" s="67"/>
      <c r="P157" s="67"/>
      <c r="Q157" s="67"/>
      <c r="R157" s="66"/>
      <c r="S157" s="66"/>
      <c r="T157" s="61"/>
      <c r="U157" s="61"/>
      <c r="V157" s="61"/>
      <c r="W157" s="61"/>
      <c r="X157" s="61"/>
      <c r="Y157" s="61"/>
      <c r="Z157" s="61"/>
    </row>
    <row r="158" spans="1:26" x14ac:dyDescent="0.25">
      <c r="A158" s="67"/>
      <c r="B158" s="69"/>
      <c r="C158" s="69"/>
      <c r="D158" s="69"/>
      <c r="E158" s="69"/>
      <c r="F158" s="69"/>
      <c r="G158" s="69"/>
      <c r="H158" s="69"/>
      <c r="I158" s="69"/>
      <c r="J158" s="69"/>
      <c r="K158" s="69"/>
      <c r="L158" s="69"/>
      <c r="M158" s="69"/>
      <c r="N158" s="71"/>
      <c r="O158" s="67"/>
      <c r="P158" s="67"/>
      <c r="Q158" s="67"/>
      <c r="R158" s="66"/>
      <c r="S158" s="66"/>
      <c r="T158" s="61"/>
      <c r="U158" s="61"/>
      <c r="V158" s="61"/>
      <c r="W158" s="61"/>
      <c r="X158" s="61"/>
      <c r="Y158" s="61"/>
      <c r="Z158" s="61"/>
    </row>
    <row r="159" spans="1:26" x14ac:dyDescent="0.25">
      <c r="A159" s="67"/>
      <c r="B159" s="67"/>
      <c r="C159" s="67"/>
      <c r="D159" s="67"/>
      <c r="E159" s="67"/>
      <c r="F159" s="67"/>
      <c r="G159" s="67"/>
      <c r="H159" s="67"/>
      <c r="I159" s="67"/>
      <c r="J159" s="67"/>
      <c r="K159" s="67"/>
      <c r="L159" s="67"/>
      <c r="M159" s="67"/>
      <c r="N159" s="70"/>
      <c r="O159" s="67"/>
      <c r="P159" s="67"/>
      <c r="Q159" s="67"/>
      <c r="R159" s="66"/>
      <c r="S159" s="66"/>
      <c r="T159" s="61"/>
      <c r="U159" s="61"/>
      <c r="V159" s="61"/>
      <c r="W159" s="61"/>
      <c r="X159" s="61"/>
      <c r="Y159" s="61"/>
      <c r="Z159" s="61"/>
    </row>
    <row r="160" spans="1:26" x14ac:dyDescent="0.25">
      <c r="A160" s="67"/>
      <c r="B160" s="69"/>
      <c r="C160" s="69"/>
      <c r="D160" s="69"/>
      <c r="E160" s="69"/>
      <c r="F160" s="69"/>
      <c r="G160" s="69"/>
      <c r="H160" s="69"/>
      <c r="I160" s="69"/>
      <c r="J160" s="69"/>
      <c r="K160" s="69"/>
      <c r="L160" s="69"/>
      <c r="M160" s="69"/>
      <c r="N160" s="68"/>
      <c r="O160" s="67"/>
      <c r="P160" s="67"/>
      <c r="Q160" s="67"/>
      <c r="R160" s="66"/>
      <c r="S160" s="66"/>
      <c r="T160" s="61"/>
      <c r="U160" s="61"/>
      <c r="V160" s="61"/>
      <c r="W160" s="61"/>
      <c r="X160" s="61"/>
      <c r="Y160" s="61"/>
      <c r="Z160" s="61"/>
    </row>
    <row r="161" spans="1:26" x14ac:dyDescent="0.25">
      <c r="A161" s="67"/>
      <c r="B161" s="69"/>
      <c r="C161" s="69"/>
      <c r="D161" s="69"/>
      <c r="E161" s="69"/>
      <c r="F161" s="69"/>
      <c r="G161" s="69"/>
      <c r="H161" s="69"/>
      <c r="I161" s="69"/>
      <c r="J161" s="69"/>
      <c r="K161" s="69"/>
      <c r="L161" s="69"/>
      <c r="M161" s="69"/>
      <c r="N161" s="68"/>
      <c r="O161" s="67"/>
      <c r="P161" s="67"/>
      <c r="Q161" s="67"/>
      <c r="R161" s="66"/>
      <c r="S161" s="66"/>
      <c r="T161" s="61"/>
      <c r="U161" s="61"/>
      <c r="V161" s="61"/>
      <c r="W161" s="61"/>
      <c r="X161" s="61"/>
      <c r="Y161" s="61"/>
      <c r="Z161" s="61"/>
    </row>
    <row r="162" spans="1:26" x14ac:dyDescent="0.25">
      <c r="A162" s="63"/>
      <c r="B162" s="65"/>
      <c r="C162" s="62"/>
      <c r="D162" s="62"/>
      <c r="E162" s="62"/>
      <c r="F162" s="62"/>
      <c r="G162" s="62"/>
      <c r="H162" s="62"/>
      <c r="I162" s="62"/>
      <c r="J162" s="62"/>
      <c r="K162" s="62"/>
      <c r="L162" s="62"/>
      <c r="M162" s="62"/>
      <c r="N162" s="64"/>
      <c r="O162" s="62"/>
      <c r="P162" s="62"/>
      <c r="Q162" s="62"/>
      <c r="R162" s="61"/>
      <c r="S162" s="61"/>
      <c r="T162" s="61"/>
      <c r="U162" s="61"/>
      <c r="V162" s="61"/>
      <c r="W162" s="61"/>
      <c r="X162" s="61"/>
      <c r="Y162" s="61"/>
      <c r="Z162" s="61"/>
    </row>
    <row r="163" spans="1:26" x14ac:dyDescent="0.25">
      <c r="A163" s="63"/>
      <c r="B163" s="62"/>
      <c r="C163" s="62"/>
      <c r="D163" s="62"/>
      <c r="E163" s="62"/>
      <c r="F163" s="62"/>
      <c r="G163" s="62"/>
      <c r="H163" s="62"/>
      <c r="I163" s="62"/>
      <c r="J163" s="62"/>
      <c r="K163" s="62"/>
      <c r="L163" s="62"/>
      <c r="M163" s="62"/>
      <c r="N163" s="62"/>
      <c r="O163" s="62"/>
      <c r="P163" s="62"/>
      <c r="Q163" s="62"/>
      <c r="R163" s="61"/>
      <c r="S163" s="61"/>
      <c r="T163" s="61"/>
      <c r="U163" s="61"/>
      <c r="V163" s="61"/>
      <c r="W163" s="61"/>
      <c r="X163" s="61"/>
      <c r="Y163" s="61"/>
      <c r="Z163" s="61"/>
    </row>
    <row r="164" spans="1:26" x14ac:dyDescent="0.25">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x14ac:dyDescent="0.25">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x14ac:dyDescent="0.25">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x14ac:dyDescent="0.25">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sheetData>
  <mergeCells count="5">
    <mergeCell ref="H149:I149"/>
    <mergeCell ref="H148:I148"/>
    <mergeCell ref="H36:I36"/>
    <mergeCell ref="H82:I82"/>
    <mergeCell ref="H131:I1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6FDA-1B0A-4620-A451-F1E0DD90CA97}">
  <sheetPr>
    <tabColor rgb="FF00B050"/>
  </sheetPr>
  <dimension ref="A1:Y86"/>
  <sheetViews>
    <sheetView showGridLines="0" topLeftCell="A40" workbookViewId="0">
      <selection activeCell="E78" sqref="E78"/>
    </sheetView>
  </sheetViews>
  <sheetFormatPr defaultRowHeight="15" x14ac:dyDescent="0.25"/>
  <cols>
    <col min="1" max="1" width="11" style="7" customWidth="1"/>
    <col min="2" max="2" width="9.140625" style="7"/>
    <col min="3" max="3" width="12.42578125" style="7" bestFit="1" customWidth="1"/>
    <col min="4" max="4" width="10.28515625" style="7" customWidth="1"/>
    <col min="5" max="5" width="22.85546875" style="7" customWidth="1"/>
    <col min="6" max="6" width="18.7109375" style="7" customWidth="1"/>
    <col min="7" max="7" width="17" style="7" customWidth="1"/>
    <col min="8" max="8" width="30.5703125" style="7" customWidth="1"/>
    <col min="9" max="9" width="12.42578125" style="7" customWidth="1"/>
    <col min="10" max="10" width="15.5703125" style="7" customWidth="1"/>
    <col min="11" max="11" width="15" style="7" customWidth="1"/>
    <col min="12" max="12" width="17.42578125" style="7" customWidth="1"/>
    <col min="13" max="13" width="21" style="7" customWidth="1"/>
    <col min="14" max="14" width="14.140625" style="7" customWidth="1"/>
    <col min="15" max="15" width="18.42578125" style="7" customWidth="1"/>
    <col min="16" max="16" width="17" style="7" customWidth="1"/>
    <col min="17" max="16384" width="9.140625" style="7"/>
  </cols>
  <sheetData>
    <row r="1" spans="1:15" s="40" customFormat="1" x14ac:dyDescent="0.25">
      <c r="A1" s="40" t="s">
        <v>321</v>
      </c>
      <c r="B1" s="221" t="s">
        <v>320</v>
      </c>
      <c r="C1" s="221" t="s">
        <v>319</v>
      </c>
      <c r="D1" s="221" t="s">
        <v>75</v>
      </c>
      <c r="E1" s="221" t="s">
        <v>318</v>
      </c>
      <c r="F1" s="221" t="s">
        <v>317</v>
      </c>
      <c r="G1" s="221" t="s">
        <v>316</v>
      </c>
      <c r="H1" s="221" t="s">
        <v>315</v>
      </c>
      <c r="I1" s="221" t="s">
        <v>314</v>
      </c>
      <c r="J1" s="221" t="s">
        <v>313</v>
      </c>
      <c r="K1" s="221" t="s">
        <v>312</v>
      </c>
      <c r="L1" s="221" t="s">
        <v>311</v>
      </c>
      <c r="M1" s="221" t="s">
        <v>310</v>
      </c>
      <c r="N1" s="221" t="s">
        <v>309</v>
      </c>
      <c r="O1" s="221" t="s">
        <v>308</v>
      </c>
    </row>
    <row r="2" spans="1:15" x14ac:dyDescent="0.25">
      <c r="A2" s="222">
        <v>0</v>
      </c>
      <c r="B2" s="7" t="s">
        <v>307</v>
      </c>
      <c r="C2" s="242">
        <v>26.008994999999999</v>
      </c>
      <c r="D2" s="242">
        <v>0.90100000000000002</v>
      </c>
      <c r="E2" s="242">
        <v>-15.827430542812049</v>
      </c>
      <c r="F2" s="242">
        <v>7.6169465341191156</v>
      </c>
      <c r="G2" s="35">
        <v>20.459999</v>
      </c>
      <c r="H2" s="35" t="s">
        <v>274</v>
      </c>
      <c r="I2" s="35">
        <v>423.03</v>
      </c>
      <c r="J2" s="243">
        <v>6.9611815999999997</v>
      </c>
      <c r="K2" s="244">
        <v>0.27247998000000001</v>
      </c>
      <c r="L2" s="243">
        <v>18.023296539192199</v>
      </c>
      <c r="M2" s="242">
        <v>20.916681559586859</v>
      </c>
      <c r="N2" s="35" t="s">
        <v>283</v>
      </c>
      <c r="O2" s="35" t="s">
        <v>279</v>
      </c>
    </row>
    <row r="3" spans="1:15" x14ac:dyDescent="0.25">
      <c r="A3" s="222">
        <v>1</v>
      </c>
      <c r="B3" s="7" t="s">
        <v>306</v>
      </c>
      <c r="C3" s="242">
        <v>38.118279999999999</v>
      </c>
      <c r="D3" s="242">
        <v>0.871</v>
      </c>
      <c r="E3" s="242">
        <v>0.12953745382401491</v>
      </c>
      <c r="F3" s="242">
        <v>13.399499793829181</v>
      </c>
      <c r="G3" s="35">
        <v>75.33</v>
      </c>
      <c r="H3" s="35" t="s">
        <v>287</v>
      </c>
      <c r="I3" s="35">
        <v>494.87</v>
      </c>
      <c r="J3" s="243">
        <v>7.3790474000000001</v>
      </c>
      <c r="K3" s="244">
        <v>0.23225999999999999</v>
      </c>
      <c r="L3" s="243">
        <v>22.79848209181829</v>
      </c>
      <c r="M3" s="242">
        <v>27.255468842441442</v>
      </c>
      <c r="N3" s="35" t="s">
        <v>305</v>
      </c>
      <c r="O3" s="35" t="s">
        <v>279</v>
      </c>
    </row>
    <row r="4" spans="1:15" x14ac:dyDescent="0.25">
      <c r="A4" s="222">
        <v>2</v>
      </c>
      <c r="B4" s="7" t="s">
        <v>304</v>
      </c>
      <c r="C4" s="242">
        <v>22.857143000000001</v>
      </c>
      <c r="D4" s="242">
        <v>1.141</v>
      </c>
      <c r="E4" s="242">
        <v>2.6345933562428412</v>
      </c>
      <c r="F4" s="242">
        <v>10.31301915629375</v>
      </c>
      <c r="G4" s="35">
        <v>32.209997999999999</v>
      </c>
      <c r="H4" s="35" t="s">
        <v>287</v>
      </c>
      <c r="I4" s="35">
        <v>89.02</v>
      </c>
      <c r="J4" s="243">
        <v>6.8589244000000003</v>
      </c>
      <c r="K4" s="244">
        <v>0.31442999999999999</v>
      </c>
      <c r="L4" s="243">
        <v>15.658623160961399</v>
      </c>
      <c r="M4" s="242">
        <v>21.745741335131491</v>
      </c>
      <c r="N4" s="35" t="s">
        <v>303</v>
      </c>
      <c r="O4" s="35" t="s">
        <v>279</v>
      </c>
    </row>
    <row r="5" spans="1:15" x14ac:dyDescent="0.25">
      <c r="A5" s="222">
        <v>3</v>
      </c>
      <c r="B5" s="7" t="s">
        <v>302</v>
      </c>
      <c r="C5" s="242">
        <v>20.379282</v>
      </c>
      <c r="D5" s="242">
        <v>1.1339999999999999</v>
      </c>
      <c r="E5" s="242">
        <v>11.580427274672211</v>
      </c>
      <c r="F5" s="242">
        <v>10.3700923842186</v>
      </c>
      <c r="G5" s="35">
        <v>29.85</v>
      </c>
      <c r="H5" s="35" t="s">
        <v>287</v>
      </c>
      <c r="I5" s="35">
        <v>127.41</v>
      </c>
      <c r="J5" s="243">
        <v>8.0862839999999991</v>
      </c>
      <c r="K5" s="244">
        <v>0.45151000000000002</v>
      </c>
      <c r="L5" s="243">
        <v>15.71203223749848</v>
      </c>
      <c r="M5" s="242">
        <v>19.382693127204501</v>
      </c>
      <c r="N5" s="35" t="s">
        <v>301</v>
      </c>
      <c r="O5" s="35" t="s">
        <v>279</v>
      </c>
    </row>
    <row r="6" spans="1:15" x14ac:dyDescent="0.25">
      <c r="A6" s="222">
        <v>4</v>
      </c>
      <c r="B6" s="7" t="s">
        <v>300</v>
      </c>
      <c r="C6" s="242">
        <v>22.003069</v>
      </c>
      <c r="D6" s="242">
        <v>1.579</v>
      </c>
      <c r="E6" s="242">
        <v>-2.0495447808596232</v>
      </c>
      <c r="F6" s="242">
        <v>9.6344016961361891</v>
      </c>
      <c r="G6" s="35">
        <v>28.530002</v>
      </c>
      <c r="H6" s="35" t="s">
        <v>287</v>
      </c>
      <c r="I6" s="35">
        <v>73.209999999999994</v>
      </c>
      <c r="J6" s="243">
        <v>3.9336440000000001</v>
      </c>
      <c r="K6" s="244">
        <v>0.19082001000000001</v>
      </c>
      <c r="L6" s="243">
        <v>14.918466294820719</v>
      </c>
      <c r="M6" s="242">
        <v>13.58792552928502</v>
      </c>
      <c r="N6" s="35" t="s">
        <v>283</v>
      </c>
      <c r="O6" s="35" t="s">
        <v>279</v>
      </c>
    </row>
    <row r="7" spans="1:15" x14ac:dyDescent="0.25">
      <c r="A7" s="222">
        <v>5</v>
      </c>
      <c r="B7" s="7" t="s">
        <v>299</v>
      </c>
      <c r="C7" s="242">
        <v>22.677541999999999</v>
      </c>
      <c r="D7" s="242">
        <v>1.3169999999999999</v>
      </c>
      <c r="E7" s="242">
        <v>4.6177685511039952</v>
      </c>
      <c r="F7" s="242">
        <v>21.06696411678562</v>
      </c>
      <c r="G7" s="35">
        <v>13.53</v>
      </c>
      <c r="H7" s="35" t="s">
        <v>274</v>
      </c>
      <c r="I7" s="35">
        <v>182.82</v>
      </c>
      <c r="J7" s="243">
        <v>4.4452642999999998</v>
      </c>
      <c r="K7" s="244">
        <v>0.21254998</v>
      </c>
      <c r="L7" s="243">
        <v>14.221221915079431</v>
      </c>
      <c r="M7" s="242">
        <v>17.607690077096471</v>
      </c>
      <c r="N7" s="35" t="s">
        <v>298</v>
      </c>
      <c r="O7" s="35" t="s">
        <v>291</v>
      </c>
    </row>
    <row r="8" spans="1:15" x14ac:dyDescent="0.25">
      <c r="A8" s="222">
        <v>6</v>
      </c>
      <c r="B8" s="7" t="s">
        <v>297</v>
      </c>
      <c r="C8" s="242">
        <v>44.268883000000002</v>
      </c>
      <c r="D8" s="242">
        <v>1.196</v>
      </c>
      <c r="E8" s="242">
        <v>19.186802655897051</v>
      </c>
      <c r="F8" s="242">
        <v>15.694639737461021</v>
      </c>
      <c r="G8" s="35">
        <v>0</v>
      </c>
      <c r="H8" s="35" t="s">
        <v>274</v>
      </c>
      <c r="I8" s="35">
        <v>144.72999999999999</v>
      </c>
      <c r="J8" s="243">
        <v>5.4724383000000003</v>
      </c>
      <c r="K8" s="244">
        <v>0.13099</v>
      </c>
      <c r="L8" s="243">
        <v>26.884933111673291</v>
      </c>
      <c r="M8" s="242">
        <v>48.486628593775457</v>
      </c>
      <c r="N8" s="35" t="s">
        <v>283</v>
      </c>
      <c r="O8" s="35" t="s">
        <v>279</v>
      </c>
    </row>
    <row r="9" spans="1:15" x14ac:dyDescent="0.25">
      <c r="A9" s="222">
        <v>7</v>
      </c>
      <c r="B9" s="7" t="s">
        <v>296</v>
      </c>
      <c r="C9" s="242">
        <v>42.538463999999998</v>
      </c>
      <c r="D9" s="242">
        <v>1.8819999999999999</v>
      </c>
      <c r="E9" s="242">
        <v>1.0866149399595451</v>
      </c>
      <c r="F9" s="242">
        <v>15.723937654843841</v>
      </c>
      <c r="G9" s="35">
        <v>0</v>
      </c>
      <c r="H9" s="35" t="s">
        <v>274</v>
      </c>
      <c r="I9" s="35">
        <v>44.5</v>
      </c>
      <c r="J9" s="243">
        <v>4.6407220000000002</v>
      </c>
      <c r="K9" s="244">
        <v>0.10544000000000001</v>
      </c>
      <c r="L9" s="243">
        <v>26.74542527705912</v>
      </c>
      <c r="M9" s="242">
        <v>36.572973059741678</v>
      </c>
      <c r="N9" s="35" t="s">
        <v>283</v>
      </c>
      <c r="O9" s="35" t="s">
        <v>279</v>
      </c>
    </row>
    <row r="10" spans="1:15" x14ac:dyDescent="0.25">
      <c r="A10" s="222">
        <v>8</v>
      </c>
      <c r="B10" s="7" t="s">
        <v>295</v>
      </c>
      <c r="C10" s="242">
        <v>18.486772999999999</v>
      </c>
      <c r="D10" s="242">
        <v>1.2569999999999999</v>
      </c>
      <c r="E10" s="242">
        <v>-5.733041529400861</v>
      </c>
      <c r="F10" s="242">
        <v>9.8639437758595374</v>
      </c>
      <c r="G10" s="35">
        <v>14.55</v>
      </c>
      <c r="H10" s="35" t="s">
        <v>284</v>
      </c>
      <c r="I10" s="35">
        <v>70.010000000000005</v>
      </c>
      <c r="J10" s="243">
        <v>17.144257</v>
      </c>
      <c r="K10" s="244">
        <v>0.58909</v>
      </c>
      <c r="L10" s="243">
        <v>18.278970655144288</v>
      </c>
      <c r="M10" s="242">
        <v>35.906587601684222</v>
      </c>
      <c r="N10" s="35" t="s">
        <v>294</v>
      </c>
      <c r="O10" s="35" t="s">
        <v>279</v>
      </c>
    </row>
    <row r="11" spans="1:15" x14ac:dyDescent="0.25">
      <c r="A11" s="222">
        <v>9</v>
      </c>
      <c r="B11" s="27" t="s">
        <v>293</v>
      </c>
      <c r="C11" s="242">
        <v>14.778097000000001</v>
      </c>
      <c r="D11" s="242">
        <v>1.857</v>
      </c>
      <c r="E11" s="242">
        <v>16.285219866865759</v>
      </c>
      <c r="F11" s="242">
        <v>30.812470378895409</v>
      </c>
      <c r="G11" s="35">
        <v>10.95</v>
      </c>
      <c r="H11" s="35" t="s">
        <v>274</v>
      </c>
      <c r="I11" s="35">
        <v>52.45</v>
      </c>
      <c r="J11" s="243">
        <v>4.2012124000000002</v>
      </c>
      <c r="K11" s="244">
        <v>0.33853</v>
      </c>
      <c r="L11" s="243">
        <v>8.4719981946866341</v>
      </c>
      <c r="M11" s="242">
        <v>13.06969634568318</v>
      </c>
      <c r="N11" s="35" t="s">
        <v>292</v>
      </c>
      <c r="O11" s="35" t="s">
        <v>291</v>
      </c>
    </row>
    <row r="12" spans="1:15" x14ac:dyDescent="0.25">
      <c r="A12" s="222">
        <v>10</v>
      </c>
      <c r="B12" s="7" t="s">
        <v>290</v>
      </c>
      <c r="C12" s="242">
        <v>14</v>
      </c>
      <c r="D12" s="242">
        <v>0.90800000000000003</v>
      </c>
      <c r="E12" s="242">
        <v>4.6002942618930849</v>
      </c>
      <c r="F12" s="242">
        <v>25.717487403850129</v>
      </c>
      <c r="G12" s="35">
        <v>0</v>
      </c>
      <c r="H12" s="35" t="s">
        <v>274</v>
      </c>
      <c r="I12" s="35">
        <v>13.35</v>
      </c>
      <c r="J12" s="243">
        <v>3.6259541999999998</v>
      </c>
      <c r="K12" s="244">
        <v>0.29903999999999997</v>
      </c>
      <c r="L12" s="243">
        <v>8.6410361688542032</v>
      </c>
      <c r="M12" s="242">
        <v>12.886817341252989</v>
      </c>
      <c r="N12" s="35" t="s">
        <v>283</v>
      </c>
      <c r="O12" s="35" t="s">
        <v>279</v>
      </c>
    </row>
    <row r="13" spans="1:15" x14ac:dyDescent="0.25">
      <c r="A13" s="222">
        <v>11</v>
      </c>
      <c r="B13" s="7" t="s">
        <v>289</v>
      </c>
      <c r="C13" s="242">
        <v>12.607692</v>
      </c>
      <c r="D13" s="242">
        <v>1.625</v>
      </c>
      <c r="E13" s="242">
        <v>-10.58455135030491</v>
      </c>
      <c r="F13" s="242">
        <v>2.38631843143129</v>
      </c>
      <c r="G13" s="35">
        <v>0</v>
      </c>
      <c r="H13" s="35" t="s">
        <v>287</v>
      </c>
      <c r="I13" s="35">
        <v>90.94</v>
      </c>
      <c r="J13" s="243">
        <v>1.5500016000000001</v>
      </c>
      <c r="K13" s="244">
        <v>0.13028000000000001</v>
      </c>
      <c r="L13" s="243">
        <v>7.6942636468638579</v>
      </c>
      <c r="M13" s="242">
        <v>9.9476561207402625</v>
      </c>
      <c r="N13" s="35" t="s">
        <v>273</v>
      </c>
      <c r="O13" s="35" t="s">
        <v>272</v>
      </c>
    </row>
    <row r="14" spans="1:15" x14ac:dyDescent="0.25">
      <c r="A14" s="222">
        <v>12</v>
      </c>
      <c r="B14" s="7" t="s">
        <v>288</v>
      </c>
      <c r="C14" s="242">
        <v>12.7782345</v>
      </c>
      <c r="D14" s="242">
        <v>0.99399999999999999</v>
      </c>
      <c r="E14" s="242">
        <v>-1.6487864198970501</v>
      </c>
      <c r="F14" s="242">
        <v>4.9184531508799756</v>
      </c>
      <c r="G14" s="35">
        <v>20.120000999999998</v>
      </c>
      <c r="H14" s="35" t="s">
        <v>287</v>
      </c>
      <c r="I14" s="35">
        <v>63.62</v>
      </c>
      <c r="J14" s="243">
        <v>2.8442799999999999</v>
      </c>
      <c r="K14" s="244">
        <v>0.24051</v>
      </c>
      <c r="L14" s="243">
        <v>8.3558156272886031</v>
      </c>
      <c r="M14" s="242">
        <v>12.10112410408704</v>
      </c>
      <c r="N14" s="35" t="s">
        <v>283</v>
      </c>
      <c r="O14" s="35" t="s">
        <v>279</v>
      </c>
    </row>
    <row r="15" spans="1:15" x14ac:dyDescent="0.25">
      <c r="A15" s="222">
        <v>13</v>
      </c>
      <c r="B15" s="7" t="s">
        <v>286</v>
      </c>
      <c r="C15" s="242">
        <v>12.807377000000001</v>
      </c>
      <c r="D15" s="242">
        <v>1.3</v>
      </c>
      <c r="E15" s="242">
        <v>-7.443213355360859</v>
      </c>
      <c r="F15" s="242">
        <v>10.79640555045945</v>
      </c>
      <c r="G15" s="35">
        <v>13.11</v>
      </c>
      <c r="H15" s="35" t="s">
        <v>284</v>
      </c>
      <c r="I15" s="35">
        <v>30.81</v>
      </c>
      <c r="J15" s="243">
        <v>1.8146447999999999</v>
      </c>
      <c r="K15" s="244">
        <v>0.15244000999999999</v>
      </c>
      <c r="L15" s="243">
        <v>7.2769177564033276</v>
      </c>
      <c r="M15" s="242">
        <v>8.1522117103568039</v>
      </c>
      <c r="N15" s="35" t="s">
        <v>283</v>
      </c>
      <c r="O15" s="35" t="s">
        <v>279</v>
      </c>
    </row>
    <row r="16" spans="1:15" x14ac:dyDescent="0.25">
      <c r="A16" s="222">
        <v>14</v>
      </c>
      <c r="B16" s="7" t="s">
        <v>285</v>
      </c>
      <c r="C16" s="242">
        <v>16.247523999999999</v>
      </c>
      <c r="D16" s="242">
        <v>2.0139999999999998</v>
      </c>
      <c r="E16" s="242">
        <v>-2.806107314863254</v>
      </c>
      <c r="F16" s="242">
        <v>4.7074615018749313</v>
      </c>
      <c r="G16" s="35">
        <v>3.96</v>
      </c>
      <c r="H16" s="35" t="s">
        <v>284</v>
      </c>
      <c r="I16" s="35">
        <v>16.510000000000002</v>
      </c>
      <c r="J16" s="243">
        <v>2.2314386000000002</v>
      </c>
      <c r="K16" s="244">
        <v>0.14935000000000001</v>
      </c>
      <c r="L16" s="243">
        <v>9.5802227883115876</v>
      </c>
      <c r="M16" s="242">
        <v>13.03707723479647</v>
      </c>
      <c r="N16" s="35" t="s">
        <v>283</v>
      </c>
      <c r="O16" s="35" t="s">
        <v>279</v>
      </c>
    </row>
    <row r="17" spans="1:16" x14ac:dyDescent="0.25">
      <c r="A17" s="224">
        <v>15</v>
      </c>
      <c r="B17" s="27" t="s">
        <v>282</v>
      </c>
      <c r="C17" s="245">
        <v>12.100580000000001</v>
      </c>
      <c r="D17" s="245">
        <v>0.64800000000000002</v>
      </c>
      <c r="E17" s="245">
        <v>5.1266755727048254</v>
      </c>
      <c r="F17" s="245">
        <v>13.05635930712357</v>
      </c>
      <c r="G17" s="225">
        <v>7.7399999999999993</v>
      </c>
      <c r="H17" s="225" t="s">
        <v>281</v>
      </c>
      <c r="I17" s="225">
        <v>124.31</v>
      </c>
      <c r="J17" s="246">
        <v>1.4886022999999999</v>
      </c>
      <c r="K17" s="247">
        <v>0.12975999999999999</v>
      </c>
      <c r="L17" s="246">
        <v>5.9994204805872791</v>
      </c>
      <c r="M17" s="245">
        <v>7.8423743516915838</v>
      </c>
      <c r="N17" s="225" t="s">
        <v>280</v>
      </c>
      <c r="O17" s="225" t="s">
        <v>279</v>
      </c>
    </row>
    <row r="18" spans="1:16" x14ac:dyDescent="0.25">
      <c r="A18" s="222">
        <v>16</v>
      </c>
      <c r="B18" s="7" t="s">
        <v>278</v>
      </c>
      <c r="C18" s="242">
        <v>16.586956000000001</v>
      </c>
      <c r="D18" s="242">
        <v>0.85399999999999998</v>
      </c>
      <c r="E18" s="242">
        <v>9.1973545438565658</v>
      </c>
      <c r="F18" s="242">
        <v>18.89670109632959</v>
      </c>
      <c r="G18" s="35">
        <v>21.74</v>
      </c>
      <c r="H18" s="35" t="s">
        <v>274</v>
      </c>
      <c r="I18" s="35">
        <v>15.43</v>
      </c>
      <c r="J18" s="243">
        <v>2.160555</v>
      </c>
      <c r="K18" s="244">
        <v>0.15142</v>
      </c>
      <c r="L18" s="243">
        <v>9.7209201962422611</v>
      </c>
      <c r="M18" s="242">
        <v>15.729718490271701</v>
      </c>
      <c r="N18" s="35" t="s">
        <v>277</v>
      </c>
      <c r="O18" s="35" t="s">
        <v>276</v>
      </c>
    </row>
    <row r="19" spans="1:16" x14ac:dyDescent="0.25">
      <c r="A19" s="222">
        <v>17</v>
      </c>
      <c r="B19" s="7" t="s">
        <v>275</v>
      </c>
      <c r="C19" s="242">
        <v>17.164999000000002</v>
      </c>
      <c r="D19" s="242">
        <v>1.43</v>
      </c>
      <c r="E19" s="242">
        <v>-27.50268347396625</v>
      </c>
      <c r="F19" s="242">
        <v>-1.224558603175171</v>
      </c>
      <c r="G19" s="35">
        <v>0</v>
      </c>
      <c r="H19" s="35" t="s">
        <v>274</v>
      </c>
      <c r="I19" s="35">
        <v>0.96009999999999995</v>
      </c>
      <c r="J19" s="243">
        <v>0.41195998</v>
      </c>
      <c r="K19" s="244">
        <v>1.495E-2</v>
      </c>
      <c r="L19" s="243">
        <v>7.8466587036064093</v>
      </c>
      <c r="M19" s="242">
        <v>5.1429644996334796</v>
      </c>
      <c r="N19" s="35" t="s">
        <v>273</v>
      </c>
      <c r="O19" s="35" t="s">
        <v>272</v>
      </c>
    </row>
    <row r="23" spans="1:16" x14ac:dyDescent="0.25">
      <c r="K23" s="226"/>
      <c r="L23" s="226"/>
    </row>
    <row r="31" spans="1:16" x14ac:dyDescent="0.25">
      <c r="K31" s="227"/>
      <c r="L31" s="227"/>
      <c r="M31" s="227"/>
      <c r="N31" s="227"/>
      <c r="O31" s="227"/>
      <c r="P31" s="227"/>
    </row>
    <row r="35" spans="2:19" x14ac:dyDescent="0.25">
      <c r="B35" s="7">
        <f>MEDIAN(Table14[year growth])</f>
        <v>0.60807619689177994</v>
      </c>
      <c r="D35" s="7" t="s">
        <v>139</v>
      </c>
      <c r="E35" s="7">
        <f>AVERAGE(Table14[pe ratio])</f>
        <v>21.467216138888887</v>
      </c>
      <c r="H35" s="7" t="s">
        <v>139</v>
      </c>
      <c r="I35" s="7">
        <f>AVERAGE(Table14[beta])</f>
        <v>1.2726666666666666</v>
      </c>
    </row>
    <row r="36" spans="2:19" x14ac:dyDescent="0.25">
      <c r="B36" s="7">
        <f>AVERAGE(Table14[year growth])</f>
        <v>4.7218317197502122E-2</v>
      </c>
      <c r="D36" s="7" t="s">
        <v>140</v>
      </c>
      <c r="E36" s="7">
        <f>MEDIAN(Table14[pe ratio])</f>
        <v>17.825886000000001</v>
      </c>
      <c r="H36" s="7" t="s">
        <v>140</v>
      </c>
      <c r="I36" s="7">
        <f>MEDIAN(Table14[beta])</f>
        <v>1.2264999999999999</v>
      </c>
      <c r="K36" s="227"/>
      <c r="L36" s="227"/>
      <c r="M36" s="227"/>
      <c r="N36" s="227"/>
      <c r="O36" s="227"/>
      <c r="P36" s="227"/>
      <c r="Q36" s="227"/>
      <c r="R36" s="227"/>
      <c r="S36" s="227"/>
    </row>
    <row r="38" spans="2:19" x14ac:dyDescent="0.25">
      <c r="D38" s="7" t="s">
        <v>322</v>
      </c>
      <c r="E38" s="7">
        <f>MAX(Table14[pe ratio])</f>
        <v>44.268883000000002</v>
      </c>
      <c r="H38" s="7" t="s">
        <v>322</v>
      </c>
      <c r="I38" s="7">
        <f>MAX(Table14[beta])</f>
        <v>2.0139999999999998</v>
      </c>
    </row>
    <row r="39" spans="2:19" x14ac:dyDescent="0.25">
      <c r="D39" s="7" t="s">
        <v>323</v>
      </c>
      <c r="E39" s="7">
        <f>MIN(Table14[pe ratio])</f>
        <v>12.100580000000001</v>
      </c>
      <c r="F39" s="7" t="s">
        <v>282</v>
      </c>
      <c r="H39" s="7" t="s">
        <v>323</v>
      </c>
      <c r="I39" s="7">
        <f>MIN(Table14[beta])</f>
        <v>0.64800000000000002</v>
      </c>
      <c r="J39" s="7" t="s">
        <v>282</v>
      </c>
    </row>
    <row r="41" spans="2:19" x14ac:dyDescent="0.25">
      <c r="K41" s="7" t="s">
        <v>324</v>
      </c>
      <c r="M41" s="223">
        <f>AVERAGE(Table14[avg 3y growth])</f>
        <v>12.430585725956442</v>
      </c>
    </row>
    <row r="42" spans="2:19" x14ac:dyDescent="0.25">
      <c r="K42" s="7" t="s">
        <v>325</v>
      </c>
      <c r="M42" s="223">
        <f>MEDIAN(Table14[avg 3y growth])</f>
        <v>10.583248967339024</v>
      </c>
    </row>
    <row r="45" spans="2:19" ht="15.75" thickBot="1" x14ac:dyDescent="0.3">
      <c r="N45"/>
      <c r="O45"/>
      <c r="P45"/>
    </row>
    <row r="46" spans="2:19" x14ac:dyDescent="0.25">
      <c r="N46" s="231" t="s">
        <v>313</v>
      </c>
      <c r="O46" s="231" t="s">
        <v>312</v>
      </c>
      <c r="P46" s="177" t="s">
        <v>326</v>
      </c>
      <c r="Q46" s="231" t="s">
        <v>320</v>
      </c>
      <c r="R46" s="7" t="s">
        <v>331</v>
      </c>
    </row>
    <row r="47" spans="2:19" x14ac:dyDescent="0.25">
      <c r="N47" s="232">
        <v>6.9611815999999997</v>
      </c>
      <c r="O47" s="233">
        <v>0.27247998000000001</v>
      </c>
      <c r="P47">
        <v>5.0255154856045303</v>
      </c>
      <c r="Q47" s="239" t="s">
        <v>307</v>
      </c>
      <c r="R47" s="223">
        <f t="shared" ref="R47:R63" si="0">P47-N47</f>
        <v>-1.9356661143954694</v>
      </c>
    </row>
    <row r="48" spans="2:19" x14ac:dyDescent="0.25">
      <c r="M48" s="31"/>
      <c r="N48" s="234">
        <v>7.3790474000000001</v>
      </c>
      <c r="O48" s="235">
        <v>0.23225999999999999</v>
      </c>
      <c r="P48">
        <v>4.4007026272204648</v>
      </c>
      <c r="Q48" s="240" t="s">
        <v>306</v>
      </c>
      <c r="R48" s="223">
        <f t="shared" si="0"/>
        <v>-2.9783447727795354</v>
      </c>
    </row>
    <row r="49" spans="7:25" x14ac:dyDescent="0.25">
      <c r="L49" s="209"/>
      <c r="M49" s="229"/>
      <c r="N49" s="232">
        <v>6.8589244000000003</v>
      </c>
      <c r="O49" s="233">
        <v>0.31442999999999999</v>
      </c>
      <c r="P49">
        <v>5.6772043204937743</v>
      </c>
      <c r="Q49" s="239" t="s">
        <v>304</v>
      </c>
      <c r="R49" s="223">
        <f t="shared" si="0"/>
        <v>-1.1817200795062259</v>
      </c>
    </row>
    <row r="50" spans="7:25" x14ac:dyDescent="0.25">
      <c r="L50" s="209"/>
      <c r="M50" s="230"/>
      <c r="N50" s="234">
        <v>8.0862839999999991</v>
      </c>
      <c r="O50" s="235">
        <v>0.45151000000000002</v>
      </c>
      <c r="P50">
        <v>7.8067266779710227</v>
      </c>
      <c r="Q50" s="240" t="s">
        <v>302</v>
      </c>
      <c r="R50" s="223">
        <f t="shared" si="0"/>
        <v>-0.27955732202897643</v>
      </c>
    </row>
    <row r="51" spans="7:25" x14ac:dyDescent="0.25">
      <c r="M51" s="229"/>
      <c r="N51" s="232">
        <v>3.9336440000000001</v>
      </c>
      <c r="O51" s="233">
        <v>0.19082001000000001</v>
      </c>
      <c r="P51">
        <v>3.756937050924626</v>
      </c>
      <c r="Q51" s="239" t="s">
        <v>300</v>
      </c>
      <c r="R51" s="223">
        <f t="shared" si="0"/>
        <v>-0.1767069490753741</v>
      </c>
    </row>
    <row r="52" spans="7:25" x14ac:dyDescent="0.25">
      <c r="M52" s="230"/>
      <c r="N52" s="234">
        <v>4.4452642999999998</v>
      </c>
      <c r="O52" s="235">
        <v>0.21254998</v>
      </c>
      <c r="P52">
        <v>4.0945096869204667</v>
      </c>
      <c r="Q52" s="240" t="s">
        <v>299</v>
      </c>
      <c r="R52" s="223">
        <f t="shared" si="0"/>
        <v>-0.35075461307953315</v>
      </c>
    </row>
    <row r="53" spans="7:25" x14ac:dyDescent="0.25">
      <c r="M53" s="229"/>
      <c r="N53" s="232">
        <v>5.4724383000000003</v>
      </c>
      <c r="O53" s="233">
        <v>0.13099</v>
      </c>
      <c r="P53">
        <v>2.8274845856263524</v>
      </c>
      <c r="Q53" s="239" t="s">
        <v>297</v>
      </c>
      <c r="R53" s="223">
        <f t="shared" si="0"/>
        <v>-2.6449537143736479</v>
      </c>
    </row>
    <row r="54" spans="7:25" x14ac:dyDescent="0.25">
      <c r="M54" s="230"/>
      <c r="N54" s="234">
        <v>4.6407220000000002</v>
      </c>
      <c r="O54" s="235">
        <v>0.10544000000000001</v>
      </c>
      <c r="P54">
        <v>2.4305682139197313</v>
      </c>
      <c r="Q54" s="240" t="s">
        <v>296</v>
      </c>
      <c r="R54" s="223">
        <f t="shared" si="0"/>
        <v>-2.2101537860802689</v>
      </c>
    </row>
    <row r="55" spans="7:25" x14ac:dyDescent="0.25">
      <c r="M55" s="229"/>
      <c r="N55" s="234">
        <v>4.2012124000000002</v>
      </c>
      <c r="O55" s="235">
        <v>0.33853</v>
      </c>
      <c r="P55">
        <v>6.0515951055477704</v>
      </c>
      <c r="Q55" s="239" t="s">
        <v>295</v>
      </c>
      <c r="R55" s="223">
        <f t="shared" si="0"/>
        <v>1.8503827055477702</v>
      </c>
    </row>
    <row r="56" spans="7:25" x14ac:dyDescent="0.25">
      <c r="M56" s="230"/>
      <c r="N56" s="232">
        <v>3.6259541999999998</v>
      </c>
      <c r="O56" s="233">
        <v>0.29903999999999997</v>
      </c>
      <c r="P56">
        <v>5.4381224042290031</v>
      </c>
      <c r="Q56" s="239" t="s">
        <v>290</v>
      </c>
      <c r="R56" s="223">
        <f t="shared" si="0"/>
        <v>1.8121682042290033</v>
      </c>
    </row>
    <row r="57" spans="7:25" x14ac:dyDescent="0.25">
      <c r="M57" s="229"/>
      <c r="N57" s="234">
        <v>1.5500016000000001</v>
      </c>
      <c r="O57" s="235">
        <v>0.13028000000000001</v>
      </c>
      <c r="P57">
        <v>2.8164548156102391</v>
      </c>
      <c r="Q57" s="240" t="s">
        <v>289</v>
      </c>
      <c r="R57" s="223">
        <f t="shared" si="0"/>
        <v>1.266453215610239</v>
      </c>
    </row>
    <row r="58" spans="7:25" x14ac:dyDescent="0.25">
      <c r="M58" s="230"/>
      <c r="N58" s="232">
        <v>2.8442799999999999</v>
      </c>
      <c r="O58" s="233">
        <v>0.24051</v>
      </c>
      <c r="P58">
        <v>4.5288654478302348</v>
      </c>
      <c r="Q58" s="239" t="s">
        <v>288</v>
      </c>
      <c r="R58" s="223">
        <f t="shared" si="0"/>
        <v>1.6845854478302349</v>
      </c>
    </row>
    <row r="59" spans="7:25" x14ac:dyDescent="0.25">
      <c r="J59" s="7" t="s">
        <v>327</v>
      </c>
      <c r="K59" s="209">
        <f>AVERAGE(Table14[pb ratio])</f>
        <v>4.7361339933333335</v>
      </c>
      <c r="L59" s="7" t="s">
        <v>329</v>
      </c>
      <c r="M59" s="238">
        <f>AVERAGE(Table14[ROE])</f>
        <v>0.22810277666666665</v>
      </c>
      <c r="N59" s="234">
        <v>1.8146447999999999</v>
      </c>
      <c r="O59" s="235">
        <v>0.15244000999999999</v>
      </c>
      <c r="P59">
        <v>3.1607080745606284</v>
      </c>
      <c r="Q59" s="240" t="s">
        <v>286</v>
      </c>
      <c r="R59" s="223">
        <f t="shared" si="0"/>
        <v>1.3460632745606285</v>
      </c>
    </row>
    <row r="60" spans="7:25" x14ac:dyDescent="0.25">
      <c r="J60" s="7" t="s">
        <v>328</v>
      </c>
      <c r="K60" s="209">
        <f>MEDIAN(Table14[pb ratio])</f>
        <v>4.0674282000000002</v>
      </c>
      <c r="L60" s="7" t="s">
        <v>330</v>
      </c>
      <c r="M60" s="33">
        <f>MEDIAN(Table14[ROE])</f>
        <v>0.20168499500000001</v>
      </c>
      <c r="N60" s="232">
        <v>2.2314386000000002</v>
      </c>
      <c r="O60" s="233">
        <v>0.14935000000000001</v>
      </c>
      <c r="P60">
        <v>3.1127051173106413</v>
      </c>
      <c r="Q60" s="239" t="s">
        <v>285</v>
      </c>
      <c r="R60" s="223">
        <f t="shared" si="0"/>
        <v>0.8812665173106411</v>
      </c>
    </row>
    <row r="61" spans="7:25" x14ac:dyDescent="0.25">
      <c r="G61" s="7" t="s">
        <v>139</v>
      </c>
      <c r="H61" s="228">
        <f>AVERAGE(Table14[year growth])</f>
        <v>4.7218317197502122E-2</v>
      </c>
      <c r="M61" s="229"/>
      <c r="N61" s="236">
        <v>1.4886022999999999</v>
      </c>
      <c r="O61" s="237">
        <v>0.12975999999999999</v>
      </c>
      <c r="P61">
        <v>2.8083766741899869</v>
      </c>
      <c r="Q61" s="241" t="s">
        <v>282</v>
      </c>
      <c r="R61" s="223">
        <f t="shared" si="0"/>
        <v>1.319774374189987</v>
      </c>
    </row>
    <row r="62" spans="7:25" x14ac:dyDescent="0.25">
      <c r="G62" s="7" t="s">
        <v>140</v>
      </c>
      <c r="H62" s="7">
        <f>MEDIAN(Table14[year growth])</f>
        <v>0.60807619689177994</v>
      </c>
      <c r="M62" s="230"/>
      <c r="N62" s="232">
        <v>2.160555</v>
      </c>
      <c r="O62" s="233">
        <v>0.15142</v>
      </c>
      <c r="P62">
        <v>3.1448623341181836</v>
      </c>
      <c r="Q62" s="239" t="s">
        <v>278</v>
      </c>
      <c r="R62" s="223">
        <f t="shared" si="0"/>
        <v>0.98430733411818361</v>
      </c>
    </row>
    <row r="63" spans="7:25" ht="15.75" thickBot="1" x14ac:dyDescent="0.3">
      <c r="M63" s="229"/>
      <c r="N63" s="234">
        <v>0.41195998</v>
      </c>
      <c r="O63" s="235">
        <v>1.495E-2</v>
      </c>
      <c r="P63" s="176">
        <v>1.0248162579223858</v>
      </c>
      <c r="Q63" s="240" t="s">
        <v>275</v>
      </c>
      <c r="R63" s="223">
        <f t="shared" si="0"/>
        <v>0.61285627792238584</v>
      </c>
    </row>
    <row r="64" spans="7:25" x14ac:dyDescent="0.25">
      <c r="M64" s="230"/>
      <c r="Q64"/>
      <c r="S64"/>
      <c r="T64"/>
      <c r="U64"/>
      <c r="V64"/>
      <c r="W64"/>
      <c r="X64"/>
      <c r="Y64"/>
    </row>
    <row r="65" spans="13:24" x14ac:dyDescent="0.25">
      <c r="M65" s="229"/>
      <c r="N65" t="s">
        <v>185</v>
      </c>
      <c r="O65"/>
      <c r="P65"/>
      <c r="Q65"/>
      <c r="R65"/>
      <c r="S65"/>
      <c r="T65"/>
      <c r="U65"/>
      <c r="V65"/>
    </row>
    <row r="66" spans="13:24" ht="15.75" thickBot="1" x14ac:dyDescent="0.3">
      <c r="M66" s="230"/>
      <c r="N66"/>
      <c r="O66"/>
      <c r="P66"/>
      <c r="Q66"/>
      <c r="R66"/>
      <c r="S66"/>
      <c r="T66"/>
      <c r="U66"/>
      <c r="V66"/>
      <c r="W66"/>
      <c r="X66"/>
    </row>
    <row r="67" spans="13:24" x14ac:dyDescent="0.25">
      <c r="M67" s="31"/>
      <c r="N67" s="178" t="s">
        <v>186</v>
      </c>
      <c r="O67" s="178"/>
      <c r="P67"/>
      <c r="Q67"/>
      <c r="R67"/>
      <c r="S67"/>
      <c r="T67"/>
      <c r="U67"/>
      <c r="V67"/>
      <c r="W67"/>
      <c r="X67"/>
    </row>
    <row r="68" spans="13:24" x14ac:dyDescent="0.25">
      <c r="M68" s="31"/>
      <c r="N68" t="s">
        <v>187</v>
      </c>
      <c r="O68">
        <v>0.70678910901752734</v>
      </c>
      <c r="P68"/>
      <c r="Q68"/>
      <c r="R68"/>
      <c r="S68"/>
      <c r="T68"/>
      <c r="U68"/>
      <c r="V68"/>
      <c r="W68"/>
      <c r="X68"/>
    </row>
    <row r="69" spans="13:24" x14ac:dyDescent="0.25">
      <c r="N69" t="s">
        <v>188</v>
      </c>
      <c r="O69">
        <v>0.49955084462579008</v>
      </c>
      <c r="P69"/>
      <c r="Q69"/>
      <c r="R69"/>
      <c r="S69"/>
      <c r="T69"/>
      <c r="U69"/>
      <c r="V69"/>
      <c r="W69"/>
      <c r="X69"/>
    </row>
    <row r="70" spans="13:24" x14ac:dyDescent="0.25">
      <c r="N70" t="s">
        <v>189</v>
      </c>
      <c r="O70">
        <v>0.46618756760084273</v>
      </c>
      <c r="P70"/>
      <c r="Q70"/>
      <c r="R70"/>
      <c r="S70"/>
      <c r="T70"/>
      <c r="U70"/>
      <c r="V70"/>
      <c r="W70"/>
      <c r="X70"/>
    </row>
    <row r="71" spans="13:24" x14ac:dyDescent="0.25">
      <c r="N71" t="s">
        <v>190</v>
      </c>
      <c r="O71">
        <v>1.6921612685539562</v>
      </c>
      <c r="P71"/>
      <c r="Q71"/>
      <c r="R71"/>
      <c r="S71"/>
      <c r="T71"/>
      <c r="U71"/>
      <c r="V71"/>
      <c r="W71"/>
      <c r="X71"/>
    </row>
    <row r="72" spans="13:24" ht="15.75" thickBot="1" x14ac:dyDescent="0.3">
      <c r="N72" s="176" t="s">
        <v>191</v>
      </c>
      <c r="O72" s="176">
        <v>17</v>
      </c>
      <c r="P72"/>
      <c r="Q72"/>
      <c r="R72"/>
      <c r="S72"/>
      <c r="T72"/>
      <c r="U72"/>
      <c r="V72"/>
      <c r="W72"/>
      <c r="X72"/>
    </row>
    <row r="73" spans="13:24" x14ac:dyDescent="0.25">
      <c r="N73"/>
      <c r="O73"/>
      <c r="P73"/>
      <c r="Q73"/>
      <c r="R73"/>
      <c r="S73"/>
      <c r="T73"/>
      <c r="U73"/>
      <c r="V73"/>
      <c r="W73"/>
      <c r="X73"/>
    </row>
    <row r="74" spans="13:24" ht="15.75" thickBot="1" x14ac:dyDescent="0.3">
      <c r="N74" t="s">
        <v>192</v>
      </c>
      <c r="O74"/>
      <c r="P74"/>
      <c r="Q74"/>
      <c r="R74"/>
      <c r="S74"/>
      <c r="T74"/>
      <c r="U74"/>
      <c r="V74"/>
      <c r="W74"/>
      <c r="X74"/>
    </row>
    <row r="75" spans="13:24" x14ac:dyDescent="0.25">
      <c r="N75" s="177"/>
      <c r="O75" s="177" t="s">
        <v>197</v>
      </c>
      <c r="P75" s="177" t="s">
        <v>198</v>
      </c>
      <c r="Q75" s="177" t="s">
        <v>199</v>
      </c>
      <c r="R75" s="177" t="s">
        <v>200</v>
      </c>
      <c r="S75" s="177" t="s">
        <v>201</v>
      </c>
      <c r="T75"/>
      <c r="U75"/>
      <c r="V75"/>
      <c r="W75"/>
      <c r="X75"/>
    </row>
    <row r="76" spans="13:24" x14ac:dyDescent="0.25">
      <c r="N76" t="s">
        <v>193</v>
      </c>
      <c r="O76">
        <v>1</v>
      </c>
      <c r="P76">
        <v>42.874048686696661</v>
      </c>
      <c r="Q76">
        <v>42.874048686696661</v>
      </c>
      <c r="R76">
        <v>14.973074864685861</v>
      </c>
      <c r="S76">
        <v>1.5124716038512232E-3</v>
      </c>
      <c r="T76"/>
      <c r="U76"/>
      <c r="V76"/>
      <c r="W76"/>
      <c r="X76"/>
    </row>
    <row r="77" spans="13:24" x14ac:dyDescent="0.25">
      <c r="N77" t="s">
        <v>194</v>
      </c>
      <c r="O77">
        <v>15</v>
      </c>
      <c r="P77">
        <v>42.951146381912018</v>
      </c>
      <c r="Q77">
        <v>2.8634097587941345</v>
      </c>
      <c r="R77"/>
      <c r="S77"/>
      <c r="T77"/>
      <c r="U77"/>
      <c r="V77"/>
      <c r="W77"/>
      <c r="X77"/>
    </row>
    <row r="78" spans="13:24" ht="15.75" thickBot="1" x14ac:dyDescent="0.3">
      <c r="N78" s="176" t="s">
        <v>195</v>
      </c>
      <c r="O78" s="176">
        <v>16</v>
      </c>
      <c r="P78" s="176">
        <v>85.825195068608679</v>
      </c>
      <c r="Q78" s="176"/>
      <c r="R78" s="176"/>
      <c r="S78" s="176"/>
      <c r="T78"/>
      <c r="U78"/>
      <c r="V78"/>
      <c r="W78"/>
      <c r="X78"/>
    </row>
    <row r="79" spans="13:24" ht="15.75" thickBot="1" x14ac:dyDescent="0.3">
      <c r="N79"/>
      <c r="O79"/>
      <c r="P79"/>
      <c r="Q79"/>
      <c r="R79"/>
      <c r="S79"/>
      <c r="T79"/>
      <c r="U79"/>
      <c r="V79"/>
      <c r="W79"/>
      <c r="X79"/>
    </row>
    <row r="80" spans="13:24" x14ac:dyDescent="0.25">
      <c r="N80" s="177"/>
      <c r="O80" s="177" t="s">
        <v>202</v>
      </c>
      <c r="P80" s="177" t="s">
        <v>190</v>
      </c>
      <c r="Q80" s="177" t="s">
        <v>203</v>
      </c>
      <c r="R80" s="177" t="s">
        <v>204</v>
      </c>
      <c r="S80" s="177" t="s">
        <v>205</v>
      </c>
      <c r="T80" s="177" t="s">
        <v>206</v>
      </c>
      <c r="U80" s="177" t="s">
        <v>207</v>
      </c>
      <c r="V80" s="177" t="s">
        <v>208</v>
      </c>
      <c r="W80"/>
      <c r="X80"/>
    </row>
    <row r="81" spans="14:24" x14ac:dyDescent="0.25">
      <c r="N81" t="s">
        <v>196</v>
      </c>
      <c r="O81">
        <v>0.79256969209013572</v>
      </c>
      <c r="P81">
        <v>0.92638418384577792</v>
      </c>
      <c r="Q81">
        <v>0.85555183897880616</v>
      </c>
      <c r="R81">
        <v>0.40570494067255125</v>
      </c>
      <c r="S81">
        <v>-1.18197145558171</v>
      </c>
      <c r="T81">
        <v>2.7671108397619815</v>
      </c>
      <c r="U81">
        <v>-1.18197145558171</v>
      </c>
      <c r="V81">
        <v>2.7671108397619815</v>
      </c>
      <c r="W81"/>
      <c r="X81"/>
    </row>
    <row r="82" spans="14:24" ht="15.75" thickBot="1" x14ac:dyDescent="0.3">
      <c r="N82" s="176" t="s">
        <v>312</v>
      </c>
      <c r="O82" s="176">
        <v>15.534887346638804</v>
      </c>
      <c r="P82" s="176">
        <v>4.0146954909609232</v>
      </c>
      <c r="Q82" s="176">
        <v>3.8695057649118256</v>
      </c>
      <c r="R82" s="176">
        <v>1.5124716038512286E-3</v>
      </c>
      <c r="S82" s="176">
        <v>6.9777664668692694</v>
      </c>
      <c r="T82" s="176">
        <v>24.092008226408339</v>
      </c>
      <c r="U82" s="176">
        <v>6.9777664668692694</v>
      </c>
      <c r="V82" s="176">
        <v>24.092008226408339</v>
      </c>
      <c r="W82"/>
      <c r="X82"/>
    </row>
    <row r="83" spans="14:24" x14ac:dyDescent="0.25">
      <c r="N83"/>
      <c r="O83"/>
      <c r="P83"/>
      <c r="Q83"/>
      <c r="R83"/>
      <c r="S83"/>
      <c r="T83"/>
      <c r="U83"/>
      <c r="V83"/>
      <c r="W83"/>
      <c r="X83"/>
    </row>
    <row r="84" spans="14:24" x14ac:dyDescent="0.25">
      <c r="N84"/>
      <c r="O84"/>
      <c r="P84"/>
      <c r="R84"/>
      <c r="S84"/>
      <c r="T84"/>
      <c r="U84"/>
      <c r="V84"/>
      <c r="W84"/>
      <c r="X84"/>
    </row>
    <row r="85" spans="14:24" x14ac:dyDescent="0.25">
      <c r="N85"/>
      <c r="O85"/>
      <c r="P85"/>
      <c r="R85"/>
      <c r="S85"/>
      <c r="T85"/>
      <c r="U85"/>
      <c r="V85"/>
      <c r="W85"/>
      <c r="X85"/>
    </row>
    <row r="86" spans="14:24" ht="15.75" thickBot="1" x14ac:dyDescent="0.3">
      <c r="N86"/>
      <c r="O86"/>
      <c r="P86" s="176"/>
      <c r="R86" s="176"/>
      <c r="S86" s="176"/>
      <c r="T86"/>
      <c r="U86"/>
      <c r="V86"/>
      <c r="W86"/>
      <c r="X86"/>
    </row>
  </sheetData>
  <pageMargins left="0.75" right="0.75" top="1" bottom="1" header="0.5" footer="0.5"/>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7E56-9D25-4D63-ADB1-8B23869513D8}">
  <dimension ref="A7:AC173"/>
  <sheetViews>
    <sheetView showGridLines="0" topLeftCell="A131" zoomScaleNormal="100" workbookViewId="0">
      <selection activeCell="N157" sqref="N157"/>
    </sheetView>
  </sheetViews>
  <sheetFormatPr defaultRowHeight="15" x14ac:dyDescent="0.25"/>
  <cols>
    <col min="1" max="1" width="9.140625" style="7"/>
    <col min="2" max="2" width="11.140625" style="7" customWidth="1"/>
    <col min="3" max="3" width="14.140625" style="7" customWidth="1"/>
    <col min="4" max="4" width="15.28515625" style="7" customWidth="1"/>
    <col min="5" max="5" width="19" style="7" customWidth="1"/>
    <col min="6" max="6" width="18.5703125" style="7" customWidth="1"/>
    <col min="7" max="7" width="16.7109375" style="7" customWidth="1"/>
    <col min="8" max="8" width="21" style="7" customWidth="1"/>
    <col min="9" max="9" width="17.5703125" style="7" customWidth="1"/>
    <col min="10" max="10" width="21" style="7" customWidth="1"/>
    <col min="11" max="11" width="18.85546875" style="7" customWidth="1"/>
    <col min="12" max="12" width="16" style="7" customWidth="1"/>
    <col min="13" max="13" width="20" style="7" customWidth="1"/>
    <col min="14" max="14" width="22.140625" style="7" customWidth="1"/>
    <col min="15" max="15" width="19.28515625" style="7" customWidth="1"/>
    <col min="16" max="16" width="16.5703125" style="7" customWidth="1"/>
    <col min="17" max="17" width="10" style="7" bestFit="1" customWidth="1"/>
    <col min="18" max="18" width="9.85546875" style="7" bestFit="1" customWidth="1"/>
    <col min="19" max="16384" width="9.140625" style="7"/>
  </cols>
  <sheetData>
    <row r="7" spans="1:29" x14ac:dyDescent="0.25">
      <c r="A7" s="7" t="s">
        <v>14</v>
      </c>
      <c r="B7" s="7">
        <v>2023</v>
      </c>
      <c r="C7" s="7">
        <v>2022</v>
      </c>
      <c r="D7" s="7">
        <v>2021</v>
      </c>
      <c r="E7" s="7">
        <v>2020</v>
      </c>
      <c r="F7" s="7">
        <v>2019</v>
      </c>
      <c r="G7" s="7">
        <v>2018</v>
      </c>
      <c r="H7" s="7">
        <v>2017</v>
      </c>
      <c r="I7" s="7">
        <v>2016</v>
      </c>
      <c r="J7" s="7">
        <v>2015</v>
      </c>
      <c r="K7" s="7">
        <v>2014</v>
      </c>
      <c r="L7" s="7">
        <v>2013</v>
      </c>
      <c r="M7" s="7">
        <v>2012</v>
      </c>
      <c r="N7" s="7">
        <v>2011</v>
      </c>
      <c r="O7" s="7">
        <v>2010</v>
      </c>
      <c r="P7" s="7">
        <v>2009</v>
      </c>
      <c r="Q7" s="7">
        <v>2008</v>
      </c>
      <c r="R7" s="7">
        <v>2007</v>
      </c>
      <c r="S7" s="7">
        <v>2006</v>
      </c>
      <c r="T7" s="7">
        <v>2005</v>
      </c>
      <c r="U7" s="7">
        <v>2004</v>
      </c>
      <c r="V7" s="7">
        <v>2003</v>
      </c>
      <c r="W7" s="7">
        <v>2002</v>
      </c>
      <c r="X7" s="7">
        <v>2001</v>
      </c>
      <c r="Y7" s="7">
        <v>2000</v>
      </c>
      <c r="Z7" s="7">
        <v>1999</v>
      </c>
      <c r="AA7" s="7">
        <v>1998</v>
      </c>
      <c r="AB7" s="7">
        <v>1997</v>
      </c>
      <c r="AC7" s="7">
        <v>1996</v>
      </c>
    </row>
    <row r="8" spans="1:29" s="11" customFormat="1" x14ac:dyDescent="0.25">
      <c r="A8" s="11" t="s">
        <v>15</v>
      </c>
      <c r="B8" s="11">
        <v>669.7</v>
      </c>
      <c r="C8" s="11">
        <v>637</v>
      </c>
      <c r="D8" s="11">
        <v>517.4</v>
      </c>
      <c r="E8" s="11">
        <v>466.4</v>
      </c>
      <c r="F8" s="11">
        <v>444.9</v>
      </c>
      <c r="G8" s="11">
        <v>421</v>
      </c>
      <c r="H8" s="11">
        <v>378</v>
      </c>
      <c r="I8" s="11">
        <v>337</v>
      </c>
      <c r="J8" s="11">
        <v>355</v>
      </c>
      <c r="K8" s="11">
        <v>388</v>
      </c>
      <c r="L8" s="11">
        <v>410</v>
      </c>
      <c r="M8" s="11">
        <v>439</v>
      </c>
      <c r="N8" s="11">
        <v>424</v>
      </c>
      <c r="O8" s="11">
        <v>338</v>
      </c>
      <c r="P8" s="11">
        <v>257</v>
      </c>
      <c r="Q8" s="11">
        <v>269.74200000000002</v>
      </c>
      <c r="R8" s="11">
        <v>233.28899999999999</v>
      </c>
      <c r="S8" s="11">
        <v>216.93700000000001</v>
      </c>
      <c r="T8" s="11">
        <v>205.804</v>
      </c>
      <c r="U8" s="11">
        <v>183.11199999999999</v>
      </c>
      <c r="V8" s="11">
        <v>153.333</v>
      </c>
      <c r="W8" s="11">
        <v>169.84200000000001</v>
      </c>
      <c r="X8" s="11">
        <v>196.36500000000001</v>
      </c>
      <c r="Y8" s="11">
        <v>207.33199999999999</v>
      </c>
      <c r="Z8" s="11">
        <v>195.245</v>
      </c>
      <c r="AA8" s="11">
        <v>216.244</v>
      </c>
      <c r="AB8" s="11">
        <v>204.64400000000001</v>
      </c>
      <c r="AC8" s="11">
        <v>184.77799999999999</v>
      </c>
    </row>
    <row r="9" spans="1:29" s="8" customFormat="1" x14ac:dyDescent="0.25">
      <c r="A9" s="8" t="s">
        <v>16</v>
      </c>
      <c r="B9" s="8">
        <f>(B8-C8)/C8</f>
        <v>5.1334379905808546E-2</v>
      </c>
      <c r="C9" s="8">
        <f t="shared" ref="C9:D9" si="0">(C8-D8)/D8</f>
        <v>0.23115577889447242</v>
      </c>
      <c r="D9" s="8">
        <f t="shared" si="0"/>
        <v>0.10934819897084049</v>
      </c>
      <c r="E9" s="8">
        <f>(E8-F8)/F8</f>
        <v>4.8325466396943136E-2</v>
      </c>
      <c r="F9" s="8">
        <f t="shared" ref="F9:Y9" si="1">(F8-G8)/G8</f>
        <v>5.6769596199524888E-2</v>
      </c>
      <c r="G9" s="8">
        <f t="shared" si="1"/>
        <v>0.11375661375661375</v>
      </c>
      <c r="H9" s="8">
        <f t="shared" si="1"/>
        <v>0.12166172106824925</v>
      </c>
      <c r="I9" s="8">
        <f t="shared" si="1"/>
        <v>-5.0704225352112678E-2</v>
      </c>
      <c r="J9" s="8">
        <f t="shared" si="1"/>
        <v>-8.505154639175258E-2</v>
      </c>
      <c r="K9" s="8">
        <f t="shared" si="1"/>
        <v>-5.3658536585365853E-2</v>
      </c>
      <c r="L9" s="8">
        <f t="shared" si="1"/>
        <v>-6.6059225512528477E-2</v>
      </c>
      <c r="M9" s="8">
        <f t="shared" si="1"/>
        <v>3.5377358490566037E-2</v>
      </c>
      <c r="N9" s="8">
        <f t="shared" si="1"/>
        <v>0.25443786982248523</v>
      </c>
      <c r="O9" s="8">
        <f t="shared" si="1"/>
        <v>0.31517509727626458</v>
      </c>
      <c r="P9" s="8">
        <f t="shared" si="1"/>
        <v>-4.7237730868756135E-2</v>
      </c>
      <c r="Q9" s="8">
        <f t="shared" si="1"/>
        <v>0.15625683165515747</v>
      </c>
      <c r="R9" s="8">
        <f t="shared" si="1"/>
        <v>7.5376722274208524E-2</v>
      </c>
      <c r="S9" s="8">
        <f t="shared" si="1"/>
        <v>5.4095158500320741E-2</v>
      </c>
      <c r="T9" s="8">
        <f t="shared" si="1"/>
        <v>0.12392415570798204</v>
      </c>
      <c r="U9" s="8">
        <f t="shared" si="1"/>
        <v>0.19421129176367771</v>
      </c>
      <c r="V9" s="8">
        <f t="shared" si="1"/>
        <v>-9.7202105486275558E-2</v>
      </c>
      <c r="W9" s="8">
        <f t="shared" si="1"/>
        <v>-0.13506989534794894</v>
      </c>
      <c r="X9" s="8">
        <f t="shared" si="1"/>
        <v>-5.2895838558447247E-2</v>
      </c>
      <c r="Y9" s="8">
        <f t="shared" si="1"/>
        <v>6.1906835002176697E-2</v>
      </c>
      <c r="Z9" s="8">
        <f t="shared" ref="Z9" si="2">(Z8-AA8)/AA8</f>
        <v>-9.710789663528234E-2</v>
      </c>
      <c r="AA9" s="8">
        <f t="shared" ref="AA9" si="3">(AA8-AB8)/AB8</f>
        <v>5.6683802114892171E-2</v>
      </c>
      <c r="AB9" s="8">
        <f t="shared" ref="AB9" si="4">(AB8-AC8)/AC8</f>
        <v>0.10751279914275517</v>
      </c>
    </row>
    <row r="11" spans="1:29" x14ac:dyDescent="0.25">
      <c r="A11" s="7" t="s">
        <v>14</v>
      </c>
      <c r="B11" s="7" t="s">
        <v>15</v>
      </c>
      <c r="C11" s="7" t="s">
        <v>32</v>
      </c>
      <c r="E11" s="7" t="s">
        <v>14</v>
      </c>
      <c r="F11" s="7" t="s">
        <v>15</v>
      </c>
      <c r="G11" s="7" t="s">
        <v>32</v>
      </c>
    </row>
    <row r="12" spans="1:29" x14ac:dyDescent="0.25">
      <c r="A12" s="7">
        <v>2023</v>
      </c>
      <c r="B12" s="11">
        <f>B8</f>
        <v>669.7</v>
      </c>
      <c r="C12" s="13">
        <f>(B12-B13)/B13</f>
        <v>5.1334379905808546E-2</v>
      </c>
      <c r="E12" s="7">
        <v>1996</v>
      </c>
      <c r="F12" s="11">
        <v>184.77799999999999</v>
      </c>
    </row>
    <row r="13" spans="1:29" x14ac:dyDescent="0.25">
      <c r="A13" s="7">
        <v>2022</v>
      </c>
      <c r="B13" s="11">
        <f>C8</f>
        <v>637</v>
      </c>
      <c r="C13" s="13">
        <f t="shared" ref="C13:C38" si="5">(B13-B14)/B14</f>
        <v>0.23115577889447242</v>
      </c>
      <c r="E13" s="7">
        <v>1997</v>
      </c>
      <c r="F13" s="11">
        <v>204.64400000000001</v>
      </c>
      <c r="G13" s="13">
        <f>(F13-F12)/F12</f>
        <v>0.10751279914275517</v>
      </c>
    </row>
    <row r="14" spans="1:29" x14ac:dyDescent="0.25">
      <c r="A14" s="7">
        <v>2021</v>
      </c>
      <c r="B14" s="11">
        <f>D8</f>
        <v>517.4</v>
      </c>
      <c r="C14" s="13">
        <f t="shared" si="5"/>
        <v>0.10934819897084049</v>
      </c>
      <c r="E14" s="7">
        <v>1998</v>
      </c>
      <c r="F14" s="11">
        <v>216.244</v>
      </c>
      <c r="G14" s="13">
        <f t="shared" ref="G14:G39" si="6">(F14-F13)/F13</f>
        <v>5.6683802114892171E-2</v>
      </c>
    </row>
    <row r="15" spans="1:29" x14ac:dyDescent="0.25">
      <c r="A15" s="7">
        <v>2020</v>
      </c>
      <c r="B15" s="11">
        <f>E8</f>
        <v>466.4</v>
      </c>
      <c r="C15" s="13">
        <f t="shared" si="5"/>
        <v>4.8325466396943136E-2</v>
      </c>
      <c r="E15" s="7">
        <v>1999</v>
      </c>
      <c r="F15" s="11">
        <v>195.245</v>
      </c>
      <c r="G15" s="13">
        <f t="shared" si="6"/>
        <v>-9.710789663528234E-2</v>
      </c>
    </row>
    <row r="16" spans="1:29" x14ac:dyDescent="0.25">
      <c r="A16" s="7">
        <v>2019</v>
      </c>
      <c r="B16" s="11">
        <f>F8</f>
        <v>444.9</v>
      </c>
      <c r="C16" s="13">
        <f t="shared" si="5"/>
        <v>5.6769596199524888E-2</v>
      </c>
      <c r="E16" s="7">
        <v>2000</v>
      </c>
      <c r="F16" s="11">
        <v>207.33199999999999</v>
      </c>
      <c r="G16" s="13">
        <f t="shared" si="6"/>
        <v>6.1906835002176697E-2</v>
      </c>
    </row>
    <row r="17" spans="1:27" x14ac:dyDescent="0.25">
      <c r="A17" s="7">
        <v>2018</v>
      </c>
      <c r="B17" s="11">
        <f>G8</f>
        <v>421</v>
      </c>
      <c r="C17" s="13">
        <f t="shared" si="5"/>
        <v>0.11375661375661375</v>
      </c>
      <c r="E17" s="7">
        <v>2001</v>
      </c>
      <c r="F17" s="11">
        <v>196.36500000000001</v>
      </c>
      <c r="G17" s="13">
        <f t="shared" si="6"/>
        <v>-5.2895838558447247E-2</v>
      </c>
    </row>
    <row r="18" spans="1:27" x14ac:dyDescent="0.25">
      <c r="A18" s="7">
        <v>2017</v>
      </c>
      <c r="B18" s="11">
        <f>H8</f>
        <v>378</v>
      </c>
      <c r="C18" s="13">
        <f t="shared" si="5"/>
        <v>0.12166172106824925</v>
      </c>
      <c r="E18" s="7">
        <v>2002</v>
      </c>
      <c r="F18" s="11">
        <v>169.84200000000001</v>
      </c>
      <c r="G18" s="13">
        <f t="shared" si="6"/>
        <v>-0.13506989534794894</v>
      </c>
    </row>
    <row r="19" spans="1:27" x14ac:dyDescent="0.25">
      <c r="A19" s="7">
        <v>2016</v>
      </c>
      <c r="B19" s="11">
        <f>I8</f>
        <v>337</v>
      </c>
      <c r="C19" s="13">
        <f t="shared" si="5"/>
        <v>-5.0704225352112678E-2</v>
      </c>
      <c r="E19" s="7">
        <v>2003</v>
      </c>
      <c r="F19" s="11">
        <v>153.333</v>
      </c>
      <c r="G19" s="13">
        <f t="shared" si="6"/>
        <v>-9.7202105486275558E-2</v>
      </c>
    </row>
    <row r="20" spans="1:27" x14ac:dyDescent="0.25">
      <c r="A20" s="7">
        <v>2015</v>
      </c>
      <c r="B20" s="11">
        <f>J8</f>
        <v>355</v>
      </c>
      <c r="C20" s="13">
        <f t="shared" si="5"/>
        <v>-8.505154639175258E-2</v>
      </c>
      <c r="E20" s="7">
        <v>2004</v>
      </c>
      <c r="F20" s="11">
        <v>183.11199999999999</v>
      </c>
      <c r="G20" s="13">
        <f t="shared" si="6"/>
        <v>0.19421129176367771</v>
      </c>
    </row>
    <row r="21" spans="1:27" x14ac:dyDescent="0.25">
      <c r="A21" s="7">
        <v>2014</v>
      </c>
      <c r="B21" s="11">
        <f>K8</f>
        <v>388</v>
      </c>
      <c r="C21" s="13">
        <f t="shared" si="5"/>
        <v>-5.3658536585365853E-2</v>
      </c>
      <c r="E21" s="7">
        <v>2005</v>
      </c>
      <c r="F21" s="11">
        <v>205.804</v>
      </c>
      <c r="G21" s="13">
        <f t="shared" si="6"/>
        <v>0.12392415570798204</v>
      </c>
    </row>
    <row r="22" spans="1:27" x14ac:dyDescent="0.25">
      <c r="A22" s="7">
        <v>2013</v>
      </c>
      <c r="B22" s="11">
        <f>L8</f>
        <v>410</v>
      </c>
      <c r="C22" s="13">
        <f t="shared" si="5"/>
        <v>-6.6059225512528477E-2</v>
      </c>
      <c r="E22" s="7">
        <v>2006</v>
      </c>
      <c r="F22" s="11">
        <v>216.93700000000001</v>
      </c>
      <c r="G22" s="13">
        <f t="shared" si="6"/>
        <v>5.4095158500320741E-2</v>
      </c>
    </row>
    <row r="23" spans="1:27" x14ac:dyDescent="0.25">
      <c r="A23" s="7">
        <v>2012</v>
      </c>
      <c r="B23" s="11">
        <f>M8</f>
        <v>439</v>
      </c>
      <c r="C23" s="13">
        <f t="shared" si="5"/>
        <v>3.5377358490566037E-2</v>
      </c>
      <c r="E23" s="7">
        <v>2007</v>
      </c>
      <c r="F23" s="11">
        <v>233.28899999999999</v>
      </c>
      <c r="G23" s="13">
        <f t="shared" si="6"/>
        <v>7.5376722274208524E-2</v>
      </c>
    </row>
    <row r="24" spans="1:27" ht="15.75" thickBot="1" x14ac:dyDescent="0.3">
      <c r="A24" s="7">
        <v>2011</v>
      </c>
      <c r="B24" s="11">
        <f>N8</f>
        <v>424</v>
      </c>
      <c r="C24" s="13">
        <f t="shared" si="5"/>
        <v>0.25443786982248523</v>
      </c>
      <c r="E24" s="7">
        <v>2008</v>
      </c>
      <c r="F24" s="11">
        <v>269.74200000000002</v>
      </c>
      <c r="G24" s="13">
        <f t="shared" si="6"/>
        <v>0.15625683165515747</v>
      </c>
    </row>
    <row r="25" spans="1:27" ht="15.75" thickBot="1" x14ac:dyDescent="0.3">
      <c r="A25" s="7">
        <v>2010</v>
      </c>
      <c r="B25" s="11">
        <f>O8</f>
        <v>338</v>
      </c>
      <c r="C25" s="13">
        <f t="shared" si="5"/>
        <v>0.31517509727626458</v>
      </c>
      <c r="E25" s="7">
        <v>2009</v>
      </c>
      <c r="F25" s="11">
        <v>257</v>
      </c>
      <c r="G25" s="13">
        <f t="shared" si="6"/>
        <v>-4.7237730868756135E-2</v>
      </c>
      <c r="Z25" s="10">
        <v>2023</v>
      </c>
      <c r="AA25" s="10" t="s">
        <v>17</v>
      </c>
    </row>
    <row r="26" spans="1:27" ht="15.75" thickBot="1" x14ac:dyDescent="0.3">
      <c r="A26" s="7">
        <v>2009</v>
      </c>
      <c r="B26" s="11">
        <f>P8</f>
        <v>257</v>
      </c>
      <c r="C26" s="13">
        <f t="shared" si="5"/>
        <v>-4.7237730868756135E-2</v>
      </c>
      <c r="E26" s="7">
        <v>2010</v>
      </c>
      <c r="F26" s="11">
        <v>338</v>
      </c>
      <c r="G26" s="13">
        <f t="shared" si="6"/>
        <v>0.31517509727626458</v>
      </c>
      <c r="Z26" s="10">
        <v>2022</v>
      </c>
      <c r="AA26" s="10" t="s">
        <v>18</v>
      </c>
    </row>
    <row r="27" spans="1:27" ht="15.75" thickBot="1" x14ac:dyDescent="0.3">
      <c r="A27" s="7">
        <v>2008</v>
      </c>
      <c r="B27" s="11">
        <f>Q8</f>
        <v>269.74200000000002</v>
      </c>
      <c r="C27" s="13">
        <f t="shared" si="5"/>
        <v>0.15625683165515747</v>
      </c>
      <c r="E27" s="7">
        <v>2011</v>
      </c>
      <c r="F27" s="11">
        <v>424</v>
      </c>
      <c r="G27" s="13">
        <f t="shared" si="6"/>
        <v>0.25443786982248523</v>
      </c>
      <c r="Z27" s="10">
        <v>2021</v>
      </c>
      <c r="AA27" s="10" t="s">
        <v>19</v>
      </c>
    </row>
    <row r="28" spans="1:27" ht="15.75" thickBot="1" x14ac:dyDescent="0.3">
      <c r="A28" s="7">
        <v>2007</v>
      </c>
      <c r="B28" s="11">
        <f>R8</f>
        <v>233.28899999999999</v>
      </c>
      <c r="C28" s="13">
        <f t="shared" si="5"/>
        <v>7.5376722274208524E-2</v>
      </c>
      <c r="E28" s="7">
        <v>2012</v>
      </c>
      <c r="F28" s="11">
        <v>439</v>
      </c>
      <c r="G28" s="13">
        <f t="shared" si="6"/>
        <v>3.5377358490566037E-2</v>
      </c>
      <c r="T28" s="19">
        <f>AVERAGE(G13:G39)</f>
        <v>5.4900839859424781E-2</v>
      </c>
      <c r="Z28" s="10">
        <v>2020</v>
      </c>
      <c r="AA28" s="10" t="s">
        <v>20</v>
      </c>
    </row>
    <row r="29" spans="1:27" ht="15.75" thickBot="1" x14ac:dyDescent="0.3">
      <c r="A29" s="7">
        <v>2006</v>
      </c>
      <c r="B29" s="11">
        <f>S8</f>
        <v>216.93700000000001</v>
      </c>
      <c r="C29" s="13">
        <f t="shared" si="5"/>
        <v>5.4095158500320741E-2</v>
      </c>
      <c r="E29" s="7">
        <v>2013</v>
      </c>
      <c r="F29" s="11">
        <v>410</v>
      </c>
      <c r="G29" s="13">
        <f t="shared" si="6"/>
        <v>-6.6059225512528477E-2</v>
      </c>
      <c r="T29" s="19">
        <f>MEDIAN(G13:G39)</f>
        <v>5.6683802114892171E-2</v>
      </c>
      <c r="Z29" s="10">
        <v>2019</v>
      </c>
      <c r="AA29" s="10" t="s">
        <v>21</v>
      </c>
    </row>
    <row r="30" spans="1:27" ht="15.75" thickBot="1" x14ac:dyDescent="0.3">
      <c r="A30" s="7">
        <v>2005</v>
      </c>
      <c r="B30" s="11">
        <f>T8</f>
        <v>205.804</v>
      </c>
      <c r="C30" s="13">
        <f t="shared" si="5"/>
        <v>0.12392415570798204</v>
      </c>
      <c r="E30" s="7">
        <v>2014</v>
      </c>
      <c r="F30" s="11">
        <v>388</v>
      </c>
      <c r="G30" s="13">
        <f t="shared" si="6"/>
        <v>-5.3658536585365853E-2</v>
      </c>
      <c r="Z30" s="10">
        <v>2018</v>
      </c>
      <c r="AA30" s="10" t="s">
        <v>22</v>
      </c>
    </row>
    <row r="31" spans="1:27" ht="15.75" thickBot="1" x14ac:dyDescent="0.3">
      <c r="A31" s="7">
        <v>2004</v>
      </c>
      <c r="B31" s="11">
        <f>U8</f>
        <v>183.11199999999999</v>
      </c>
      <c r="C31" s="13">
        <f t="shared" si="5"/>
        <v>0.19421129176367771</v>
      </c>
      <c r="E31" s="7">
        <v>2015</v>
      </c>
      <c r="F31" s="11">
        <v>355</v>
      </c>
      <c r="G31" s="13">
        <f t="shared" si="6"/>
        <v>-8.505154639175258E-2</v>
      </c>
      <c r="Z31" s="10">
        <v>2017</v>
      </c>
      <c r="AA31" s="10" t="s">
        <v>23</v>
      </c>
    </row>
    <row r="32" spans="1:27" ht="15.75" thickBot="1" x14ac:dyDescent="0.3">
      <c r="A32" s="7">
        <v>2003</v>
      </c>
      <c r="B32" s="11">
        <f>V8</f>
        <v>153.333</v>
      </c>
      <c r="C32" s="13">
        <f t="shared" si="5"/>
        <v>-9.7202105486275558E-2</v>
      </c>
      <c r="E32" s="7">
        <v>2016</v>
      </c>
      <c r="F32" s="11">
        <v>337</v>
      </c>
      <c r="G32" s="13">
        <f t="shared" si="6"/>
        <v>-5.0704225352112678E-2</v>
      </c>
      <c r="Z32" s="10">
        <v>2016</v>
      </c>
      <c r="AA32" s="10" t="s">
        <v>24</v>
      </c>
    </row>
    <row r="33" spans="1:27" ht="15.75" thickBot="1" x14ac:dyDescent="0.3">
      <c r="A33" s="7">
        <v>2002</v>
      </c>
      <c r="B33" s="11">
        <f>W8</f>
        <v>169.84200000000001</v>
      </c>
      <c r="C33" s="13">
        <f t="shared" si="5"/>
        <v>-0.13506989534794894</v>
      </c>
      <c r="E33" s="7">
        <v>2017</v>
      </c>
      <c r="F33" s="11">
        <v>378</v>
      </c>
      <c r="G33" s="13">
        <f t="shared" si="6"/>
        <v>0.12166172106824925</v>
      </c>
      <c r="Z33" s="10">
        <v>2015</v>
      </c>
      <c r="AA33" s="10" t="s">
        <v>25</v>
      </c>
    </row>
    <row r="34" spans="1:27" ht="15.75" thickBot="1" x14ac:dyDescent="0.3">
      <c r="A34" s="7">
        <v>2001</v>
      </c>
      <c r="B34" s="11">
        <f>X8</f>
        <v>196.36500000000001</v>
      </c>
      <c r="C34" s="13">
        <f t="shared" si="5"/>
        <v>-5.2895838558447247E-2</v>
      </c>
      <c r="E34" s="7">
        <v>2018</v>
      </c>
      <c r="F34" s="11">
        <v>421</v>
      </c>
      <c r="G34" s="13">
        <f t="shared" si="6"/>
        <v>0.11375661375661375</v>
      </c>
      <c r="Z34" s="10">
        <v>2014</v>
      </c>
      <c r="AA34" s="10" t="s">
        <v>26</v>
      </c>
    </row>
    <row r="35" spans="1:27" ht="15.75" thickBot="1" x14ac:dyDescent="0.3">
      <c r="A35" s="7">
        <v>2000</v>
      </c>
      <c r="B35" s="11">
        <f>Y8</f>
        <v>207.33199999999999</v>
      </c>
      <c r="C35" s="13">
        <f t="shared" si="5"/>
        <v>6.1906835002176697E-2</v>
      </c>
      <c r="E35" s="7">
        <v>2019</v>
      </c>
      <c r="F35" s="11">
        <v>444.9</v>
      </c>
      <c r="G35" s="13">
        <f t="shared" si="6"/>
        <v>5.6769596199524888E-2</v>
      </c>
      <c r="Z35" s="9">
        <v>2013</v>
      </c>
      <c r="AA35" s="9" t="s">
        <v>27</v>
      </c>
    </row>
    <row r="36" spans="1:27" ht="15.75" thickBot="1" x14ac:dyDescent="0.3">
      <c r="A36" s="7">
        <v>1999</v>
      </c>
      <c r="B36" s="11">
        <f>Z8</f>
        <v>195.245</v>
      </c>
      <c r="C36" s="13">
        <f t="shared" si="5"/>
        <v>-9.710789663528234E-2</v>
      </c>
      <c r="E36" s="7">
        <v>2020</v>
      </c>
      <c r="F36" s="11">
        <v>466.4</v>
      </c>
      <c r="G36" s="13">
        <f t="shared" si="6"/>
        <v>4.8325466396943136E-2</v>
      </c>
      <c r="Z36" s="9">
        <v>2012</v>
      </c>
      <c r="AA36" s="9" t="s">
        <v>28</v>
      </c>
    </row>
    <row r="37" spans="1:27" ht="15.75" thickBot="1" x14ac:dyDescent="0.3">
      <c r="A37" s="7">
        <v>1998</v>
      </c>
      <c r="B37" s="11">
        <f>AA8</f>
        <v>216.244</v>
      </c>
      <c r="C37" s="13">
        <f t="shared" si="5"/>
        <v>5.6683802114892171E-2</v>
      </c>
      <c r="E37" s="7">
        <v>2021</v>
      </c>
      <c r="F37" s="11">
        <v>517.4</v>
      </c>
      <c r="G37" s="13">
        <f t="shared" si="6"/>
        <v>0.10934819897084049</v>
      </c>
      <c r="Z37" s="9">
        <v>2011</v>
      </c>
      <c r="AA37" s="9" t="s">
        <v>29</v>
      </c>
    </row>
    <row r="38" spans="1:27" ht="15.75" thickBot="1" x14ac:dyDescent="0.3">
      <c r="A38" s="7">
        <v>1997</v>
      </c>
      <c r="B38" s="11">
        <f>AB8</f>
        <v>204.64400000000001</v>
      </c>
      <c r="C38" s="13">
        <f t="shared" si="5"/>
        <v>0.10751279914275517</v>
      </c>
      <c r="E38" s="7">
        <v>2022</v>
      </c>
      <c r="F38" s="11">
        <v>637</v>
      </c>
      <c r="G38" s="13">
        <f t="shared" si="6"/>
        <v>0.23115577889447242</v>
      </c>
      <c r="Z38" s="9">
        <v>2010</v>
      </c>
      <c r="AA38" s="9" t="s">
        <v>30</v>
      </c>
    </row>
    <row r="39" spans="1:27" x14ac:dyDescent="0.25">
      <c r="A39" s="7">
        <v>1996</v>
      </c>
      <c r="B39" s="11">
        <f>AC8</f>
        <v>184.77799999999999</v>
      </c>
      <c r="C39" s="13"/>
      <c r="E39" s="7">
        <v>2023</v>
      </c>
      <c r="F39" s="11">
        <v>669.7</v>
      </c>
      <c r="G39" s="13">
        <f t="shared" si="6"/>
        <v>5.1334379905808546E-2</v>
      </c>
      <c r="Z39" s="9">
        <v>2009</v>
      </c>
      <c r="AA39" s="9" t="s">
        <v>31</v>
      </c>
    </row>
    <row r="41" spans="1:27" x14ac:dyDescent="0.25">
      <c r="H41" s="7" t="s">
        <v>32</v>
      </c>
    </row>
    <row r="42" spans="1:27" x14ac:dyDescent="0.25">
      <c r="A42" s="7" t="s">
        <v>32</v>
      </c>
    </row>
    <row r="43" spans="1:27" x14ac:dyDescent="0.25">
      <c r="H43" s="13">
        <v>0.10751279914275517</v>
      </c>
    </row>
    <row r="44" spans="1:27" x14ac:dyDescent="0.25">
      <c r="A44" s="13">
        <v>0.10751279914275517</v>
      </c>
      <c r="B44" s="7" t="s">
        <v>43</v>
      </c>
      <c r="C44" s="19">
        <f>AVERAGE(A44:A59)</f>
        <v>9.9856044365261826E-2</v>
      </c>
      <c r="H44" s="13">
        <v>5.6683802114892171E-2</v>
      </c>
      <c r="J44" s="19">
        <f>AVERAGE(H43:H60)</f>
        <v>0.12040609316349661</v>
      </c>
    </row>
    <row r="45" spans="1:27" x14ac:dyDescent="0.25">
      <c r="A45" s="13">
        <v>5.6683802114892171E-2</v>
      </c>
      <c r="B45" s="7" t="s">
        <v>44</v>
      </c>
      <c r="C45" s="19">
        <f>MEDIAN(A44:A59)</f>
        <v>9.1444760708481843E-2</v>
      </c>
      <c r="H45" s="13">
        <v>6.1906835002176697E-2</v>
      </c>
      <c r="J45" s="19">
        <f>MEDIAN(H43:H60)</f>
        <v>0.10843049905679783</v>
      </c>
    </row>
    <row r="46" spans="1:27" x14ac:dyDescent="0.25">
      <c r="A46" s="13">
        <v>6.1906835002176697E-2</v>
      </c>
      <c r="H46" s="13">
        <v>0.19421129176367771</v>
      </c>
    </row>
    <row r="47" spans="1:27" x14ac:dyDescent="0.25">
      <c r="A47" s="13">
        <v>0.19421129176367771</v>
      </c>
      <c r="H47" s="13">
        <v>0.12392415570798204</v>
      </c>
    </row>
    <row r="48" spans="1:27" x14ac:dyDescent="0.25">
      <c r="A48" s="13">
        <v>0.12392415570798204</v>
      </c>
      <c r="H48" s="13">
        <v>5.4095158500320741E-2</v>
      </c>
    </row>
    <row r="49" spans="1:17" x14ac:dyDescent="0.25">
      <c r="A49" s="13">
        <v>5.4095158500320741E-2</v>
      </c>
      <c r="H49" s="13">
        <v>7.5376722274208524E-2</v>
      </c>
    </row>
    <row r="50" spans="1:17" x14ac:dyDescent="0.25">
      <c r="A50" s="13">
        <v>7.5376722274208524E-2</v>
      </c>
      <c r="H50" s="13">
        <v>0.15625683165515747</v>
      </c>
    </row>
    <row r="51" spans="1:17" x14ac:dyDescent="0.25">
      <c r="A51" s="13">
        <v>0.15625683165515747</v>
      </c>
      <c r="H51" s="13">
        <v>0.31517509727626458</v>
      </c>
    </row>
    <row r="52" spans="1:17" x14ac:dyDescent="0.25">
      <c r="A52" s="13">
        <v>3.5377358490566037E-2</v>
      </c>
      <c r="H52" s="13">
        <v>0.25443786982248523</v>
      </c>
    </row>
    <row r="53" spans="1:17" x14ac:dyDescent="0.25">
      <c r="A53" s="13">
        <v>0.12166172106824925</v>
      </c>
      <c r="H53" s="13">
        <v>3.5377358490566037E-2</v>
      </c>
    </row>
    <row r="54" spans="1:17" x14ac:dyDescent="0.25">
      <c r="A54" s="13">
        <v>0.11375661375661375</v>
      </c>
      <c r="H54" s="13">
        <v>0.12166172106824925</v>
      </c>
    </row>
    <row r="55" spans="1:17" x14ac:dyDescent="0.25">
      <c r="A55" s="13">
        <v>5.6769596199524888E-2</v>
      </c>
      <c r="H55" s="13">
        <v>0.11375661375661375</v>
      </c>
    </row>
    <row r="56" spans="1:17" x14ac:dyDescent="0.25">
      <c r="A56" s="13">
        <v>4.8325466396943136E-2</v>
      </c>
      <c r="H56" s="13">
        <v>5.6769596199524888E-2</v>
      </c>
    </row>
    <row r="57" spans="1:17" x14ac:dyDescent="0.25">
      <c r="A57" s="13">
        <v>0.10934819897084049</v>
      </c>
      <c r="H57" s="13">
        <v>4.8325466396943136E-2</v>
      </c>
    </row>
    <row r="58" spans="1:17" x14ac:dyDescent="0.25">
      <c r="A58" s="13">
        <v>0.23115577889447242</v>
      </c>
      <c r="H58" s="13">
        <v>0.10934819897084049</v>
      </c>
    </row>
    <row r="59" spans="1:17" x14ac:dyDescent="0.25">
      <c r="A59" s="13">
        <v>5.1334379905808546E-2</v>
      </c>
      <c r="H59" s="13">
        <v>0.23115577889447242</v>
      </c>
    </row>
    <row r="60" spans="1:17" x14ac:dyDescent="0.25">
      <c r="H60" s="13">
        <v>5.1334379905808546E-2</v>
      </c>
    </row>
    <row r="63" spans="1:17" x14ac:dyDescent="0.25">
      <c r="B63" s="159" t="s">
        <v>14</v>
      </c>
      <c r="C63" s="159" t="s">
        <v>15</v>
      </c>
      <c r="D63" s="159" t="s">
        <v>147</v>
      </c>
      <c r="E63" s="159" t="s">
        <v>182</v>
      </c>
      <c r="F63" s="159" t="s">
        <v>183</v>
      </c>
      <c r="G63" s="159" t="s">
        <v>174</v>
      </c>
      <c r="H63" s="159" t="s">
        <v>175</v>
      </c>
      <c r="I63" s="159" t="s">
        <v>176</v>
      </c>
      <c r="J63" s="159" t="s">
        <v>177</v>
      </c>
      <c r="K63" s="159" t="s">
        <v>178</v>
      </c>
      <c r="L63" s="159" t="s">
        <v>179</v>
      </c>
      <c r="M63" s="159" t="s">
        <v>180</v>
      </c>
      <c r="N63" s="159" t="s">
        <v>148</v>
      </c>
      <c r="O63" s="159" t="s">
        <v>181</v>
      </c>
      <c r="P63" s="159" t="s">
        <v>146</v>
      </c>
      <c r="Q63" s="7" t="s">
        <v>213</v>
      </c>
    </row>
    <row r="64" spans="1:17" x14ac:dyDescent="0.25">
      <c r="B64" s="160">
        <v>1996</v>
      </c>
      <c r="C64" s="44">
        <v>184.77799999999999</v>
      </c>
      <c r="D64" s="164"/>
      <c r="E64" s="168"/>
      <c r="F64" s="168">
        <f>Table1[[#This Row],[capital ex]]-Table1[[#This Row],[depr&amp;amort]]</f>
        <v>0</v>
      </c>
      <c r="G64" s="168"/>
      <c r="H64" s="168"/>
      <c r="I64" s="168"/>
      <c r="J64" s="168"/>
      <c r="K64" s="168"/>
      <c r="L64" s="168"/>
      <c r="M64" s="168"/>
      <c r="N64" s="168">
        <f>SUM(Table1[[#This Row],[depr&amp;amort]:[income taxes]])</f>
        <v>0</v>
      </c>
      <c r="O64" s="167">
        <f>Table1[[#This Row],[chg in non cash wc]]/Table1[[#This Row],[revenue]]</f>
        <v>0</v>
      </c>
      <c r="P64" s="168">
        <f>Table1[[#This Row],[net cap ex]]-Table1[[#This Row],[chg in non cash wc]]</f>
        <v>0</v>
      </c>
      <c r="Q64" s="12"/>
    </row>
    <row r="65" spans="2:17" x14ac:dyDescent="0.25">
      <c r="B65" s="160">
        <v>1997</v>
      </c>
      <c r="C65" s="44">
        <v>204.64400000000001</v>
      </c>
      <c r="D65" s="164"/>
      <c r="E65" s="59"/>
      <c r="F65" s="59">
        <f>Table1[[#This Row],[capital ex]]-Table1[[#This Row],[depr&amp;amort]]</f>
        <v>0</v>
      </c>
      <c r="G65" s="59"/>
      <c r="H65" s="59"/>
      <c r="I65" s="59"/>
      <c r="J65" s="59"/>
      <c r="K65" s="59"/>
      <c r="L65" s="59"/>
      <c r="M65" s="59"/>
      <c r="N65" s="59">
        <f>SUM(Table1[[#This Row],[depr&amp;amort]:[income taxes]])</f>
        <v>0</v>
      </c>
      <c r="O65" s="167">
        <f>Table1[[#This Row],[chg in non cash wc]]/Table1[[#This Row],[revenue]]</f>
        <v>0</v>
      </c>
      <c r="P65" s="59">
        <f>Table1[[#This Row],[net cap ex]]-Table1[[#This Row],[chg in non cash wc]]</f>
        <v>0</v>
      </c>
      <c r="Q65" s="12"/>
    </row>
    <row r="66" spans="2:17" x14ac:dyDescent="0.25">
      <c r="B66" s="160">
        <v>1998</v>
      </c>
      <c r="C66" s="44">
        <v>216.244</v>
      </c>
      <c r="D66" s="164">
        <v>14.98</v>
      </c>
      <c r="E66" s="59">
        <v>8.7539999999999996</v>
      </c>
      <c r="F66" s="59">
        <f>Table1[[#This Row],[capital ex]]-Table1[[#This Row],[depr&amp;amort]]</f>
        <v>6.2260000000000009</v>
      </c>
      <c r="G66" s="59">
        <v>-1.1319999999999999</v>
      </c>
      <c r="H66" s="59">
        <v>-6.7430000000000003</v>
      </c>
      <c r="I66" s="59"/>
      <c r="J66" s="59">
        <v>-1.329</v>
      </c>
      <c r="K66" s="59">
        <v>1.9590000000000001</v>
      </c>
      <c r="L66" s="59"/>
      <c r="M66" s="59">
        <v>0.72</v>
      </c>
      <c r="N66" s="59">
        <f>SUM(Table1[[#This Row],[account rec]:[other]])</f>
        <v>-6.5250000000000012</v>
      </c>
      <c r="O66" s="167">
        <f>Table1[[#This Row],[chg in non cash wc]]/Table1[[#This Row],[revenue]]</f>
        <v>-3.0174247609182227E-2</v>
      </c>
      <c r="P66" s="59">
        <f>Table1[[#This Row],[net cap ex]]-Table1[[#This Row],[chg in non cash wc]]</f>
        <v>12.751000000000001</v>
      </c>
      <c r="Q66" s="12"/>
    </row>
    <row r="67" spans="2:17" x14ac:dyDescent="0.25">
      <c r="B67" s="160">
        <v>1999</v>
      </c>
      <c r="C67" s="44">
        <v>195.245</v>
      </c>
      <c r="D67" s="164">
        <v>13.135999999999999</v>
      </c>
      <c r="E67" s="59">
        <v>9.7859999999999996</v>
      </c>
      <c r="F67" s="59">
        <f>Table1[[#This Row],[capital ex]]-Table1[[#This Row],[depr&amp;amort]]</f>
        <v>3.3499999999999996</v>
      </c>
      <c r="G67" s="59">
        <v>0.58899999999999997</v>
      </c>
      <c r="H67" s="59">
        <v>-5.0640000000000001</v>
      </c>
      <c r="I67" s="59"/>
      <c r="J67" s="59">
        <v>0.95899999999999996</v>
      </c>
      <c r="K67" s="59">
        <v>0.16600000000000001</v>
      </c>
      <c r="L67" s="59"/>
      <c r="M67" s="59">
        <v>-2.004</v>
      </c>
      <c r="N67" s="59">
        <f>SUM(Table1[[#This Row],[account rec]:[other]])</f>
        <v>-5.3539999999999992</v>
      </c>
      <c r="O67" s="167">
        <f>Table1[[#This Row],[chg in non cash wc]]/Table1[[#This Row],[revenue]]</f>
        <v>-2.7421957028348994E-2</v>
      </c>
      <c r="P67" s="59">
        <f>Table1[[#This Row],[net cap ex]]-Table1[[#This Row],[chg in non cash wc]]</f>
        <v>8.7039999999999988</v>
      </c>
      <c r="Q67" s="12"/>
    </row>
    <row r="68" spans="2:17" x14ac:dyDescent="0.25">
      <c r="B68" s="160">
        <v>2000</v>
      </c>
      <c r="C68" s="44">
        <v>207.33199999999999</v>
      </c>
      <c r="D68" s="164">
        <v>14.337999999999999</v>
      </c>
      <c r="E68" s="59">
        <v>11.411</v>
      </c>
      <c r="F68" s="59">
        <f>Table1[[#This Row],[capital ex]]-Table1[[#This Row],[depr&amp;amort]]</f>
        <v>2.9269999999999996</v>
      </c>
      <c r="G68" s="59">
        <v>-1.87</v>
      </c>
      <c r="H68" s="59">
        <v>0.56100000000000005</v>
      </c>
      <c r="I68" s="59"/>
      <c r="J68" s="59">
        <v>2.681</v>
      </c>
      <c r="K68" s="59">
        <v>0.30399999999999999</v>
      </c>
      <c r="L68" s="59"/>
      <c r="M68" s="59">
        <v>5.7000000000000002E-2</v>
      </c>
      <c r="N68" s="59">
        <f>SUM(Table1[[#This Row],[account rec]:[other]])</f>
        <v>1.7329999999999999</v>
      </c>
      <c r="O68" s="167">
        <f>Table1[[#This Row],[chg in non cash wc]]/Table1[[#This Row],[revenue]]</f>
        <v>8.3585746532132028E-3</v>
      </c>
      <c r="P68" s="59">
        <f>Table1[[#This Row],[net cap ex]]-Table1[[#This Row],[chg in non cash wc]]</f>
        <v>1.1939999999999997</v>
      </c>
      <c r="Q68" s="12"/>
    </row>
    <row r="69" spans="2:17" x14ac:dyDescent="0.25">
      <c r="B69" s="160">
        <v>2001</v>
      </c>
      <c r="C69" s="44">
        <v>196.36500000000001</v>
      </c>
      <c r="D69" s="164">
        <v>6.1959999999999997</v>
      </c>
      <c r="E69" s="59">
        <v>10.32</v>
      </c>
      <c r="F69" s="59">
        <f>Table1[[#This Row],[capital ex]]-Table1[[#This Row],[depr&amp;amort]]</f>
        <v>-4.1240000000000006</v>
      </c>
      <c r="G69" s="59">
        <v>1.5880000000000001</v>
      </c>
      <c r="H69" s="59">
        <v>3.0230000000000001</v>
      </c>
      <c r="I69" s="59"/>
      <c r="J69" s="59">
        <v>0.29699999999999999</v>
      </c>
      <c r="K69" s="59">
        <v>-2.9460000000000002</v>
      </c>
      <c r="L69" s="59"/>
      <c r="M69" s="59">
        <v>-2.0590000000000002</v>
      </c>
      <c r="N69" s="59">
        <f>SUM(Table1[[#This Row],[account rec]:[other]])</f>
        <v>-9.6999999999999975E-2</v>
      </c>
      <c r="O69" s="167">
        <f>Table1[[#This Row],[chg in non cash wc]]/Table1[[#This Row],[revenue]]</f>
        <v>-4.9397805107834886E-4</v>
      </c>
      <c r="P69" s="59">
        <f>Table1[[#This Row],[net cap ex]]-Table1[[#This Row],[chg in non cash wc]]</f>
        <v>-4.027000000000001</v>
      </c>
      <c r="Q69" s="12"/>
    </row>
    <row r="70" spans="2:17" x14ac:dyDescent="0.25">
      <c r="B70" s="160">
        <v>2002</v>
      </c>
      <c r="C70" s="44">
        <v>169.84200000000001</v>
      </c>
      <c r="D70" s="164">
        <v>4.7060000000000004</v>
      </c>
      <c r="E70" s="59">
        <v>9.0180000000000007</v>
      </c>
      <c r="F70" s="59">
        <f>Table1[[#This Row],[capital ex]]-Table1[[#This Row],[depr&amp;amort]]</f>
        <v>-4.3120000000000003</v>
      </c>
      <c r="G70" s="59">
        <v>3.91</v>
      </c>
      <c r="H70" s="59">
        <v>2.4020000000000001</v>
      </c>
      <c r="I70" s="59"/>
      <c r="J70" s="59">
        <v>-2.0830000000000002</v>
      </c>
      <c r="K70" s="59">
        <v>0.307</v>
      </c>
      <c r="L70" s="59"/>
      <c r="M70" s="59">
        <v>1.206</v>
      </c>
      <c r="N70" s="59">
        <f>SUM(Table1[[#This Row],[account rec]:[other]])</f>
        <v>5.7420000000000009</v>
      </c>
      <c r="O70" s="167">
        <f>Table1[[#This Row],[chg in non cash wc]]/Table1[[#This Row],[revenue]]</f>
        <v>3.3807892040837957E-2</v>
      </c>
      <c r="P70" s="59">
        <f>Table1[[#This Row],[net cap ex]]-Table1[[#This Row],[chg in non cash wc]]</f>
        <v>-10.054000000000002</v>
      </c>
      <c r="Q70" s="12"/>
    </row>
    <row r="71" spans="2:17" x14ac:dyDescent="0.25">
      <c r="B71" s="160">
        <v>2003</v>
      </c>
      <c r="C71" s="44">
        <v>153.333</v>
      </c>
      <c r="D71" s="164">
        <v>4.0179999999999998</v>
      </c>
      <c r="E71" s="59">
        <v>8.3290000000000006</v>
      </c>
      <c r="F71" s="59">
        <f>Table1[[#This Row],[capital ex]]-Table1[[#This Row],[depr&amp;amort]]</f>
        <v>-4.3110000000000008</v>
      </c>
      <c r="G71" s="59">
        <v>2.9990000000000001</v>
      </c>
      <c r="H71" s="59">
        <v>4.4829999999999997</v>
      </c>
      <c r="I71" s="59"/>
      <c r="J71" s="59">
        <v>-1.294</v>
      </c>
      <c r="K71" s="59">
        <v>2.8140000000000001</v>
      </c>
      <c r="L71" s="59"/>
      <c r="M71" s="59">
        <v>3.4000000000000002E-2</v>
      </c>
      <c r="N71" s="59">
        <f>SUM(Table1[[#This Row],[account rec]:[other]])</f>
        <v>9.0359999999999996</v>
      </c>
      <c r="O71" s="167">
        <f>Table1[[#This Row],[chg in non cash wc]]/Table1[[#This Row],[revenue]]</f>
        <v>5.8930562892528023E-2</v>
      </c>
      <c r="P71" s="59">
        <f>Table1[[#This Row],[net cap ex]]-Table1[[#This Row],[chg in non cash wc]]</f>
        <v>-13.347000000000001</v>
      </c>
      <c r="Q71" s="12"/>
    </row>
    <row r="72" spans="2:17" x14ac:dyDescent="0.25">
      <c r="B72" s="160">
        <v>2004</v>
      </c>
      <c r="C72" s="44">
        <v>183.11199999999999</v>
      </c>
      <c r="D72" s="164">
        <v>6.1870000000000003</v>
      </c>
      <c r="E72" s="59">
        <v>7.3849999999999998</v>
      </c>
      <c r="F72" s="59">
        <f>Table1[[#This Row],[capital ex]]-Table1[[#This Row],[depr&amp;amort]]</f>
        <v>-1.1979999999999995</v>
      </c>
      <c r="G72" s="59">
        <v>-4.5030000000000001</v>
      </c>
      <c r="H72" s="59">
        <v>-3.7029999999999998</v>
      </c>
      <c r="I72" s="59"/>
      <c r="J72" s="59">
        <v>3.036</v>
      </c>
      <c r="K72" s="59">
        <v>-1.597</v>
      </c>
      <c r="L72" s="59"/>
      <c r="M72" s="59">
        <v>0.23200000000000001</v>
      </c>
      <c r="N72" s="59">
        <f>SUM(Table1[[#This Row],[account rec]:[other]])</f>
        <v>-6.5349999999999993</v>
      </c>
      <c r="O72" s="167">
        <f>Table1[[#This Row],[chg in non cash wc]]/Table1[[#This Row],[revenue]]</f>
        <v>-3.568854034689152E-2</v>
      </c>
      <c r="P72" s="59">
        <f>Table1[[#This Row],[net cap ex]]-Table1[[#This Row],[chg in non cash wc]]</f>
        <v>5.3369999999999997</v>
      </c>
      <c r="Q72" s="12"/>
    </row>
    <row r="73" spans="2:17" x14ac:dyDescent="0.25">
      <c r="B73" s="160">
        <v>2005</v>
      </c>
      <c r="C73" s="44">
        <v>205.804</v>
      </c>
      <c r="D73" s="164">
        <v>7.7370000000000001</v>
      </c>
      <c r="E73" s="59">
        <v>7.2140000000000004</v>
      </c>
      <c r="F73" s="59">
        <f>Table1[[#This Row],[capital ex]]-Table1[[#This Row],[depr&amp;amort]]</f>
        <v>0.52299999999999969</v>
      </c>
      <c r="G73" s="59">
        <v>2.1859999999999999</v>
      </c>
      <c r="H73" s="59">
        <v>-1.728</v>
      </c>
      <c r="I73" s="59"/>
      <c r="J73" s="59">
        <v>2.528</v>
      </c>
      <c r="K73" s="59">
        <v>-0.19700000000000001</v>
      </c>
      <c r="L73" s="59"/>
      <c r="M73" s="59">
        <v>-0.29299999999999998</v>
      </c>
      <c r="N73" s="59">
        <f>SUM(Table1[[#This Row],[account rec]:[other]])</f>
        <v>2.4959999999999996</v>
      </c>
      <c r="O73" s="167">
        <f>Table1[[#This Row],[chg in non cash wc]]/Table1[[#This Row],[revenue]]</f>
        <v>1.2128044158519754E-2</v>
      </c>
      <c r="P73" s="59">
        <f>Table1[[#This Row],[net cap ex]]-Table1[[#This Row],[chg in non cash wc]]</f>
        <v>-1.9729999999999999</v>
      </c>
      <c r="Q73" s="12"/>
    </row>
    <row r="74" spans="2:17" x14ac:dyDescent="0.25">
      <c r="B74" s="160">
        <v>2006</v>
      </c>
      <c r="C74" s="44">
        <v>216.93700000000001</v>
      </c>
      <c r="D74" s="164">
        <v>10.198</v>
      </c>
      <c r="E74" s="59">
        <v>7.5339999999999998</v>
      </c>
      <c r="F74" s="59">
        <f>Table1[[#This Row],[capital ex]]-Table1[[#This Row],[depr&amp;amort]]</f>
        <v>2.6640000000000006</v>
      </c>
      <c r="G74" s="59">
        <v>-3.6320000000000001</v>
      </c>
      <c r="H74" s="59">
        <v>-1.6879999999999999</v>
      </c>
      <c r="I74" s="59"/>
      <c r="J74" s="59">
        <v>-0.751</v>
      </c>
      <c r="K74" s="59">
        <v>0.93600000000000005</v>
      </c>
      <c r="L74" s="59"/>
      <c r="M74" s="59">
        <v>-0.28899999999999998</v>
      </c>
      <c r="N74" s="59">
        <f>SUM(Table1[[#This Row],[account rec]:[other]])</f>
        <v>-5.4240000000000004</v>
      </c>
      <c r="O74" s="167">
        <f>Table1[[#This Row],[chg in non cash wc]]/Table1[[#This Row],[revenue]]</f>
        <v>-2.5002650539096605E-2</v>
      </c>
      <c r="P74" s="59">
        <f>Table1[[#This Row],[net cap ex]]-Table1[[#This Row],[chg in non cash wc]]</f>
        <v>8.088000000000001</v>
      </c>
      <c r="Q74" s="12"/>
    </row>
    <row r="75" spans="2:17" x14ac:dyDescent="0.25">
      <c r="B75" s="160">
        <v>2007</v>
      </c>
      <c r="C75" s="44">
        <v>233.28899999999999</v>
      </c>
      <c r="D75" s="164">
        <v>9.6389999999999993</v>
      </c>
      <c r="E75" s="59">
        <v>8.0790000000000006</v>
      </c>
      <c r="F75" s="59">
        <f>Table1[[#This Row],[capital ex]]-Table1[[#This Row],[depr&amp;amort]]</f>
        <v>1.5599999999999987</v>
      </c>
      <c r="G75" s="59">
        <v>-6.3650000000000002</v>
      </c>
      <c r="H75" s="59">
        <v>-4.952</v>
      </c>
      <c r="I75" s="59"/>
      <c r="J75" s="59">
        <v>3.6280000000000001</v>
      </c>
      <c r="K75" s="59">
        <v>-0.58499999999999996</v>
      </c>
      <c r="L75" s="59"/>
      <c r="M75" s="59">
        <v>-0.624</v>
      </c>
      <c r="N75" s="59">
        <f>SUM(Table1[[#This Row],[account rec]:[other]])</f>
        <v>-8.8980000000000015</v>
      </c>
      <c r="O75" s="167">
        <f>Table1[[#This Row],[chg in non cash wc]]/Table1[[#This Row],[revenue]]</f>
        <v>-3.8141532605480762E-2</v>
      </c>
      <c r="P75" s="59">
        <f>Table1[[#This Row],[net cap ex]]-Table1[[#This Row],[chg in non cash wc]]</f>
        <v>10.458</v>
      </c>
      <c r="Q75" s="12"/>
    </row>
    <row r="76" spans="2:17" x14ac:dyDescent="0.25">
      <c r="B76" s="160">
        <v>2008</v>
      </c>
      <c r="C76" s="44">
        <v>269.74200000000002</v>
      </c>
      <c r="D76" s="164">
        <v>10.010999999999999</v>
      </c>
      <c r="E76" s="59">
        <v>8.5489999999999995</v>
      </c>
      <c r="F76" s="59">
        <f>Table1[[#This Row],[capital ex]]-Table1[[#This Row],[depr&amp;amort]]</f>
        <v>1.4619999999999997</v>
      </c>
      <c r="G76" s="59">
        <v>-4.6029999999999998</v>
      </c>
      <c r="H76" s="59">
        <v>-9.4990000000000006</v>
      </c>
      <c r="I76" s="59"/>
      <c r="J76" s="59">
        <v>5.6630000000000003</v>
      </c>
      <c r="K76" s="59">
        <v>-2.2509999999999999</v>
      </c>
      <c r="L76" s="59"/>
      <c r="M76" s="59">
        <v>1.048</v>
      </c>
      <c r="N76" s="59">
        <f>SUM(Table1[[#This Row],[account rec]:[other]])</f>
        <v>-9.6419999999999995</v>
      </c>
      <c r="O76" s="167">
        <f>Table1[[#This Row],[chg in non cash wc]]/Table1[[#This Row],[revenue]]</f>
        <v>-3.5745267700246899E-2</v>
      </c>
      <c r="P76" s="59">
        <f>Table1[[#This Row],[net cap ex]]-Table1[[#This Row],[chg in non cash wc]]</f>
        <v>11.103999999999999</v>
      </c>
      <c r="Q76" s="12"/>
    </row>
    <row r="77" spans="2:17" x14ac:dyDescent="0.25">
      <c r="B77" s="160">
        <v>2009</v>
      </c>
      <c r="C77" s="44">
        <v>257</v>
      </c>
      <c r="D77" s="164">
        <v>10.667</v>
      </c>
      <c r="E77" s="59">
        <v>7.2489999999999997</v>
      </c>
      <c r="F77" s="59">
        <f>Table1[[#This Row],[capital ex]]-Table1[[#This Row],[depr&amp;amort]]</f>
        <v>3.4180000000000001</v>
      </c>
      <c r="G77" s="59">
        <v>-0.59399999999999997</v>
      </c>
      <c r="H77" s="59">
        <v>0.92200000000000004</v>
      </c>
      <c r="I77" s="59"/>
      <c r="J77" s="59">
        <v>3.75</v>
      </c>
      <c r="K77" s="59">
        <v>0.78100000000000003</v>
      </c>
      <c r="L77" s="59"/>
      <c r="M77" s="59">
        <v>-1.581</v>
      </c>
      <c r="N77" s="59">
        <f>SUM(Table1[[#This Row],[account rec]:[other]])</f>
        <v>3.278</v>
      </c>
      <c r="O77" s="167">
        <f>Table1[[#This Row],[chg in non cash wc]]/Table1[[#This Row],[revenue]]</f>
        <v>1.2754863813229572E-2</v>
      </c>
      <c r="P77" s="59">
        <f>Table1[[#This Row],[net cap ex]]-Table1[[#This Row],[chg in non cash wc]]</f>
        <v>0.14000000000000012</v>
      </c>
      <c r="Q77" s="12"/>
    </row>
    <row r="78" spans="2:17" x14ac:dyDescent="0.25">
      <c r="B78" s="160">
        <v>2010</v>
      </c>
      <c r="C78" s="44">
        <v>338</v>
      </c>
      <c r="D78" s="164">
        <v>12.273999999999999</v>
      </c>
      <c r="E78" s="59">
        <v>9.3940000000000001</v>
      </c>
      <c r="F78" s="59">
        <f>Table1[[#This Row],[capital ex]]-Table1[[#This Row],[depr&amp;amort]]</f>
        <v>2.879999999999999</v>
      </c>
      <c r="G78" s="59">
        <v>-4.9770000000000003</v>
      </c>
      <c r="H78" s="59">
        <v>-8.2680000000000007</v>
      </c>
      <c r="I78" s="59"/>
      <c r="J78" s="59">
        <v>8.4290000000000003</v>
      </c>
      <c r="K78" s="59">
        <v>0.38300000000000001</v>
      </c>
      <c r="L78" s="59"/>
      <c r="M78" s="59">
        <v>-2.327</v>
      </c>
      <c r="N78" s="59">
        <f>SUM(Table1[[#This Row],[account rec]:[other]])</f>
        <v>-6.7600000000000007</v>
      </c>
      <c r="O78" s="167">
        <f>Table1[[#This Row],[chg in non cash wc]]/Table1[[#This Row],[revenue]]</f>
        <v>-0.02</v>
      </c>
      <c r="P78" s="59">
        <f>Table1[[#This Row],[net cap ex]]-Table1[[#This Row],[chg in non cash wc]]</f>
        <v>9.64</v>
      </c>
      <c r="Q78" s="12"/>
    </row>
    <row r="79" spans="2:17" x14ac:dyDescent="0.25">
      <c r="B79" s="160">
        <v>2011</v>
      </c>
      <c r="C79" s="44">
        <v>424</v>
      </c>
      <c r="D79" s="164">
        <v>18.911999999999999</v>
      </c>
      <c r="E79" s="59">
        <v>10.525</v>
      </c>
      <c r="F79" s="59">
        <f>Table1[[#This Row],[capital ex]]-Table1[[#This Row],[depr&amp;amort]]</f>
        <v>8.3869999999999987</v>
      </c>
      <c r="G79" s="59">
        <v>-16.061</v>
      </c>
      <c r="H79" s="59">
        <v>-21.196999999999999</v>
      </c>
      <c r="I79" s="59"/>
      <c r="J79" s="59">
        <v>8.5739999999999998</v>
      </c>
      <c r="K79" s="59">
        <v>-0.81499999999999995</v>
      </c>
      <c r="L79" s="59"/>
      <c r="M79" s="59">
        <v>0.18</v>
      </c>
      <c r="N79" s="59">
        <f>SUM(Table1[[#This Row],[account rec]:[other]])</f>
        <v>-29.318999999999999</v>
      </c>
      <c r="O79" s="167">
        <f>Table1[[#This Row],[chg in non cash wc]]/Table1[[#This Row],[revenue]]</f>
        <v>-6.9148584905660379E-2</v>
      </c>
      <c r="P79" s="59">
        <f>Table1[[#This Row],[net cap ex]]-Table1[[#This Row],[chg in non cash wc]]</f>
        <v>37.705999999999996</v>
      </c>
      <c r="Q79" s="12"/>
    </row>
    <row r="80" spans="2:17" x14ac:dyDescent="0.25">
      <c r="B80" s="160">
        <v>2012</v>
      </c>
      <c r="C80" s="44">
        <v>439</v>
      </c>
      <c r="D80" s="164">
        <v>21.042999999999999</v>
      </c>
      <c r="E80" s="59">
        <v>11.564</v>
      </c>
      <c r="F80" s="59">
        <f>Table1[[#This Row],[capital ex]]-Table1[[#This Row],[depr&amp;amort]]</f>
        <v>9.4789999999999992</v>
      </c>
      <c r="G80" s="59">
        <v>5.0469999999999997</v>
      </c>
      <c r="H80" s="59">
        <v>1.29</v>
      </c>
      <c r="I80" s="59"/>
      <c r="J80" s="59">
        <v>-3.1960000000000002</v>
      </c>
      <c r="K80" s="59">
        <v>3.3809999999999998</v>
      </c>
      <c r="L80" s="59"/>
      <c r="M80" s="59">
        <v>0.2</v>
      </c>
      <c r="N80" s="59">
        <f>SUM(Table1[[#This Row],[account rec]:[other]])</f>
        <v>6.7219999999999995</v>
      </c>
      <c r="O80" s="167">
        <f>Table1[[#This Row],[chg in non cash wc]]/Table1[[#This Row],[revenue]]</f>
        <v>1.5312072892938495E-2</v>
      </c>
      <c r="P80" s="59">
        <f>Table1[[#This Row],[net cap ex]]-Table1[[#This Row],[chg in non cash wc]]</f>
        <v>2.7569999999999997</v>
      </c>
      <c r="Q80" s="12"/>
    </row>
    <row r="81" spans="2:18" x14ac:dyDescent="0.25">
      <c r="B81" s="160">
        <v>2013</v>
      </c>
      <c r="C81" s="44">
        <v>410</v>
      </c>
      <c r="D81" s="164">
        <v>21.033999999999999</v>
      </c>
      <c r="E81" s="59">
        <v>12.087999999999999</v>
      </c>
      <c r="F81" s="59">
        <f>Table1[[#This Row],[capital ex]]-Table1[[#This Row],[depr&amp;amort]]</f>
        <v>8.9459999999999997</v>
      </c>
      <c r="G81" s="59">
        <v>-10.273</v>
      </c>
      <c r="H81" s="59">
        <v>3.04</v>
      </c>
      <c r="I81" s="59"/>
      <c r="J81" s="59">
        <v>-3.9060000000000001</v>
      </c>
      <c r="K81" s="59">
        <v>-4.67</v>
      </c>
      <c r="L81" s="59"/>
      <c r="M81" s="59">
        <v>-1.2470000000000001</v>
      </c>
      <c r="N81" s="59">
        <f>SUM(Table1[[#This Row],[account rec]:[other]])</f>
        <v>-17.056000000000001</v>
      </c>
      <c r="O81" s="167">
        <f>Table1[[#This Row],[chg in non cash wc]]/Table1[[#This Row],[revenue]]</f>
        <v>-4.1600000000000005E-2</v>
      </c>
      <c r="P81" s="59">
        <f>Table1[[#This Row],[net cap ex]]-Table1[[#This Row],[chg in non cash wc]]</f>
        <v>26.002000000000002</v>
      </c>
      <c r="Q81" s="12"/>
    </row>
    <row r="82" spans="2:18" x14ac:dyDescent="0.25">
      <c r="B82" s="160">
        <v>2014</v>
      </c>
      <c r="C82" s="44">
        <v>388</v>
      </c>
      <c r="D82" s="164">
        <v>17.663</v>
      </c>
      <c r="E82" s="59">
        <v>12.856999999999999</v>
      </c>
      <c r="F82" s="59">
        <f>Table1[[#This Row],[capital ex]]-Table1[[#This Row],[depr&amp;amort]]</f>
        <v>4.8060000000000009</v>
      </c>
      <c r="G82" s="59">
        <v>-2.4350000000000001</v>
      </c>
      <c r="H82" s="59">
        <v>-5.7039999999999997</v>
      </c>
      <c r="I82" s="59"/>
      <c r="J82" s="59">
        <v>6.7160000000000002</v>
      </c>
      <c r="K82" s="59">
        <v>-0.88200000000000001</v>
      </c>
      <c r="L82" s="59"/>
      <c r="M82" s="59">
        <v>-1.5009999999999999</v>
      </c>
      <c r="N82" s="59">
        <f>SUM(Table1[[#This Row],[account rec]:[other]])</f>
        <v>-3.8059999999999992</v>
      </c>
      <c r="O82" s="167">
        <f>Table1[[#This Row],[chg in non cash wc]]/Table1[[#This Row],[revenue]]</f>
        <v>-9.8092783505154615E-3</v>
      </c>
      <c r="P82" s="59">
        <f>Table1[[#This Row],[net cap ex]]-Table1[[#This Row],[chg in non cash wc]]</f>
        <v>8.6120000000000001</v>
      </c>
      <c r="Q82" s="12"/>
    </row>
    <row r="83" spans="2:18" x14ac:dyDescent="0.25">
      <c r="B83" s="160">
        <v>2015</v>
      </c>
      <c r="C83" s="44">
        <v>355</v>
      </c>
      <c r="D83" s="165">
        <v>10.754</v>
      </c>
      <c r="E83" s="59">
        <v>11.532</v>
      </c>
      <c r="F83" s="59">
        <f>Table1[[#This Row],[capital ex]]-Table1[[#This Row],[depr&amp;amort]]</f>
        <v>-0.77800000000000047</v>
      </c>
      <c r="G83" s="59">
        <v>-2.9649999999999999</v>
      </c>
      <c r="H83" s="59">
        <v>-2.2970000000000002</v>
      </c>
      <c r="I83" s="59"/>
      <c r="J83" s="59">
        <v>5.6520000000000001</v>
      </c>
      <c r="K83" s="59">
        <v>-4.0380000000000003</v>
      </c>
      <c r="L83" s="59"/>
      <c r="M83" s="59">
        <v>2.4780000000000002</v>
      </c>
      <c r="N83" s="59">
        <f>SUM(Table1[[#This Row],[account rec]:[other]])</f>
        <v>-1.1700000000000004</v>
      </c>
      <c r="O83" s="167">
        <f>Table1[[#This Row],[chg in non cash wc]]/Table1[[#This Row],[revenue]]</f>
        <v>-3.295774647887325E-3</v>
      </c>
      <c r="P83" s="59">
        <f>Table1[[#This Row],[net cap ex]]-Table1[[#This Row],[chg in non cash wc]]</f>
        <v>0.3919999999999999</v>
      </c>
      <c r="Q83" s="12"/>
    </row>
    <row r="84" spans="2:18" x14ac:dyDescent="0.25">
      <c r="B84" s="160">
        <v>2016</v>
      </c>
      <c r="C84" s="44">
        <v>337</v>
      </c>
      <c r="D84" s="165">
        <v>24.725000000000001</v>
      </c>
      <c r="E84" s="59">
        <v>11.996</v>
      </c>
      <c r="F84" s="59">
        <f>Table1[[#This Row],[capital ex]]-Table1[[#This Row],[depr&amp;amort]]</f>
        <v>12.729000000000001</v>
      </c>
      <c r="G84" s="59">
        <v>-2.2919999999999998</v>
      </c>
      <c r="H84" s="59">
        <v>-6.3540000000000001</v>
      </c>
      <c r="I84" s="59"/>
      <c r="J84" s="59">
        <v>3.2789999999999999</v>
      </c>
      <c r="K84" s="59">
        <v>-4.9989999999999997</v>
      </c>
      <c r="L84" s="59"/>
      <c r="M84" s="59">
        <v>3.5000000000000003E-2</v>
      </c>
      <c r="N84" s="59">
        <f>SUM(Table1[[#This Row],[account rec]:[other]])</f>
        <v>-10.331</v>
      </c>
      <c r="O84" s="167">
        <f>Table1[[#This Row],[chg in non cash wc]]/Table1[[#This Row],[revenue]]</f>
        <v>-3.0655786350148366E-2</v>
      </c>
      <c r="P84" s="59">
        <f>Table1[[#This Row],[net cap ex]]-Table1[[#This Row],[chg in non cash wc]]</f>
        <v>23.060000000000002</v>
      </c>
      <c r="Q84" s="12"/>
    </row>
    <row r="85" spans="2:18" x14ac:dyDescent="0.25">
      <c r="B85" s="160">
        <v>2017</v>
      </c>
      <c r="C85" s="44">
        <v>378</v>
      </c>
      <c r="D85" s="164">
        <v>11.233000000000001</v>
      </c>
      <c r="E85" s="59">
        <v>12.79</v>
      </c>
      <c r="F85" s="59">
        <f>Table1[[#This Row],[capital ex]]-Table1[[#This Row],[depr&amp;amort]]</f>
        <v>-1.5569999999999986</v>
      </c>
      <c r="G85" s="59">
        <v>-9.2050000000000001</v>
      </c>
      <c r="H85" s="59">
        <v>-2.2080000000000002</v>
      </c>
      <c r="I85" s="59"/>
      <c r="J85" s="59">
        <v>4.7350000000000003</v>
      </c>
      <c r="K85" s="59">
        <v>7.1340000000000003</v>
      </c>
      <c r="L85" s="59"/>
      <c r="M85" s="59">
        <v>-0.30099999999999999</v>
      </c>
      <c r="N85" s="59">
        <f>SUM(Table1[[#This Row],[account rec]:[other]])</f>
        <v>0.15500000000000042</v>
      </c>
      <c r="O85" s="167">
        <f>Table1[[#This Row],[chg in non cash wc]]/Table1[[#This Row],[revenue]]</f>
        <v>4.1005291005291117E-4</v>
      </c>
      <c r="P85" s="59">
        <f>Table1[[#This Row],[net cap ex]]-Table1[[#This Row],[chg in non cash wc]]</f>
        <v>-1.7119999999999991</v>
      </c>
      <c r="Q85" s="12"/>
    </row>
    <row r="86" spans="2:18" x14ac:dyDescent="0.25">
      <c r="B86" s="160">
        <v>2018</v>
      </c>
      <c r="C86" s="44">
        <v>421</v>
      </c>
      <c r="D86" s="164">
        <v>9.5280000000000005</v>
      </c>
      <c r="E86" s="59">
        <v>12.444000000000001</v>
      </c>
      <c r="F86" s="59">
        <f>Table1[[#This Row],[capital ex]]-Table1[[#This Row],[depr&amp;amort]]</f>
        <v>-2.9160000000000004</v>
      </c>
      <c r="G86" s="59">
        <v>-4.4989999999999997</v>
      </c>
      <c r="H86" s="59">
        <v>-13.702999999999999</v>
      </c>
      <c r="I86" s="59">
        <v>-3.7229999999999999</v>
      </c>
      <c r="J86" s="59">
        <v>3.048</v>
      </c>
      <c r="K86" s="59">
        <v>-1.8959999999999999</v>
      </c>
      <c r="L86" s="59">
        <v>-5.34</v>
      </c>
      <c r="M86" s="59">
        <v>1.87</v>
      </c>
      <c r="N86" s="59">
        <f>-4.499-13.703-3.723+3.048-1.896-5.34+1.87</f>
        <v>-24.242999999999995</v>
      </c>
      <c r="O86" s="167">
        <f>Table1[[#This Row],[chg in non cash wc]]/Table1[[#This Row],[revenue]]</f>
        <v>-5.7584323040380032E-2</v>
      </c>
      <c r="P86" s="59">
        <f>Table1[[#This Row],[net cap ex]]-Table1[[#This Row],[chg in non cash wc]]</f>
        <v>21.326999999999995</v>
      </c>
      <c r="Q86" s="12"/>
    </row>
    <row r="87" spans="2:18" x14ac:dyDescent="0.25">
      <c r="B87" s="160">
        <v>2019</v>
      </c>
      <c r="C87" s="44">
        <v>444.9</v>
      </c>
      <c r="D87" s="164">
        <v>29.466999999999999</v>
      </c>
      <c r="E87" s="59">
        <v>13.747999999999999</v>
      </c>
      <c r="F87" s="59">
        <f>Table1[[#This Row],[capital ex]]-Table1[[#This Row],[depr&amp;amort]]</f>
        <v>15.718999999999999</v>
      </c>
      <c r="G87" s="59">
        <v>-9.7769999999999992</v>
      </c>
      <c r="H87" s="59">
        <v>-9.4550000000000001</v>
      </c>
      <c r="I87" s="59">
        <v>-0.93200000000000005</v>
      </c>
      <c r="J87" s="59">
        <v>6.0869999999999997</v>
      </c>
      <c r="K87" s="59">
        <v>0.63400000000000001</v>
      </c>
      <c r="L87" s="59">
        <v>0</v>
      </c>
      <c r="M87" s="59">
        <v>-3.2629999999999999</v>
      </c>
      <c r="N87" s="59">
        <f>-9.777-9.455-0.932+6.087+0.634-3.263</f>
        <v>-16.705999999999996</v>
      </c>
      <c r="O87" s="167">
        <f>Table1[[#This Row],[chg in non cash wc]]/Table1[[#This Row],[revenue]]</f>
        <v>-3.7550011238480549E-2</v>
      </c>
      <c r="P87" s="59">
        <f>Table1[[#This Row],[net cap ex]]-Table1[[#This Row],[chg in non cash wc]]</f>
        <v>32.424999999999997</v>
      </c>
      <c r="Q87" s="12"/>
    </row>
    <row r="88" spans="2:18" x14ac:dyDescent="0.25">
      <c r="B88" s="160">
        <v>2020</v>
      </c>
      <c r="C88" s="44">
        <v>466.4</v>
      </c>
      <c r="D88" s="164">
        <v>24.568999999999999</v>
      </c>
      <c r="E88" s="59">
        <v>13.837999999999999</v>
      </c>
      <c r="F88" s="59">
        <f>Table1[[#This Row],[capital ex]]-Table1[[#This Row],[depr&amp;amort]]</f>
        <v>10.731</v>
      </c>
      <c r="G88" s="59">
        <v>-10.539</v>
      </c>
      <c r="H88" s="59">
        <v>0.08</v>
      </c>
      <c r="I88" s="59">
        <v>-8.7859999999999996</v>
      </c>
      <c r="J88" s="59">
        <v>6.952</v>
      </c>
      <c r="K88" s="59">
        <v>3.47</v>
      </c>
      <c r="L88" s="59">
        <v>-0.33</v>
      </c>
      <c r="M88" s="59">
        <v>1.2849999999999999</v>
      </c>
      <c r="N88" s="59">
        <f>-10.539+0.08-8.786+6.952+3.47-0.33+1.285</f>
        <v>-7.8679999999999968</v>
      </c>
      <c r="O88" s="167">
        <f>Table1[[#This Row],[chg in non cash wc]]/Table1[[#This Row],[revenue]]</f>
        <v>-1.6869639794168091E-2</v>
      </c>
      <c r="P88" s="59">
        <f>Table1[[#This Row],[net cap ex]]-Table1[[#This Row],[chg in non cash wc]]</f>
        <v>18.598999999999997</v>
      </c>
      <c r="Q88" s="12"/>
    </row>
    <row r="89" spans="2:18" x14ac:dyDescent="0.25">
      <c r="B89" s="160">
        <v>2021</v>
      </c>
      <c r="C89" s="44">
        <v>517.4</v>
      </c>
      <c r="D89" s="164">
        <v>18.384</v>
      </c>
      <c r="E89" s="59">
        <v>15.564</v>
      </c>
      <c r="F89" s="59">
        <f>Table1[[#This Row],[capital ex]]-Table1[[#This Row],[depr&amp;amort]]</f>
        <v>2.8200000000000003</v>
      </c>
      <c r="G89" s="59">
        <v>-11.574</v>
      </c>
      <c r="H89" s="59">
        <v>-24.154</v>
      </c>
      <c r="I89" s="59">
        <v>-2.9740000000000002</v>
      </c>
      <c r="J89" s="59">
        <v>11.558</v>
      </c>
      <c r="K89" s="59">
        <v>-4.3319999999999999</v>
      </c>
      <c r="L89" s="59">
        <v>0</v>
      </c>
      <c r="M89" s="59">
        <v>-3.335</v>
      </c>
      <c r="N89" s="59">
        <f>-11.574-24.154-2.974+11.558-4.332-3.335</f>
        <v>-34.811</v>
      </c>
      <c r="O89" s="167">
        <f>Table1[[#This Row],[chg in non cash wc]]/Table1[[#This Row],[revenue]]</f>
        <v>-6.7280633938925402E-2</v>
      </c>
      <c r="P89" s="59">
        <f>Table1[[#This Row],[net cap ex]]-Table1[[#This Row],[chg in non cash wc]]</f>
        <v>37.631</v>
      </c>
      <c r="Q89" s="12"/>
      <c r="R89" s="11"/>
    </row>
    <row r="90" spans="2:18" x14ac:dyDescent="0.25">
      <c r="B90" s="160">
        <v>2022</v>
      </c>
      <c r="C90" s="44">
        <v>637</v>
      </c>
      <c r="D90" s="164">
        <v>40.597999999999999</v>
      </c>
      <c r="E90" s="59">
        <v>16.43</v>
      </c>
      <c r="F90" s="59">
        <f>Table1[[#This Row],[capital ex]]-Table1[[#This Row],[depr&amp;amort]]</f>
        <v>24.167999999999999</v>
      </c>
      <c r="G90" s="59">
        <v>-28.048999999999999</v>
      </c>
      <c r="H90" s="59">
        <v>-36.978999999999999</v>
      </c>
      <c r="I90" s="59">
        <v>5.0510000000000002</v>
      </c>
      <c r="J90" s="59">
        <v>6.7069999999999999</v>
      </c>
      <c r="K90" s="59">
        <v>2.0049999999999999</v>
      </c>
      <c r="L90" s="59">
        <v>-2.1320000000000001</v>
      </c>
      <c r="M90" s="59">
        <v>-0.247</v>
      </c>
      <c r="N90" s="59">
        <f>-28.049-36.979+5.051+6.707+2.005-2.132+0.247</f>
        <v>-53.149999999999984</v>
      </c>
      <c r="O90" s="167">
        <f>Table1[[#This Row],[chg in non cash wc]]/Table1[[#This Row],[revenue]]</f>
        <v>-8.3437990580847693E-2</v>
      </c>
      <c r="P90" s="59">
        <f>Table1[[#This Row],[net cap ex]]-Table1[[#This Row],[chg in non cash wc]]</f>
        <v>77.317999999999984</v>
      </c>
      <c r="Q90" s="12"/>
      <c r="R90" s="11"/>
    </row>
    <row r="91" spans="2:18" x14ac:dyDescent="0.25">
      <c r="B91" s="161">
        <v>2023</v>
      </c>
      <c r="C91" s="162">
        <v>669.7</v>
      </c>
      <c r="D91" s="166">
        <v>35.332000000000001</v>
      </c>
      <c r="E91" s="163">
        <v>18.914000000000001</v>
      </c>
      <c r="F91" s="163">
        <f>Table1[[#This Row],[capital ex]]-Table1[[#This Row],[depr&amp;amort]]</f>
        <v>16.417999999999999</v>
      </c>
      <c r="G91" s="163">
        <v>16.969000000000001</v>
      </c>
      <c r="H91" s="163">
        <v>-4.952</v>
      </c>
      <c r="I91" s="163">
        <v>5.9610000000000003</v>
      </c>
      <c r="J91" s="163">
        <v>2.302</v>
      </c>
      <c r="K91" s="163">
        <v>-0.93700000000000006</v>
      </c>
      <c r="L91" s="163">
        <v>-1.5</v>
      </c>
      <c r="M91" s="163">
        <v>-4.6470000000000002</v>
      </c>
      <c r="N91" s="163">
        <f>16.969-4.952+5.961+2.302-0.937-1.5-4.647</f>
        <v>13.196</v>
      </c>
      <c r="O91" s="167">
        <f>Table1[[#This Row],[chg in non cash wc]]/Table1[[#This Row],[revenue]]</f>
        <v>1.9704345229207106E-2</v>
      </c>
      <c r="P91" s="163">
        <f>Table1[[#This Row],[net cap ex]]-Table1[[#This Row],[chg in non cash wc]]</f>
        <v>3.2219999999999995</v>
      </c>
      <c r="Q91" s="12"/>
      <c r="R91" s="11"/>
    </row>
    <row r="93" spans="2:18" x14ac:dyDescent="0.25">
      <c r="E93" s="7">
        <f>-11.574-24.154-2.974+11.558-4.332-3.335</f>
        <v>-34.811</v>
      </c>
      <c r="L93" s="11"/>
    </row>
    <row r="94" spans="2:18" x14ac:dyDescent="0.25">
      <c r="L94" s="11"/>
    </row>
    <row r="95" spans="2:18" x14ac:dyDescent="0.25">
      <c r="L95" s="11"/>
    </row>
    <row r="119" spans="14:14" x14ac:dyDescent="0.25">
      <c r="N119" s="7" t="s">
        <v>345</v>
      </c>
    </row>
    <row r="135" spans="2:18" x14ac:dyDescent="0.25">
      <c r="G135" s="278"/>
      <c r="H135" s="278"/>
      <c r="I135" s="278"/>
      <c r="J135" s="278"/>
      <c r="K135" s="278"/>
      <c r="L135" s="278"/>
      <c r="M135" s="278"/>
      <c r="N135" s="278"/>
      <c r="O135" s="278"/>
      <c r="P135" s="278"/>
      <c r="Q135" s="279"/>
      <c r="R135" s="279"/>
    </row>
    <row r="136" spans="2:18" ht="15.75" thickBot="1" x14ac:dyDescent="0.3">
      <c r="B136" s="169" t="s">
        <v>14</v>
      </c>
      <c r="C136" s="169" t="s">
        <v>15</v>
      </c>
      <c r="D136" s="169" t="s">
        <v>183</v>
      </c>
      <c r="E136" s="169" t="s">
        <v>148</v>
      </c>
      <c r="F136" s="21" t="s">
        <v>146</v>
      </c>
      <c r="G136" s="21" t="s">
        <v>126</v>
      </c>
      <c r="H136" s="280" t="s">
        <v>96</v>
      </c>
      <c r="I136" s="280" t="s">
        <v>346</v>
      </c>
      <c r="J136" s="280" t="s">
        <v>149</v>
      </c>
      <c r="K136" s="280"/>
      <c r="L136" s="280"/>
      <c r="M136" s="280"/>
      <c r="N136" s="278"/>
      <c r="O136" s="280"/>
      <c r="P136" s="280"/>
      <c r="Q136" s="279"/>
      <c r="R136" s="279"/>
    </row>
    <row r="137" spans="2:18" x14ac:dyDescent="0.25">
      <c r="B137" s="171">
        <v>1996</v>
      </c>
      <c r="C137" s="276">
        <v>184.77799999999999</v>
      </c>
      <c r="D137" s="277">
        <v>0</v>
      </c>
      <c r="E137" s="277">
        <v>0</v>
      </c>
      <c r="G137" s="278"/>
      <c r="H137" s="281"/>
      <c r="I137" s="281"/>
      <c r="J137" s="281"/>
      <c r="K137" s="281"/>
      <c r="L137" s="281"/>
      <c r="M137" s="281"/>
      <c r="N137" s="278"/>
      <c r="O137" s="282"/>
      <c r="P137" s="281"/>
      <c r="Q137" s="279"/>
      <c r="R137" s="279"/>
    </row>
    <row r="138" spans="2:18" x14ac:dyDescent="0.25">
      <c r="B138" s="160">
        <v>1997</v>
      </c>
      <c r="C138" s="44">
        <v>204.64400000000001</v>
      </c>
      <c r="D138" s="59">
        <v>0</v>
      </c>
      <c r="E138" s="59">
        <v>0</v>
      </c>
      <c r="G138" s="278"/>
      <c r="H138" s="283"/>
      <c r="I138" s="283"/>
      <c r="J138" s="283"/>
      <c r="K138" s="283"/>
      <c r="L138" s="283"/>
      <c r="M138" s="283"/>
      <c r="N138" s="278"/>
      <c r="O138" s="284"/>
      <c r="P138" s="283"/>
      <c r="Q138" s="279"/>
      <c r="R138" s="279"/>
    </row>
    <row r="139" spans="2:18" x14ac:dyDescent="0.25">
      <c r="B139" s="171">
        <v>1998</v>
      </c>
      <c r="C139" s="276">
        <v>216.244</v>
      </c>
      <c r="D139" s="170">
        <v>6.2260000000000009</v>
      </c>
      <c r="E139" s="170">
        <v>-6.5250000000000012</v>
      </c>
      <c r="F139" s="11">
        <f t="shared" ref="F139:F163" si="7">D139-E139</f>
        <v>12.751000000000001</v>
      </c>
      <c r="G139" s="278"/>
      <c r="H139" s="281"/>
      <c r="I139" s="281"/>
      <c r="J139" s="281"/>
      <c r="K139" s="281"/>
      <c r="L139" s="281"/>
      <c r="M139" s="281"/>
      <c r="N139" s="278"/>
      <c r="O139" s="282"/>
      <c r="P139" s="281"/>
      <c r="Q139" s="279"/>
      <c r="R139" s="279"/>
    </row>
    <row r="140" spans="2:18" x14ac:dyDescent="0.25">
      <c r="B140" s="160">
        <v>1999</v>
      </c>
      <c r="C140" s="44">
        <v>195.245</v>
      </c>
      <c r="D140" s="59">
        <v>3.3499999999999996</v>
      </c>
      <c r="E140" s="59">
        <v>-5.3539999999999992</v>
      </c>
      <c r="F140" s="11">
        <f t="shared" si="7"/>
        <v>8.7039999999999988</v>
      </c>
      <c r="G140" s="278"/>
      <c r="H140" s="283"/>
      <c r="I140" s="283"/>
      <c r="J140" s="283"/>
      <c r="K140" s="283"/>
      <c r="L140" s="283"/>
      <c r="M140" s="283"/>
      <c r="N140" s="278"/>
      <c r="O140" s="284"/>
      <c r="P140" s="283"/>
      <c r="Q140" s="279"/>
      <c r="R140" s="279"/>
    </row>
    <row r="141" spans="2:18" x14ac:dyDescent="0.25">
      <c r="B141" s="171">
        <v>2000</v>
      </c>
      <c r="C141" s="276">
        <v>207.33199999999999</v>
      </c>
      <c r="D141" s="170">
        <v>2.9269999999999996</v>
      </c>
      <c r="E141" s="170">
        <v>1.7329999999999999</v>
      </c>
      <c r="F141" s="11">
        <f t="shared" si="7"/>
        <v>1.1939999999999997</v>
      </c>
      <c r="G141" s="278"/>
      <c r="H141" s="281"/>
      <c r="I141" s="281"/>
      <c r="J141" s="281"/>
      <c r="K141" s="281"/>
      <c r="L141" s="281"/>
      <c r="M141" s="281"/>
      <c r="N141" s="278"/>
      <c r="O141" s="282"/>
      <c r="P141" s="281"/>
      <c r="Q141" s="279"/>
      <c r="R141" s="279"/>
    </row>
    <row r="142" spans="2:18" x14ac:dyDescent="0.25">
      <c r="B142" s="160">
        <v>2001</v>
      </c>
      <c r="C142" s="44">
        <v>196.36500000000001</v>
      </c>
      <c r="D142" s="59">
        <v>-4.1240000000000006</v>
      </c>
      <c r="E142" s="59">
        <v>-9.6999999999999975E-2</v>
      </c>
      <c r="F142" s="11">
        <f t="shared" si="7"/>
        <v>-4.027000000000001</v>
      </c>
      <c r="G142" s="278"/>
      <c r="H142" s="283"/>
      <c r="I142" s="283"/>
      <c r="J142" s="283"/>
      <c r="K142" s="283"/>
      <c r="L142" s="283"/>
      <c r="M142" s="283"/>
      <c r="N142" s="278"/>
      <c r="O142" s="284"/>
      <c r="P142" s="283"/>
      <c r="Q142" s="279"/>
      <c r="R142" s="279"/>
    </row>
    <row r="143" spans="2:18" x14ac:dyDescent="0.25">
      <c r="B143" s="171">
        <v>2002</v>
      </c>
      <c r="C143" s="276">
        <v>169.84200000000001</v>
      </c>
      <c r="D143" s="170">
        <v>-4.3120000000000003</v>
      </c>
      <c r="E143" s="170">
        <v>5.7420000000000009</v>
      </c>
      <c r="F143" s="11">
        <f t="shared" si="7"/>
        <v>-10.054000000000002</v>
      </c>
      <c r="G143" s="278"/>
      <c r="H143" s="281"/>
      <c r="I143" s="281"/>
      <c r="J143" s="281"/>
      <c r="K143" s="281"/>
      <c r="L143" s="281"/>
      <c r="M143" s="281"/>
      <c r="N143" s="278"/>
      <c r="O143" s="282"/>
      <c r="P143" s="281"/>
      <c r="Q143" s="279"/>
      <c r="R143" s="279"/>
    </row>
    <row r="144" spans="2:18" x14ac:dyDescent="0.25">
      <c r="B144" s="160">
        <v>2003</v>
      </c>
      <c r="C144" s="44">
        <v>153.333</v>
      </c>
      <c r="D144" s="59">
        <v>-4.3110000000000008</v>
      </c>
      <c r="E144" s="59">
        <v>9.0359999999999996</v>
      </c>
      <c r="F144" s="11">
        <f t="shared" si="7"/>
        <v>-13.347000000000001</v>
      </c>
      <c r="G144" s="278"/>
      <c r="H144" s="283"/>
      <c r="I144" s="283"/>
      <c r="J144" s="283"/>
      <c r="K144" s="283"/>
      <c r="L144" s="283"/>
      <c r="M144" s="283"/>
      <c r="N144" s="278"/>
      <c r="O144" s="284"/>
      <c r="P144" s="283"/>
      <c r="Q144" s="279"/>
      <c r="R144" s="279"/>
    </row>
    <row r="145" spans="2:18" x14ac:dyDescent="0.25">
      <c r="B145" s="171">
        <v>2004</v>
      </c>
      <c r="C145" s="276">
        <v>183.11199999999999</v>
      </c>
      <c r="D145" s="170">
        <v>-1.1979999999999995</v>
      </c>
      <c r="E145" s="170">
        <v>-6.5349999999999993</v>
      </c>
      <c r="F145" s="11">
        <f t="shared" si="7"/>
        <v>5.3369999999999997</v>
      </c>
      <c r="G145" s="278"/>
      <c r="H145" s="281"/>
      <c r="I145" s="281"/>
      <c r="J145" s="281"/>
      <c r="K145" s="281"/>
      <c r="L145" s="281"/>
      <c r="M145" s="281"/>
      <c r="N145" s="278"/>
      <c r="O145" s="282"/>
      <c r="P145" s="281"/>
      <c r="Q145" s="279"/>
      <c r="R145" s="279"/>
    </row>
    <row r="146" spans="2:18" x14ac:dyDescent="0.25">
      <c r="B146" s="160">
        <v>2005</v>
      </c>
      <c r="C146" s="44">
        <v>205.804</v>
      </c>
      <c r="D146" s="59">
        <v>0.52299999999999969</v>
      </c>
      <c r="E146" s="59">
        <v>2.4959999999999996</v>
      </c>
      <c r="F146" s="11">
        <f t="shared" si="7"/>
        <v>-1.9729999999999999</v>
      </c>
      <c r="G146" s="278"/>
      <c r="H146" s="283"/>
      <c r="I146" s="283"/>
      <c r="J146" s="283"/>
      <c r="K146" s="283"/>
      <c r="L146" s="283"/>
      <c r="M146" s="283"/>
      <c r="N146" s="278"/>
      <c r="O146" s="284"/>
      <c r="P146" s="283"/>
      <c r="Q146" s="279"/>
      <c r="R146" s="279"/>
    </row>
    <row r="147" spans="2:18" x14ac:dyDescent="0.25">
      <c r="B147" s="171">
        <v>2006</v>
      </c>
      <c r="C147" s="276">
        <v>216.93700000000001</v>
      </c>
      <c r="D147" s="170">
        <v>2.6640000000000006</v>
      </c>
      <c r="E147" s="170">
        <v>-5.4240000000000004</v>
      </c>
      <c r="F147" s="11">
        <f t="shared" si="7"/>
        <v>8.088000000000001</v>
      </c>
      <c r="G147" s="278"/>
      <c r="H147" s="281"/>
      <c r="I147" s="281"/>
      <c r="J147" s="281"/>
      <c r="K147" s="281"/>
      <c r="L147" s="281"/>
      <c r="M147" s="281"/>
      <c r="N147" s="278"/>
      <c r="O147" s="282"/>
      <c r="P147" s="281"/>
      <c r="Q147" s="279"/>
      <c r="R147" s="279"/>
    </row>
    <row r="148" spans="2:18" x14ac:dyDescent="0.25">
      <c r="B148" s="160">
        <v>2007</v>
      </c>
      <c r="C148" s="44">
        <v>233.28899999999999</v>
      </c>
      <c r="D148" s="59">
        <v>1.5599999999999987</v>
      </c>
      <c r="E148" s="59">
        <v>-8.8980000000000015</v>
      </c>
      <c r="F148" s="11">
        <f t="shared" si="7"/>
        <v>10.458</v>
      </c>
      <c r="G148" s="278"/>
      <c r="H148" s="283"/>
      <c r="I148" s="283"/>
      <c r="J148" s="283"/>
      <c r="K148" s="283"/>
      <c r="L148" s="283"/>
      <c r="M148" s="283"/>
      <c r="N148" s="278"/>
      <c r="O148" s="284"/>
      <c r="P148" s="283"/>
      <c r="Q148" s="279"/>
      <c r="R148" s="279"/>
    </row>
    <row r="149" spans="2:18" x14ac:dyDescent="0.25">
      <c r="B149" s="171">
        <v>2008</v>
      </c>
      <c r="C149" s="276">
        <v>269.74200000000002</v>
      </c>
      <c r="D149" s="170">
        <v>1.4619999999999997</v>
      </c>
      <c r="E149" s="170">
        <v>-9.6419999999999995</v>
      </c>
      <c r="F149" s="11">
        <f t="shared" si="7"/>
        <v>11.103999999999999</v>
      </c>
      <c r="I149" s="281"/>
      <c r="J149" s="281"/>
      <c r="K149" s="281"/>
      <c r="L149" s="281"/>
      <c r="M149" s="281"/>
      <c r="N149" s="278"/>
      <c r="O149" s="282"/>
      <c r="P149" s="281"/>
      <c r="Q149" s="279"/>
      <c r="R149" s="279"/>
    </row>
    <row r="150" spans="2:18" x14ac:dyDescent="0.25">
      <c r="B150" s="160">
        <v>2009</v>
      </c>
      <c r="C150" s="44">
        <v>257</v>
      </c>
      <c r="D150" s="59">
        <v>3.4180000000000001</v>
      </c>
      <c r="E150" s="59">
        <v>3.278</v>
      </c>
      <c r="F150" s="11">
        <f t="shared" si="7"/>
        <v>0.14000000000000012</v>
      </c>
      <c r="G150" s="11">
        <v>19.46</v>
      </c>
      <c r="H150" s="13">
        <v>0.23333333333333334</v>
      </c>
      <c r="I150" s="283">
        <f t="shared" ref="I150:I163" si="8">G150*(1-H150)</f>
        <v>14.919333333333332</v>
      </c>
      <c r="J150" s="33">
        <f t="shared" ref="J150:J163" si="9">F150/I150</f>
        <v>9.3837973099781136E-3</v>
      </c>
      <c r="K150" s="283"/>
      <c r="L150" s="283"/>
      <c r="M150" s="283"/>
      <c r="N150" s="278"/>
      <c r="O150" s="284"/>
      <c r="P150" s="283"/>
      <c r="Q150" s="279"/>
      <c r="R150" s="279"/>
    </row>
    <row r="151" spans="2:18" x14ac:dyDescent="0.25">
      <c r="B151" s="171">
        <v>2010</v>
      </c>
      <c r="C151" s="276">
        <v>338</v>
      </c>
      <c r="D151" s="170">
        <v>2.879999999999999</v>
      </c>
      <c r="E151" s="170">
        <v>-6.7600000000000007</v>
      </c>
      <c r="F151" s="11">
        <f t="shared" si="7"/>
        <v>9.64</v>
      </c>
      <c r="G151" s="11">
        <v>28.48</v>
      </c>
      <c r="H151" s="13">
        <v>0.23333333333333334</v>
      </c>
      <c r="I151" s="283">
        <f t="shared" si="8"/>
        <v>21.834666666666664</v>
      </c>
      <c r="J151" s="33">
        <f t="shared" si="9"/>
        <v>0.44149975574010758</v>
      </c>
      <c r="K151" s="281"/>
      <c r="L151" s="281"/>
      <c r="M151" s="281"/>
      <c r="N151" s="278"/>
      <c r="O151" s="282"/>
      <c r="P151" s="281"/>
      <c r="Q151" s="279"/>
      <c r="R151" s="279"/>
    </row>
    <row r="152" spans="2:18" x14ac:dyDescent="0.25">
      <c r="B152" s="160">
        <v>2011</v>
      </c>
      <c r="C152" s="44">
        <v>424</v>
      </c>
      <c r="D152" s="59">
        <v>8.3869999999999987</v>
      </c>
      <c r="E152" s="59">
        <v>-29.318999999999999</v>
      </c>
      <c r="F152" s="11">
        <f t="shared" si="7"/>
        <v>37.705999999999996</v>
      </c>
      <c r="G152" s="11">
        <v>45.353999999999999</v>
      </c>
      <c r="H152" s="13">
        <v>0.32608695652173914</v>
      </c>
      <c r="I152" s="283">
        <f t="shared" si="8"/>
        <v>30.564652173913043</v>
      </c>
      <c r="J152" s="33">
        <f t="shared" si="9"/>
        <v>1.2336472793949247</v>
      </c>
      <c r="K152" s="283"/>
      <c r="L152" s="283"/>
      <c r="M152" s="283"/>
      <c r="N152" s="278"/>
      <c r="O152" s="284"/>
      <c r="P152" s="283"/>
      <c r="Q152" s="279"/>
      <c r="R152" s="279"/>
    </row>
    <row r="153" spans="2:18" x14ac:dyDescent="0.25">
      <c r="B153" s="171">
        <v>2012</v>
      </c>
      <c r="C153" s="276">
        <v>439</v>
      </c>
      <c r="D153" s="170">
        <v>9.4789999999999992</v>
      </c>
      <c r="E153" s="170">
        <v>6.7219999999999995</v>
      </c>
      <c r="F153" s="11">
        <f t="shared" si="7"/>
        <v>2.7569999999999997</v>
      </c>
      <c r="G153" s="11">
        <v>44.122</v>
      </c>
      <c r="H153" s="13">
        <v>0.35555555555555557</v>
      </c>
      <c r="I153" s="283">
        <f t="shared" si="8"/>
        <v>28.434177777777773</v>
      </c>
      <c r="J153" s="33">
        <f t="shared" si="9"/>
        <v>9.696077803082051E-2</v>
      </c>
      <c r="K153" s="281"/>
      <c r="L153" s="281"/>
      <c r="M153" s="281"/>
      <c r="N153" s="278"/>
      <c r="O153" s="282"/>
      <c r="P153" s="281"/>
      <c r="Q153" s="279"/>
      <c r="R153" s="279"/>
    </row>
    <row r="154" spans="2:18" x14ac:dyDescent="0.25">
      <c r="B154" s="160">
        <v>2013</v>
      </c>
      <c r="C154" s="44">
        <v>410</v>
      </c>
      <c r="D154" s="59">
        <v>8.9459999999999997</v>
      </c>
      <c r="E154" s="59">
        <v>-17.056000000000001</v>
      </c>
      <c r="F154" s="11">
        <f t="shared" si="7"/>
        <v>26.002000000000002</v>
      </c>
      <c r="G154" s="285">
        <v>31.148</v>
      </c>
      <c r="H154" s="43">
        <v>0.34375</v>
      </c>
      <c r="I154" s="283">
        <f t="shared" si="8"/>
        <v>20.440874999999998</v>
      </c>
      <c r="J154" s="33">
        <f t="shared" si="9"/>
        <v>1.2720590483528715</v>
      </c>
      <c r="K154" s="283"/>
      <c r="L154" s="283"/>
      <c r="M154" s="283"/>
      <c r="N154" s="278"/>
      <c r="O154" s="284"/>
      <c r="P154" s="283"/>
      <c r="Q154" s="279"/>
      <c r="R154" s="279"/>
    </row>
    <row r="155" spans="2:18" x14ac:dyDescent="0.25">
      <c r="B155" s="171">
        <v>2014</v>
      </c>
      <c r="C155" s="276">
        <v>388</v>
      </c>
      <c r="D155" s="170">
        <v>4.8060000000000009</v>
      </c>
      <c r="E155" s="170">
        <v>-3.8059999999999992</v>
      </c>
      <c r="F155" s="11">
        <f t="shared" si="7"/>
        <v>8.6120000000000001</v>
      </c>
      <c r="G155" s="285">
        <v>21.238</v>
      </c>
      <c r="H155" s="43">
        <v>0.42857142857142855</v>
      </c>
      <c r="I155" s="283">
        <f t="shared" si="8"/>
        <v>12.135999999999999</v>
      </c>
      <c r="J155" s="33">
        <f t="shared" si="9"/>
        <v>0.7096242584047463</v>
      </c>
      <c r="K155" s="281"/>
      <c r="L155" s="281"/>
      <c r="M155" s="281"/>
      <c r="N155" s="278"/>
      <c r="O155" s="282"/>
      <c r="P155" s="281"/>
      <c r="Q155" s="279"/>
      <c r="R155" s="279"/>
    </row>
    <row r="156" spans="2:18" x14ac:dyDescent="0.25">
      <c r="B156" s="160">
        <v>2015</v>
      </c>
      <c r="C156" s="44">
        <v>355</v>
      </c>
      <c r="D156" s="59">
        <v>-0.77800000000000047</v>
      </c>
      <c r="E156" s="59">
        <v>-1.1700000000000004</v>
      </c>
      <c r="F156" s="11">
        <f t="shared" si="7"/>
        <v>0.3919999999999999</v>
      </c>
      <c r="G156" s="285">
        <v>12.349</v>
      </c>
      <c r="H156" s="43">
        <v>0.41666666666666669</v>
      </c>
      <c r="I156" s="283">
        <f t="shared" si="8"/>
        <v>7.2035833333333326</v>
      </c>
      <c r="J156" s="33">
        <f t="shared" si="9"/>
        <v>5.4417361729694705E-2</v>
      </c>
      <c r="K156" s="283"/>
      <c r="L156" s="283"/>
      <c r="M156" s="283"/>
      <c r="N156" s="278"/>
      <c r="O156" s="284"/>
      <c r="P156" s="283"/>
      <c r="Q156" s="279"/>
      <c r="R156" s="279"/>
    </row>
    <row r="157" spans="2:18" x14ac:dyDescent="0.25">
      <c r="B157" s="171">
        <v>2016</v>
      </c>
      <c r="C157" s="276">
        <v>337</v>
      </c>
      <c r="D157" s="170">
        <v>12.729000000000001</v>
      </c>
      <c r="E157" s="170">
        <v>-10.331</v>
      </c>
      <c r="F157" s="11">
        <f t="shared" si="7"/>
        <v>23.060000000000002</v>
      </c>
      <c r="G157" s="285">
        <v>21.478999999999999</v>
      </c>
      <c r="H157" s="43">
        <v>0.2857142857142857</v>
      </c>
      <c r="I157" s="283">
        <f t="shared" si="8"/>
        <v>15.342142857142857</v>
      </c>
      <c r="J157" s="33">
        <f t="shared" si="9"/>
        <v>1.5030494901997302</v>
      </c>
      <c r="K157" s="281"/>
      <c r="L157" s="281"/>
      <c r="M157" s="281"/>
      <c r="N157" s="278"/>
      <c r="O157" s="282"/>
      <c r="P157" s="281"/>
      <c r="Q157" s="279"/>
      <c r="R157" s="279"/>
    </row>
    <row r="158" spans="2:18" x14ac:dyDescent="0.25">
      <c r="B158" s="160">
        <v>2017</v>
      </c>
      <c r="C158" s="44">
        <v>378</v>
      </c>
      <c r="D158" s="59">
        <v>-1.5569999999999986</v>
      </c>
      <c r="E158" s="59">
        <v>0.15500000000000042</v>
      </c>
      <c r="F158" s="11">
        <f t="shared" si="7"/>
        <v>-1.7119999999999991</v>
      </c>
      <c r="G158" s="11">
        <v>26.108000000000001</v>
      </c>
      <c r="H158" s="43">
        <v>0.5</v>
      </c>
      <c r="I158" s="283">
        <f t="shared" si="8"/>
        <v>13.054</v>
      </c>
      <c r="J158" s="33">
        <f t="shared" si="9"/>
        <v>-0.13114754098360648</v>
      </c>
      <c r="K158" s="283"/>
      <c r="L158" s="55">
        <f>AVERAGE(J150:J164)</f>
        <v>0.70529885250430047</v>
      </c>
      <c r="M158" s="283"/>
      <c r="N158" s="278"/>
      <c r="O158" s="284"/>
      <c r="P158" s="283"/>
      <c r="Q158" s="279"/>
      <c r="R158" s="279"/>
    </row>
    <row r="159" spans="2:18" x14ac:dyDescent="0.25">
      <c r="B159" s="171">
        <v>2018</v>
      </c>
      <c r="C159" s="276">
        <v>421</v>
      </c>
      <c r="D159" s="170">
        <v>-2.9160000000000004</v>
      </c>
      <c r="E159" s="170">
        <v>-24.242999999999995</v>
      </c>
      <c r="F159" s="11">
        <f t="shared" si="7"/>
        <v>21.326999999999995</v>
      </c>
      <c r="G159" s="11">
        <v>32.933999999999997</v>
      </c>
      <c r="H159" s="13">
        <v>0.18181818181818182</v>
      </c>
      <c r="I159" s="283">
        <f t="shared" si="8"/>
        <v>26.945999999999994</v>
      </c>
      <c r="J159" s="33">
        <f t="shared" si="9"/>
        <v>0.79147183255399689</v>
      </c>
      <c r="K159" s="281"/>
      <c r="L159" s="286">
        <f>MEDIAN(J150:J164)</f>
        <v>0.7096242584047463</v>
      </c>
      <c r="M159" s="281"/>
      <c r="N159" s="278"/>
      <c r="O159" s="282"/>
      <c r="P159" s="281"/>
      <c r="Q159" s="279"/>
      <c r="R159" s="279"/>
    </row>
    <row r="160" spans="2:18" x14ac:dyDescent="0.25">
      <c r="B160" s="160">
        <v>2019</v>
      </c>
      <c r="C160" s="44">
        <v>444.9</v>
      </c>
      <c r="D160" s="59">
        <v>15.718999999999999</v>
      </c>
      <c r="E160" s="59">
        <v>-16.705999999999996</v>
      </c>
      <c r="F160" s="11">
        <f t="shared" si="7"/>
        <v>32.424999999999997</v>
      </c>
      <c r="G160" s="11">
        <v>32.627000000000002</v>
      </c>
      <c r="H160" s="13">
        <v>0.25806451612903225</v>
      </c>
      <c r="I160" s="283">
        <f t="shared" si="8"/>
        <v>24.207129032258067</v>
      </c>
      <c r="J160" s="33">
        <f t="shared" si="9"/>
        <v>1.3394814377529412</v>
      </c>
      <c r="K160" s="283"/>
      <c r="L160" s="283"/>
      <c r="M160" s="283"/>
      <c r="N160" s="278"/>
      <c r="O160" s="284"/>
      <c r="P160" s="283"/>
      <c r="Q160" s="279"/>
      <c r="R160" s="279"/>
    </row>
    <row r="161" spans="2:18" x14ac:dyDescent="0.25">
      <c r="B161" s="171">
        <v>2020</v>
      </c>
      <c r="C161" s="276">
        <v>466.4</v>
      </c>
      <c r="D161" s="170">
        <v>10.731</v>
      </c>
      <c r="E161" s="170">
        <v>-7.8679999999999968</v>
      </c>
      <c r="F161" s="11">
        <f t="shared" si="7"/>
        <v>18.598999999999997</v>
      </c>
      <c r="G161" s="11">
        <v>40.207000000000001</v>
      </c>
      <c r="H161" s="13">
        <v>0.26829268292682928</v>
      </c>
      <c r="I161" s="283">
        <f t="shared" si="8"/>
        <v>29.419756097560974</v>
      </c>
      <c r="J161" s="33">
        <f t="shared" si="9"/>
        <v>0.63219422820238591</v>
      </c>
      <c r="K161" s="281"/>
      <c r="L161" s="281"/>
      <c r="M161" s="281"/>
      <c r="N161" s="278"/>
      <c r="O161" s="282"/>
      <c r="P161" s="281"/>
      <c r="Q161" s="279"/>
      <c r="R161" s="279"/>
    </row>
    <row r="162" spans="2:18" x14ac:dyDescent="0.25">
      <c r="B162" s="160">
        <v>2021</v>
      </c>
      <c r="C162" s="44">
        <v>517.4</v>
      </c>
      <c r="D162" s="59">
        <v>2.8200000000000003</v>
      </c>
      <c r="E162" s="59">
        <v>-34.811</v>
      </c>
      <c r="F162" s="11">
        <f t="shared" si="7"/>
        <v>37.631</v>
      </c>
      <c r="G162" s="11">
        <v>47.548999999999999</v>
      </c>
      <c r="H162" s="13">
        <v>0.26530612244897961</v>
      </c>
      <c r="I162" s="283">
        <f t="shared" si="8"/>
        <v>34.933959183673466</v>
      </c>
      <c r="J162" s="33">
        <f t="shared" si="9"/>
        <v>1.0772039837267289</v>
      </c>
      <c r="K162" s="283"/>
      <c r="L162" s="283"/>
      <c r="M162" s="283"/>
      <c r="N162" s="278"/>
      <c r="O162" s="284"/>
      <c r="P162" s="283"/>
      <c r="Q162" s="279"/>
      <c r="R162" s="279"/>
    </row>
    <row r="163" spans="2:18" x14ac:dyDescent="0.25">
      <c r="B163" s="171">
        <v>2022</v>
      </c>
      <c r="C163" s="276">
        <v>637</v>
      </c>
      <c r="D163" s="170">
        <v>24.167999999999999</v>
      </c>
      <c r="E163" s="170">
        <v>-53.15</v>
      </c>
      <c r="F163" s="11">
        <f t="shared" si="7"/>
        <v>77.317999999999998</v>
      </c>
      <c r="G163" s="11">
        <v>69.361000000000004</v>
      </c>
      <c r="H163" s="13">
        <v>0.25675675675675674</v>
      </c>
      <c r="I163" s="283">
        <f t="shared" si="8"/>
        <v>51.552094594594593</v>
      </c>
      <c r="J163" s="33">
        <f t="shared" si="9"/>
        <v>1.499803269062651</v>
      </c>
      <c r="K163" s="281"/>
      <c r="L163" s="281"/>
      <c r="M163" s="281"/>
      <c r="N163" s="278"/>
      <c r="O163" s="282"/>
      <c r="P163" s="281"/>
      <c r="Q163" s="279"/>
      <c r="R163" s="279"/>
    </row>
    <row r="164" spans="2:18" x14ac:dyDescent="0.25">
      <c r="B164" s="160">
        <v>2023</v>
      </c>
      <c r="C164" s="44">
        <v>669.7</v>
      </c>
      <c r="D164" s="59">
        <v>16.417999999999999</v>
      </c>
      <c r="E164" s="59">
        <v>13.196</v>
      </c>
      <c r="F164" s="11">
        <f>D164-E164</f>
        <v>3.2219999999999995</v>
      </c>
      <c r="G164" s="11">
        <v>84.153999999999996</v>
      </c>
      <c r="H164" s="13">
        <v>0.23170731707317074</v>
      </c>
      <c r="I164" s="283">
        <f>G164*(1-H164)</f>
        <v>64.654902439024383</v>
      </c>
      <c r="J164" s="33">
        <f>F164/I164</f>
        <v>4.9833808086535231E-2</v>
      </c>
      <c r="K164" s="283"/>
      <c r="L164" s="283"/>
      <c r="M164" s="283"/>
      <c r="N164" s="278"/>
      <c r="O164" s="284"/>
      <c r="P164" s="283"/>
      <c r="Q164" s="279"/>
      <c r="R164" s="279"/>
    </row>
    <row r="165" spans="2:18" x14ac:dyDescent="0.25">
      <c r="G165" s="278"/>
      <c r="H165" s="17"/>
      <c r="I165" s="278"/>
      <c r="J165" s="278"/>
      <c r="K165" s="278"/>
      <c r="L165" s="278"/>
      <c r="M165" s="278"/>
      <c r="N165" s="278"/>
      <c r="O165" s="278"/>
      <c r="P165" s="278"/>
      <c r="Q165" s="279"/>
      <c r="R165" s="279"/>
    </row>
    <row r="166" spans="2:18" x14ac:dyDescent="0.25">
      <c r="G166" s="278"/>
      <c r="H166" s="278"/>
      <c r="I166" s="278"/>
      <c r="J166" s="278"/>
      <c r="K166" s="278"/>
      <c r="L166" s="278"/>
      <c r="M166" s="278"/>
      <c r="N166" s="278"/>
      <c r="O166" s="278"/>
      <c r="P166" s="278"/>
      <c r="Q166" s="279"/>
      <c r="R166" s="279"/>
    </row>
    <row r="167" spans="2:18" x14ac:dyDescent="0.25">
      <c r="G167" s="278"/>
      <c r="H167" s="278"/>
      <c r="I167" s="278"/>
      <c r="J167" s="278"/>
      <c r="K167" s="278"/>
      <c r="L167" s="278"/>
      <c r="M167" s="278"/>
      <c r="N167" s="278"/>
      <c r="O167" s="278"/>
      <c r="P167" s="278"/>
      <c r="Q167" s="279"/>
      <c r="R167" s="279"/>
    </row>
    <row r="168" spans="2:18" x14ac:dyDescent="0.25">
      <c r="G168" s="278"/>
      <c r="H168" s="278"/>
      <c r="I168" s="278"/>
      <c r="J168" s="278"/>
      <c r="K168" s="278"/>
      <c r="L168" s="278"/>
      <c r="M168" s="278"/>
      <c r="N168" s="278"/>
      <c r="O168" s="278"/>
      <c r="P168" s="278"/>
      <c r="Q168" s="279"/>
      <c r="R168" s="279"/>
    </row>
    <row r="169" spans="2:18" x14ac:dyDescent="0.25">
      <c r="G169" s="279"/>
      <c r="H169" s="279"/>
      <c r="I169" s="279"/>
      <c r="J169" s="279"/>
      <c r="K169" s="279"/>
      <c r="L169" s="279"/>
      <c r="M169" s="279"/>
      <c r="N169" s="279"/>
      <c r="O169" s="279"/>
      <c r="P169" s="279"/>
      <c r="Q169" s="279"/>
      <c r="R169" s="279"/>
    </row>
    <row r="170" spans="2:18" x14ac:dyDescent="0.25">
      <c r="G170" s="279"/>
      <c r="H170" s="279"/>
      <c r="I170" s="279"/>
      <c r="J170" s="279"/>
      <c r="K170" s="279"/>
      <c r="L170" s="279"/>
      <c r="M170" s="279"/>
      <c r="N170" s="279"/>
      <c r="O170" s="279"/>
      <c r="P170" s="279"/>
      <c r="Q170" s="279"/>
      <c r="R170" s="279"/>
    </row>
    <row r="171" spans="2:18" x14ac:dyDescent="0.25">
      <c r="G171" s="279"/>
      <c r="H171" s="279"/>
      <c r="I171" s="279"/>
      <c r="J171" s="279"/>
      <c r="K171" s="279"/>
      <c r="L171" s="279"/>
      <c r="M171" s="279"/>
      <c r="N171" s="279"/>
      <c r="O171" s="279"/>
      <c r="P171" s="279"/>
      <c r="Q171" s="279"/>
      <c r="R171" s="279"/>
    </row>
    <row r="172" spans="2:18" x14ac:dyDescent="0.25">
      <c r="G172" s="279"/>
      <c r="H172" s="279"/>
      <c r="I172" s="279"/>
      <c r="J172" s="279"/>
      <c r="K172" s="279"/>
      <c r="L172" s="279"/>
      <c r="M172" s="279"/>
      <c r="N172" s="279"/>
      <c r="O172" s="279"/>
      <c r="P172" s="279"/>
      <c r="Q172" s="279"/>
      <c r="R172" s="279"/>
    </row>
    <row r="173" spans="2:18" x14ac:dyDescent="0.25">
      <c r="G173" s="279"/>
      <c r="H173" s="279"/>
      <c r="I173" s="279"/>
      <c r="J173" s="279"/>
      <c r="K173" s="279"/>
      <c r="L173" s="279"/>
      <c r="M173" s="279"/>
      <c r="N173" s="279"/>
      <c r="O173" s="279"/>
      <c r="P173" s="279"/>
      <c r="Q173" s="279"/>
      <c r="R173" s="279"/>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Openning</vt:lpstr>
      <vt:lpstr>analysis</vt:lpstr>
      <vt:lpstr>WACC</vt:lpstr>
      <vt:lpstr>Story&amp;Estimates</vt:lpstr>
      <vt:lpstr>DCF</vt:lpstr>
      <vt:lpstr>PRICING</vt:lpstr>
      <vt:lpstr>data</vt:lpstr>
      <vt:lpstr>tgr</vt:lpstr>
      <vt:lpstr>wacc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איתי דיין</dc:creator>
  <cp:lastModifiedBy>רועי דיין</cp:lastModifiedBy>
  <dcterms:created xsi:type="dcterms:W3CDTF">2015-06-05T18:17:20Z</dcterms:created>
  <dcterms:modified xsi:type="dcterms:W3CDTF">2024-07-24T09:47:33Z</dcterms:modified>
</cp:coreProperties>
</file>