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c2016\Desktop\borsa\DCF\Companies\specifics\RBLX\"/>
    </mc:Choice>
  </mc:AlternateContent>
  <xr:revisionPtr revIDLastSave="0" documentId="13_ncr:1_{14572722-F6A0-4D33-8E68-419CDD3C5A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CFF" sheetId="5" r:id="rId1"/>
    <sheet name="dcf_growth" sheetId="1" r:id="rId2"/>
    <sheet name="Intrinsic Valuation" sheetId="2" r:id="rId3"/>
    <sheet name="DCF" sheetId="3" r:id="rId4"/>
    <sheet name="Story" sheetId="4" r:id="rId5"/>
  </sheets>
  <definedNames>
    <definedName name="tgr">DCF!$D$10</definedName>
    <definedName name="wacc">DCF!$D$9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27" i="1"/>
  <c r="J38" i="1"/>
  <c r="G44" i="1"/>
  <c r="K27" i="1"/>
  <c r="D28" i="5"/>
  <c r="D12" i="5"/>
  <c r="G41" i="1"/>
  <c r="G42" i="1"/>
  <c r="P15" i="5"/>
  <c r="H36" i="1" s="1"/>
  <c r="G19" i="5"/>
  <c r="D18" i="5"/>
  <c r="D16" i="5"/>
  <c r="J25" i="5"/>
  <c r="M30" i="5"/>
  <c r="K32" i="5"/>
  <c r="N43" i="1"/>
  <c r="J65" i="3"/>
  <c r="I22" i="3"/>
  <c r="I41" i="3" s="1"/>
  <c r="H12" i="3"/>
  <c r="G12" i="3" s="1"/>
  <c r="J12" i="3"/>
  <c r="J22" i="3" s="1"/>
  <c r="J41" i="3" s="1"/>
  <c r="B2" i="3"/>
  <c r="K11" i="3"/>
  <c r="L11" i="3" s="1"/>
  <c r="M11" i="3" s="1"/>
  <c r="N11" i="3" s="1"/>
  <c r="K40" i="3"/>
  <c r="L40" i="3" s="1"/>
  <c r="M40" i="3" s="1"/>
  <c r="N40" i="3" s="1"/>
  <c r="N71" i="3"/>
  <c r="K20" i="5" l="1"/>
  <c r="J24" i="5"/>
  <c r="K40" i="1"/>
  <c r="G22" i="3"/>
  <c r="G41" i="3" s="1"/>
  <c r="F12" i="3"/>
  <c r="H22" i="3"/>
  <c r="H41" i="3" s="1"/>
  <c r="K12" i="3"/>
  <c r="I27" i="2"/>
  <c r="G20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L17" i="2"/>
  <c r="P17" i="2"/>
  <c r="T17" i="2"/>
  <c r="X17" i="2"/>
  <c r="AB17" i="2"/>
  <c r="AD17" i="2"/>
  <c r="AE17" i="2"/>
  <c r="AF17" i="2"/>
  <c r="AF16" i="2" s="1"/>
  <c r="AG17" i="2"/>
  <c r="AG16" i="2" s="1"/>
  <c r="AH17" i="2"/>
  <c r="H26" i="2"/>
  <c r="J24" i="2"/>
  <c r="H35" i="2"/>
  <c r="AL25" i="2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H24" i="2"/>
  <c r="Z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A24" i="2"/>
  <c r="AA25" i="2" s="1"/>
  <c r="AA26" i="2" s="1"/>
  <c r="AB24" i="2"/>
  <c r="AC24" i="2"/>
  <c r="AD24" i="2"/>
  <c r="AE24" i="2"/>
  <c r="AF24" i="2"/>
  <c r="AG24" i="2"/>
  <c r="AH24" i="2"/>
  <c r="I24" i="2"/>
  <c r="AD16" i="2"/>
  <c r="AE16" i="2"/>
  <c r="AH16" i="2"/>
  <c r="AK23" i="2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AC17" i="2" s="1"/>
  <c r="AK24" i="2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U5" i="1"/>
  <c r="U6" i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U8" i="1"/>
  <c r="F15" i="1" s="1"/>
  <c r="G27" i="1" s="1"/>
  <c r="G26" i="1" l="1"/>
  <c r="L12" i="3"/>
  <c r="K22" i="3"/>
  <c r="K41" i="3" s="1"/>
  <c r="E12" i="3"/>
  <c r="E22" i="3" s="1"/>
  <c r="E41" i="3" s="1"/>
  <c r="F22" i="3"/>
  <c r="F41" i="3" s="1"/>
  <c r="AH25" i="2"/>
  <c r="AH26" i="2" s="1"/>
  <c r="AD25" i="2"/>
  <c r="AD26" i="2" s="1"/>
  <c r="Y25" i="2"/>
  <c r="Y26" i="2" s="1"/>
  <c r="U25" i="2"/>
  <c r="U26" i="2" s="1"/>
  <c r="Q25" i="2"/>
  <c r="Q26" i="2" s="1"/>
  <c r="M25" i="2"/>
  <c r="M26" i="2" s="1"/>
  <c r="I17" i="2"/>
  <c r="AA17" i="2"/>
  <c r="W17" i="2"/>
  <c r="S17" i="2"/>
  <c r="O17" i="2"/>
  <c r="K17" i="2"/>
  <c r="Z17" i="2"/>
  <c r="V17" i="2"/>
  <c r="R17" i="2"/>
  <c r="N17" i="2"/>
  <c r="J17" i="2"/>
  <c r="K25" i="2"/>
  <c r="K26" i="2" s="1"/>
  <c r="Y17" i="2"/>
  <c r="U17" i="2"/>
  <c r="Q17" i="2"/>
  <c r="M17" i="2"/>
  <c r="AC16" i="2"/>
  <c r="L25" i="2"/>
  <c r="L26" i="2" s="1"/>
  <c r="AF25" i="2"/>
  <c r="AF26" i="2" s="1"/>
  <c r="AB25" i="2"/>
  <c r="AB26" i="2" s="1"/>
  <c r="W25" i="2"/>
  <c r="W26" i="2" s="1"/>
  <c r="S25" i="2"/>
  <c r="S26" i="2" s="1"/>
  <c r="O25" i="2"/>
  <c r="O26" i="2" s="1"/>
  <c r="AD27" i="2"/>
  <c r="AH27" i="2"/>
  <c r="AG27" i="2"/>
  <c r="AF27" i="2"/>
  <c r="AC27" i="2"/>
  <c r="AE27" i="2"/>
  <c r="AG25" i="2"/>
  <c r="AG26" i="2" s="1"/>
  <c r="AC25" i="2"/>
  <c r="AC26" i="2" s="1"/>
  <c r="X25" i="2"/>
  <c r="X26" i="2" s="1"/>
  <c r="T25" i="2"/>
  <c r="T26" i="2" s="1"/>
  <c r="P25" i="2"/>
  <c r="P26" i="2" s="1"/>
  <c r="I25" i="2"/>
  <c r="I26" i="2" s="1"/>
  <c r="J25" i="2"/>
  <c r="J26" i="2" s="1"/>
  <c r="AE25" i="2"/>
  <c r="AE26" i="2" s="1"/>
  <c r="V25" i="2"/>
  <c r="V26" i="2" s="1"/>
  <c r="R25" i="2"/>
  <c r="R26" i="2" s="1"/>
  <c r="N25" i="2"/>
  <c r="N26" i="2" s="1"/>
  <c r="Z25" i="2"/>
  <c r="Z26" i="2" s="1"/>
  <c r="V5" i="1"/>
  <c r="V8" i="1"/>
  <c r="G15" i="1" s="1"/>
  <c r="H27" i="1" s="1"/>
  <c r="G28" i="1" l="1"/>
  <c r="M12" i="3"/>
  <c r="L22" i="3"/>
  <c r="L41" i="3" s="1"/>
  <c r="H26" i="1"/>
  <c r="Q16" i="2"/>
  <c r="Q27" i="2" s="1"/>
  <c r="N16" i="2"/>
  <c r="N27" i="2" s="1"/>
  <c r="O16" i="2"/>
  <c r="O27" i="2"/>
  <c r="P16" i="2"/>
  <c r="P27" i="2" s="1"/>
  <c r="J16" i="2"/>
  <c r="J27" i="2" s="1"/>
  <c r="U16" i="2"/>
  <c r="U27" i="2"/>
  <c r="R16" i="2"/>
  <c r="R27" i="2"/>
  <c r="S16" i="2"/>
  <c r="S27" i="2"/>
  <c r="X16" i="2"/>
  <c r="X27" i="2"/>
  <c r="K16" i="2"/>
  <c r="L16" i="2"/>
  <c r="L27" i="2" s="1"/>
  <c r="Y16" i="2"/>
  <c r="Y27" i="2"/>
  <c r="V16" i="2"/>
  <c r="V27" i="2"/>
  <c r="W16" i="2"/>
  <c r="W27" i="2"/>
  <c r="AB16" i="2"/>
  <c r="AB27" i="2"/>
  <c r="M16" i="2"/>
  <c r="M27" i="2" s="1"/>
  <c r="T16" i="2"/>
  <c r="T27" i="2"/>
  <c r="Z16" i="2"/>
  <c r="Z27" i="2"/>
  <c r="AA16" i="2"/>
  <c r="AA27" i="2"/>
  <c r="I16" i="2"/>
  <c r="W5" i="1"/>
  <c r="W8" i="1"/>
  <c r="H15" i="1" s="1"/>
  <c r="I27" i="1" l="1"/>
  <c r="H28" i="1"/>
  <c r="N12" i="3"/>
  <c r="M22" i="3"/>
  <c r="M41" i="3" s="1"/>
  <c r="I26" i="1"/>
  <c r="K27" i="2"/>
  <c r="H37" i="2"/>
  <c r="I41" i="2" s="1"/>
  <c r="I44" i="2" s="1"/>
  <c r="I47" i="2" s="1"/>
  <c r="Q47" i="2" s="1"/>
  <c r="X5" i="1"/>
  <c r="X8" i="1"/>
  <c r="I15" i="1" s="1"/>
  <c r="J26" i="1" l="1"/>
  <c r="J27" i="1"/>
  <c r="N22" i="3"/>
  <c r="N41" i="3" s="1"/>
  <c r="O12" i="3"/>
  <c r="I28" i="1"/>
  <c r="Y5" i="1"/>
  <c r="Y8" i="1"/>
  <c r="J15" i="1" s="1"/>
  <c r="J28" i="1" l="1"/>
  <c r="P12" i="3"/>
  <c r="P22" i="3" s="1"/>
  <c r="P41" i="3" s="1"/>
  <c r="O22" i="3"/>
  <c r="O41" i="3" s="1"/>
  <c r="K26" i="1"/>
  <c r="Z5" i="1"/>
  <c r="Z8" i="1"/>
  <c r="K15" i="1" s="1"/>
  <c r="L27" i="1" s="1"/>
  <c r="K28" i="1" l="1"/>
  <c r="L26" i="1"/>
  <c r="L28" i="1" s="1"/>
  <c r="AA5" i="1"/>
  <c r="AA8" i="1"/>
  <c r="L15" i="1" s="1"/>
  <c r="M26" i="1" l="1"/>
  <c r="M27" i="1"/>
  <c r="AB5" i="1"/>
  <c r="AB8" i="1"/>
  <c r="M15" i="1" s="1"/>
  <c r="M28" i="1" l="1"/>
  <c r="N26" i="1"/>
  <c r="N27" i="1"/>
  <c r="AC5" i="1"/>
  <c r="AC8" i="1"/>
  <c r="N15" i="1" s="1"/>
  <c r="N28" i="1" l="1"/>
  <c r="O26" i="1"/>
  <c r="O27" i="1"/>
  <c r="AD5" i="1"/>
  <c r="AD8" i="1"/>
  <c r="O15" i="1" s="1"/>
  <c r="O28" i="1" l="1"/>
  <c r="P26" i="1"/>
  <c r="P27" i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E8" i="1"/>
  <c r="P15" i="1" s="1"/>
  <c r="Q27" i="1" l="1"/>
  <c r="P28" i="1"/>
  <c r="Q26" i="1"/>
  <c r="J34" i="1"/>
  <c r="K34" i="1"/>
  <c r="AF8" i="1"/>
  <c r="Q15" i="1" s="1"/>
  <c r="Q28" i="1" l="1"/>
  <c r="J33" i="1" s="1"/>
  <c r="R26" i="1"/>
  <c r="R27" i="1"/>
  <c r="L34" i="1"/>
  <c r="AG8" i="1"/>
  <c r="R15" i="1" s="1"/>
  <c r="R28" i="1" l="1"/>
  <c r="S26" i="1"/>
  <c r="S27" i="1"/>
  <c r="AH8" i="1"/>
  <c r="S15" i="1" s="1"/>
  <c r="S28" i="1" l="1"/>
  <c r="T26" i="1"/>
  <c r="T27" i="1"/>
  <c r="AI8" i="1"/>
  <c r="T15" i="1" s="1"/>
  <c r="T28" i="1" l="1"/>
  <c r="U26" i="1"/>
  <c r="U27" i="1"/>
  <c r="AJ8" i="1"/>
  <c r="U15" i="1" s="1"/>
  <c r="U28" i="1" l="1"/>
  <c r="V26" i="1"/>
  <c r="V27" i="1"/>
  <c r="AK8" i="1"/>
  <c r="V15" i="1" s="1"/>
  <c r="V28" i="1" l="1"/>
  <c r="W26" i="1"/>
  <c r="W27" i="1"/>
  <c r="AL8" i="1"/>
  <c r="W15" i="1" s="1"/>
  <c r="W28" i="1" l="1"/>
  <c r="X26" i="1"/>
  <c r="X27" i="1"/>
  <c r="AM8" i="1"/>
  <c r="X15" i="1" s="1"/>
  <c r="X28" i="1" l="1"/>
  <c r="Y26" i="1"/>
  <c r="Y27" i="1"/>
  <c r="AN8" i="1"/>
  <c r="Y15" i="1" s="1"/>
  <c r="Y28" i="1" l="1"/>
  <c r="Z26" i="1"/>
  <c r="Z27" i="1"/>
  <c r="F34" i="1" s="1"/>
  <c r="F35" i="1" s="1"/>
  <c r="AO8" i="1"/>
  <c r="Z15" i="1" s="1"/>
  <c r="K33" i="1" l="1"/>
  <c r="L33" i="1" s="1"/>
  <c r="Z28" i="1"/>
  <c r="AA26" i="1"/>
  <c r="AA28" i="1" s="1"/>
  <c r="AA27" i="1"/>
  <c r="AP8" i="1"/>
  <c r="AA15" i="1" s="1"/>
  <c r="AB26" i="1" l="1"/>
  <c r="AB28" i="1" s="1"/>
  <c r="AB27" i="1"/>
  <c r="AQ8" i="1"/>
  <c r="AB15" i="1" s="1"/>
  <c r="AC26" i="1" l="1"/>
  <c r="AC28" i="1" s="1"/>
  <c r="AC27" i="1"/>
  <c r="AR8" i="1"/>
  <c r="AC15" i="1" s="1"/>
  <c r="AD26" i="1" l="1"/>
  <c r="AD28" i="1" s="1"/>
  <c r="AD27" i="1"/>
  <c r="AS8" i="1"/>
  <c r="AD15" i="1" s="1"/>
  <c r="AE26" i="1" l="1"/>
  <c r="AE28" i="1" s="1"/>
  <c r="F36" i="1" s="1"/>
  <c r="AE27" i="1"/>
  <c r="AT8" i="1"/>
  <c r="G40" i="1" l="1"/>
  <c r="G43" i="1" s="1"/>
  <c r="G46" i="1" s="1"/>
  <c r="O46" i="1" l="1"/>
</calcChain>
</file>

<file path=xl/sharedStrings.xml><?xml version="1.0" encoding="utf-8"?>
<sst xmlns="http://schemas.openxmlformats.org/spreadsheetml/2006/main" count="156" uniqueCount="103">
  <si>
    <t>Discounted Cash Flow Model</t>
  </si>
  <si>
    <t>stock</t>
  </si>
  <si>
    <t>pypl</t>
  </si>
  <si>
    <t>Enter number of years before terminal value</t>
  </si>
  <si>
    <t>Year</t>
  </si>
  <si>
    <t>Growth rate</t>
  </si>
  <si>
    <t>enter current year:</t>
  </si>
  <si>
    <t xml:space="preserve">Average Growth Rate: </t>
  </si>
  <si>
    <t>future FCFF</t>
  </si>
  <si>
    <t>present value</t>
  </si>
  <si>
    <t>Perpetual Growth Rate</t>
  </si>
  <si>
    <t>Cost of Capital (WACC):</t>
  </si>
  <si>
    <t>Period</t>
  </si>
  <si>
    <t xml:space="preserve">Terminal value </t>
  </si>
  <si>
    <t>usually you would want a normalize risk free rate</t>
  </si>
  <si>
    <t>Last Year FCFF</t>
  </si>
  <si>
    <t>PV of FCFF</t>
  </si>
  <si>
    <t>pv of fcff + Terminal value</t>
  </si>
  <si>
    <t>Cash &amp; Cash Equivalents</t>
  </si>
  <si>
    <t>Total Debt</t>
  </si>
  <si>
    <t>Equity Value</t>
  </si>
  <si>
    <t>Shares Outstanding</t>
  </si>
  <si>
    <t>FAIR VALUE OF STOCK:</t>
  </si>
  <si>
    <t>CURRENT PRICE:</t>
  </si>
  <si>
    <t>GAP:</t>
  </si>
  <si>
    <t>History of valuation</t>
  </si>
  <si>
    <t>TICKER</t>
  </si>
  <si>
    <t>VALUE</t>
  </si>
  <si>
    <t>PRICE</t>
  </si>
  <si>
    <t>DATE</t>
  </si>
  <si>
    <t>by real growth</t>
  </si>
  <si>
    <t>9.4.24</t>
  </si>
  <si>
    <t>Intrinsic Valuation Model</t>
  </si>
  <si>
    <t>Enter number of years before Terminal Value:</t>
  </si>
  <si>
    <t>EBIT:</t>
  </si>
  <si>
    <t>Tax Rate:</t>
  </si>
  <si>
    <t>Cap Ex:</t>
  </si>
  <si>
    <t>Depreciation:</t>
  </si>
  <si>
    <t>Working Capital:</t>
  </si>
  <si>
    <t>Cash asset:</t>
  </si>
  <si>
    <t>Enter Current Year</t>
  </si>
  <si>
    <t>change in non cash WC</t>
  </si>
  <si>
    <t>non cash WC</t>
  </si>
  <si>
    <t>chg in wc tends to move a lot so you either want to</t>
  </si>
  <si>
    <t>break it down or use an secter average or firm average</t>
  </si>
  <si>
    <t>you can start with effective tax rate but move torwards marginal</t>
  </si>
  <si>
    <t>FCFF</t>
  </si>
  <si>
    <t>ttm</t>
  </si>
  <si>
    <t>EBIT*(1-tax rate) - ((cap ex - depreciation) + chg in non cash wc) = FCFF</t>
  </si>
  <si>
    <t>PV of Terminal Value</t>
  </si>
  <si>
    <t>Enterprise Value</t>
  </si>
  <si>
    <t>//sum pf pv pf fcff + pv of tm</t>
  </si>
  <si>
    <t>Share Price</t>
  </si>
  <si>
    <t>x</t>
  </si>
  <si>
    <t>Shares</t>
  </si>
  <si>
    <t>- Debt</t>
  </si>
  <si>
    <t>+ Cash</t>
  </si>
  <si>
    <t>Present Value of Terminal Value</t>
  </si>
  <si>
    <t>Terminal Value</t>
  </si>
  <si>
    <t>Present Value of FCF</t>
  </si>
  <si>
    <t>Unlevered FCF</t>
  </si>
  <si>
    <t>% of sales</t>
  </si>
  <si>
    <t>Change in NWC</t>
  </si>
  <si>
    <t>CapEx</t>
  </si>
  <si>
    <t>% of EBIT</t>
  </si>
  <si>
    <t>Taxes</t>
  </si>
  <si>
    <t>EBIT</t>
  </si>
  <si>
    <t>% growth</t>
  </si>
  <si>
    <t>Revenue</t>
  </si>
  <si>
    <t>DCF</t>
  </si>
  <si>
    <t>Cash Flow Items</t>
  </si>
  <si>
    <t>Income Statement</t>
  </si>
  <si>
    <t>WACC</t>
  </si>
  <si>
    <t>Valuation Assumptions</t>
  </si>
  <si>
    <t>Assumptions</t>
  </si>
  <si>
    <t>Today's Share Price</t>
  </si>
  <si>
    <t>Date</t>
  </si>
  <si>
    <t>Implied Share Price</t>
  </si>
  <si>
    <t>AMZN</t>
  </si>
  <si>
    <t>Ticker</t>
  </si>
  <si>
    <t>current year:</t>
  </si>
  <si>
    <t>WC</t>
  </si>
  <si>
    <t>Cash assets</t>
  </si>
  <si>
    <t>Change in non cash WC</t>
  </si>
  <si>
    <t>Tax Rate</t>
  </si>
  <si>
    <t>Depriciation</t>
  </si>
  <si>
    <t>%of revenue</t>
  </si>
  <si>
    <t>Terminal Growth rate</t>
  </si>
  <si>
    <t>Depreciation</t>
  </si>
  <si>
    <t>y</t>
  </si>
  <si>
    <t>change in non cash WC:</t>
  </si>
  <si>
    <t>Last year cash:</t>
  </si>
  <si>
    <t>Last year WC:</t>
  </si>
  <si>
    <t>current year cash:</t>
  </si>
  <si>
    <t>current year WC:</t>
  </si>
  <si>
    <t>net cap ex =</t>
  </si>
  <si>
    <t>FCFF =</t>
  </si>
  <si>
    <t>tax rate:</t>
  </si>
  <si>
    <t>INPUTS:</t>
  </si>
  <si>
    <t>FCFF CALULATION</t>
  </si>
  <si>
    <t>rblx</t>
  </si>
  <si>
    <t xml:space="preserve">rblx </t>
  </si>
  <si>
    <t>29.4.24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</si>
</sst>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0.000%"/>
    <numFmt numFmtId="167" formatCode="0.00000%"/>
    <numFmt numFmtId="168" formatCode="0.0%"/>
    <numFmt numFmtId="169" formatCode="_([$$-409]* #,##0.00_);_([$$-409]* \(#,##0.00\);_([$$-409]* &quot;-&quot;??_);_(@_)"/>
    <numFmt numFmtId="170" formatCode="&quot;$&quot;#,##0"/>
    <numFmt numFmtId="171" formatCode="0.0%;\(0.0%\)"/>
    <numFmt numFmtId="172" formatCode="&quot;$&quot;#,##0_);[Red]\(&quot;$&quot;#,##0\)"/>
    <numFmt numFmtId="173" formatCode="&quot;$&quot;#,##0.00"/>
  </numFmts>
  <fonts count="3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b/>
      <sz val="14"/>
      <color rgb="FF00B050"/>
      <name val="Times New Roman"/>
      <family val="1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color rgb="FF7030A0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7030A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i/>
      <sz val="11"/>
      <color rgb="FF00B050"/>
      <name val="Arial"/>
      <family val="2"/>
      <scheme val="minor"/>
    </font>
    <font>
      <sz val="9"/>
      <name val="Geneva"/>
    </font>
    <font>
      <sz val="9"/>
      <name val="Times New Roman"/>
      <family val="1"/>
      <scheme val="major"/>
    </font>
    <font>
      <b/>
      <sz val="9"/>
      <name val="Times New Roman"/>
      <family val="1"/>
      <scheme val="major"/>
    </font>
    <font>
      <sz val="10"/>
      <color rgb="FF00B050"/>
      <name val="Times New Roman"/>
      <family val="1"/>
      <scheme val="major"/>
    </font>
    <font>
      <b/>
      <sz val="10"/>
      <color rgb="FF00B050"/>
      <name val="Times New Roman"/>
      <family val="1"/>
      <scheme val="major"/>
    </font>
    <font>
      <b/>
      <sz val="20"/>
      <name val="Times New Roman"/>
      <family val="1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4A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5" fillId="0" borderId="0" xfId="0" applyFont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5" fillId="7" borderId="15" xfId="0" applyNumberFormat="1" applyFont="1" applyFill="1" applyBorder="1" applyAlignment="1">
      <alignment horizontal="center" vertical="center"/>
    </xf>
    <xf numFmtId="10" fontId="5" fillId="7" borderId="16" xfId="0" applyNumberFormat="1" applyFont="1" applyFill="1" applyBorder="1" applyAlignment="1">
      <alignment horizontal="center" vertical="center"/>
    </xf>
    <xf numFmtId="164" fontId="5" fillId="5" borderId="24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5" fillId="5" borderId="14" xfId="0" applyNumberFormat="1" applyFont="1" applyFill="1" applyBorder="1" applyAlignment="1">
      <alignment horizontal="center" vertical="center"/>
    </xf>
    <xf numFmtId="9" fontId="6" fillId="0" borderId="0" xfId="0" applyNumberFormat="1" applyFont="1"/>
    <xf numFmtId="0" fontId="6" fillId="0" borderId="0" xfId="0" applyFont="1"/>
    <xf numFmtId="164" fontId="5" fillId="7" borderId="13" xfId="0" applyNumberFormat="1" applyFont="1" applyFill="1" applyBorder="1" applyAlignment="1">
      <alignment horizontal="left" vertical="center"/>
    </xf>
    <xf numFmtId="164" fontId="5" fillId="7" borderId="16" xfId="0" applyNumberFormat="1" applyFont="1" applyFill="1" applyBorder="1" applyAlignment="1">
      <alignment horizontal="left" vertical="center"/>
    </xf>
    <xf numFmtId="164" fontId="5" fillId="7" borderId="25" xfId="0" applyNumberFormat="1" applyFont="1" applyFill="1" applyBorder="1" applyAlignment="1">
      <alignment horizontal="left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0" fillId="0" borderId="0" xfId="0" applyNumberFormat="1"/>
    <xf numFmtId="166" fontId="0" fillId="7" borderId="1" xfId="2" applyNumberFormat="1" applyFont="1" applyFill="1" applyBorder="1"/>
    <xf numFmtId="166" fontId="6" fillId="0" borderId="0" xfId="0" applyNumberFormat="1" applyFont="1"/>
    <xf numFmtId="165" fontId="0" fillId="0" borderId="0" xfId="0" applyNumberFormat="1"/>
    <xf numFmtId="0" fontId="5" fillId="10" borderId="0" xfId="0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0" fillId="10" borderId="0" xfId="0" applyFill="1"/>
    <xf numFmtId="167" fontId="0" fillId="7" borderId="1" xfId="2" applyNumberFormat="1" applyFont="1" applyFill="1" applyBorder="1"/>
    <xf numFmtId="164" fontId="5" fillId="7" borderId="13" xfId="0" applyNumberFormat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/>
    </xf>
    <xf numFmtId="43" fontId="5" fillId="7" borderId="16" xfId="1" applyFont="1" applyFill="1" applyBorder="1" applyAlignment="1">
      <alignment horizontal="center" vertical="center"/>
    </xf>
    <xf numFmtId="0" fontId="0" fillId="9" borderId="1" xfId="0" applyFill="1" applyBorder="1"/>
    <xf numFmtId="0" fontId="0" fillId="7" borderId="1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10" fillId="0" borderId="0" xfId="0" applyFont="1"/>
    <xf numFmtId="0" fontId="5" fillId="0" borderId="22" xfId="0" applyFont="1" applyBorder="1" applyAlignment="1">
      <alignment horizontal="center"/>
    </xf>
    <xf numFmtId="167" fontId="0" fillId="10" borderId="0" xfId="2" applyNumberFormat="1" applyFont="1" applyFill="1" applyBorder="1"/>
    <xf numFmtId="167" fontId="0" fillId="0" borderId="0" xfId="0" applyNumberFormat="1"/>
    <xf numFmtId="0" fontId="0" fillId="15" borderId="10" xfId="0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9" fontId="0" fillId="0" borderId="10" xfId="2" applyFont="1" applyFill="1" applyBorder="1" applyAlignment="1">
      <alignment horizontal="center" vertical="center"/>
    </xf>
    <xf numFmtId="9" fontId="0" fillId="0" borderId="0" xfId="2" applyFont="1"/>
    <xf numFmtId="9" fontId="5" fillId="5" borderId="10" xfId="2" applyFont="1" applyFill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64" fontId="0" fillId="11" borderId="10" xfId="0" applyNumberForma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4" fontId="0" fillId="14" borderId="15" xfId="0" applyNumberFormat="1" applyFill="1" applyBorder="1" applyAlignment="1">
      <alignment horizontal="center" vertical="center"/>
    </xf>
    <xf numFmtId="168" fontId="6" fillId="0" borderId="0" xfId="0" applyNumberFormat="1" applyFont="1"/>
    <xf numFmtId="169" fontId="5" fillId="0" borderId="0" xfId="0" applyNumberFormat="1" applyFont="1"/>
    <xf numFmtId="0" fontId="5" fillId="0" borderId="0" xfId="0" applyFont="1"/>
    <xf numFmtId="3" fontId="0" fillId="0" borderId="29" xfId="0" applyNumberFormat="1" applyBorder="1" applyAlignment="1">
      <alignment horizontal="right"/>
    </xf>
    <xf numFmtId="0" fontId="0" fillId="0" borderId="30" xfId="0" applyBorder="1"/>
    <xf numFmtId="37" fontId="12" fillId="0" borderId="0" xfId="0" applyNumberFormat="1" applyFont="1"/>
    <xf numFmtId="170" fontId="0" fillId="0" borderId="29" xfId="0" applyNumberFormat="1" applyBorder="1" applyAlignment="1">
      <alignment horizontal="right"/>
    </xf>
    <xf numFmtId="0" fontId="0" fillId="0" borderId="30" xfId="0" quotePrefix="1" applyBorder="1"/>
    <xf numFmtId="170" fontId="0" fillId="0" borderId="31" xfId="0" applyNumberFormat="1" applyBorder="1" applyAlignment="1">
      <alignment horizontal="right"/>
    </xf>
    <xf numFmtId="0" fontId="0" fillId="0" borderId="0" xfId="0" quotePrefix="1"/>
    <xf numFmtId="37" fontId="13" fillId="0" borderId="30" xfId="0" applyNumberFormat="1" applyFont="1" applyBorder="1"/>
    <xf numFmtId="37" fontId="13" fillId="0" borderId="0" xfId="0" applyNumberFormat="1" applyFont="1"/>
    <xf numFmtId="14" fontId="0" fillId="0" borderId="0" xfId="0" applyNumberFormat="1"/>
    <xf numFmtId="37" fontId="5" fillId="0" borderId="32" xfId="0" applyNumberFormat="1" applyFont="1" applyBorder="1"/>
    <xf numFmtId="37" fontId="5" fillId="0" borderId="33" xfId="0" applyNumberFormat="1" applyFont="1" applyBorder="1"/>
    <xf numFmtId="37" fontId="0" fillId="0" borderId="0" xfId="0" applyNumberFormat="1"/>
    <xf numFmtId="171" fontId="14" fillId="0" borderId="0" xfId="2" applyNumberFormat="1" applyFont="1" applyBorder="1"/>
    <xf numFmtId="171" fontId="15" fillId="0" borderId="0" xfId="2" applyNumberFormat="1" applyFont="1" applyBorder="1"/>
    <xf numFmtId="171" fontId="15" fillId="0" borderId="34" xfId="2" applyNumberFormat="1" applyFont="1" applyBorder="1"/>
    <xf numFmtId="0" fontId="15" fillId="0" borderId="0" xfId="0" applyFont="1"/>
    <xf numFmtId="168" fontId="0" fillId="0" borderId="0" xfId="0" applyNumberFormat="1"/>
    <xf numFmtId="0" fontId="13" fillId="10" borderId="0" xfId="0" applyFont="1" applyFill="1"/>
    <xf numFmtId="37" fontId="16" fillId="0" borderId="34" xfId="0" applyNumberFormat="1" applyFont="1" applyBorder="1"/>
    <xf numFmtId="37" fontId="16" fillId="0" borderId="0" xfId="0" applyNumberFormat="1" applyFont="1"/>
    <xf numFmtId="0" fontId="0" fillId="0" borderId="34" xfId="0" applyBorder="1"/>
    <xf numFmtId="168" fontId="15" fillId="0" borderId="34" xfId="2" applyNumberFormat="1" applyFont="1" applyBorder="1"/>
    <xf numFmtId="168" fontId="15" fillId="0" borderId="0" xfId="2" applyNumberFormat="1" applyFont="1"/>
    <xf numFmtId="3" fontId="16" fillId="0" borderId="0" xfId="0" applyNumberFormat="1" applyFont="1"/>
    <xf numFmtId="3" fontId="16" fillId="0" borderId="34" xfId="0" applyNumberFormat="1" applyFont="1" applyBorder="1"/>
    <xf numFmtId="168" fontId="13" fillId="10" borderId="0" xfId="2" applyNumberFormat="1" applyFont="1" applyFill="1"/>
    <xf numFmtId="3" fontId="0" fillId="0" borderId="0" xfId="0" applyNumberFormat="1"/>
    <xf numFmtId="172" fontId="13" fillId="10" borderId="0" xfId="0" applyNumberFormat="1" applyFont="1" applyFill="1"/>
    <xf numFmtId="168" fontId="14" fillId="0" borderId="0" xfId="2" applyNumberFormat="1" applyFont="1" applyFill="1" applyBorder="1"/>
    <xf numFmtId="3" fontId="13" fillId="10" borderId="0" xfId="0" applyNumberFormat="1" applyFont="1" applyFill="1"/>
    <xf numFmtId="3" fontId="13" fillId="0" borderId="0" xfId="0" applyNumberFormat="1" applyFont="1"/>
    <xf numFmtId="168" fontId="0" fillId="0" borderId="0" xfId="2" applyNumberFormat="1" applyFont="1"/>
    <xf numFmtId="1" fontId="0" fillId="0" borderId="0" xfId="0" applyNumberFormat="1"/>
    <xf numFmtId="0" fontId="17" fillId="16" borderId="0" xfId="0" applyFont="1" applyFill="1"/>
    <xf numFmtId="0" fontId="0" fillId="16" borderId="0" xfId="0" applyFill="1"/>
    <xf numFmtId="168" fontId="18" fillId="10" borderId="0" xfId="2" applyNumberFormat="1" applyFont="1" applyFill="1"/>
    <xf numFmtId="168" fontId="18" fillId="10" borderId="0" xfId="2" applyNumberFormat="1" applyFont="1" applyFill="1" applyBorder="1"/>
    <xf numFmtId="171" fontId="15" fillId="0" borderId="0" xfId="2" applyNumberFormat="1" applyFont="1"/>
    <xf numFmtId="0" fontId="18" fillId="10" borderId="0" xfId="0" applyFont="1" applyFill="1"/>
    <xf numFmtId="37" fontId="19" fillId="10" borderId="34" xfId="0" applyNumberFormat="1" applyFont="1" applyFill="1" applyBorder="1"/>
    <xf numFmtId="37" fontId="19" fillId="10" borderId="0" xfId="0" applyNumberFormat="1" applyFont="1" applyFill="1"/>
    <xf numFmtId="3" fontId="13" fillId="10" borderId="34" xfId="0" applyNumberFormat="1" applyFont="1" applyFill="1" applyBorder="1"/>
    <xf numFmtId="168" fontId="18" fillId="10" borderId="34" xfId="2" applyNumberFormat="1" applyFont="1" applyFill="1" applyBorder="1"/>
    <xf numFmtId="3" fontId="20" fillId="10" borderId="0" xfId="0" applyNumberFormat="1" applyFont="1" applyFill="1"/>
    <xf numFmtId="3" fontId="19" fillId="10" borderId="34" xfId="0" applyNumberFormat="1" applyFont="1" applyFill="1" applyBorder="1"/>
    <xf numFmtId="3" fontId="19" fillId="10" borderId="0" xfId="0" applyNumberFormat="1" applyFont="1" applyFill="1"/>
    <xf numFmtId="0" fontId="13" fillId="10" borderId="34" xfId="0" applyFont="1" applyFill="1" applyBorder="1"/>
    <xf numFmtId="0" fontId="12" fillId="10" borderId="0" xfId="0" applyFont="1" applyFill="1"/>
    <xf numFmtId="168" fontId="0" fillId="7" borderId="31" xfId="0" applyNumberFormat="1" applyFill="1" applyBorder="1" applyAlignment="1">
      <alignment horizontal="center"/>
    </xf>
    <xf numFmtId="169" fontId="0" fillId="0" borderId="0" xfId="0" applyNumberFormat="1"/>
    <xf numFmtId="173" fontId="0" fillId="0" borderId="31" xfId="0" applyNumberFormat="1" applyBorder="1" applyAlignment="1">
      <alignment horizontal="center"/>
    </xf>
    <xf numFmtId="14" fontId="0" fillId="7" borderId="35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21" fillId="0" borderId="30" xfId="0" applyFont="1" applyBorder="1"/>
    <xf numFmtId="0" fontId="0" fillId="0" borderId="31" xfId="0" applyBorder="1" applyAlignment="1">
      <alignment horizontal="center"/>
    </xf>
    <xf numFmtId="14" fontId="17" fillId="16" borderId="34" xfId="0" applyNumberFormat="1" applyFont="1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17" fillId="16" borderId="0" xfId="0" applyFont="1" applyFill="1" applyAlignment="1">
      <alignment horizontal="center" vertical="center"/>
    </xf>
    <xf numFmtId="0" fontId="22" fillId="0" borderId="0" xfId="0" applyFont="1"/>
    <xf numFmtId="3" fontId="5" fillId="0" borderId="0" xfId="0" applyNumberFormat="1" applyFont="1"/>
    <xf numFmtId="0" fontId="5" fillId="0" borderId="34" xfId="0" applyFont="1" applyBorder="1"/>
    <xf numFmtId="0" fontId="23" fillId="0" borderId="0" xfId="0" applyFont="1"/>
    <xf numFmtId="0" fontId="5" fillId="0" borderId="11" xfId="0" applyFont="1" applyBorder="1"/>
    <xf numFmtId="0" fontId="0" fillId="0" borderId="13" xfId="0" applyBorder="1"/>
    <xf numFmtId="0" fontId="5" fillId="0" borderId="14" xfId="0" applyFont="1" applyBorder="1"/>
    <xf numFmtId="0" fontId="0" fillId="0" borderId="16" xfId="0" applyBorder="1"/>
    <xf numFmtId="9" fontId="2" fillId="7" borderId="16" xfId="2" applyFont="1" applyFill="1" applyBorder="1" applyAlignment="1">
      <alignment horizontal="center" vertical="center"/>
    </xf>
    <xf numFmtId="0" fontId="24" fillId="0" borderId="0" xfId="3"/>
    <xf numFmtId="0" fontId="25" fillId="0" borderId="0" xfId="3" applyFont="1"/>
    <xf numFmtId="164" fontId="25" fillId="9" borderId="1" xfId="3" applyNumberFormat="1" applyFont="1" applyFill="1" applyBorder="1"/>
    <xf numFmtId="164" fontId="25" fillId="0" borderId="0" xfId="3" applyNumberFormat="1" applyFont="1"/>
    <xf numFmtId="164" fontId="25" fillId="9" borderId="1" xfId="3" applyNumberFormat="1" applyFont="1" applyFill="1" applyBorder="1" applyAlignment="1">
      <alignment horizontal="right" vertical="center"/>
    </xf>
    <xf numFmtId="0" fontId="26" fillId="0" borderId="0" xfId="3" applyFont="1" applyAlignment="1">
      <alignment vertical="center"/>
    </xf>
    <xf numFmtId="9" fontId="25" fillId="9" borderId="1" xfId="4" applyFont="1" applyFill="1" applyBorder="1"/>
    <xf numFmtId="0" fontId="26" fillId="0" borderId="0" xfId="3" applyFont="1"/>
    <xf numFmtId="0" fontId="29" fillId="9" borderId="2" xfId="3" applyFont="1" applyFill="1" applyBorder="1" applyAlignment="1">
      <alignment horizontal="center" vertical="center"/>
    </xf>
    <xf numFmtId="0" fontId="26" fillId="9" borderId="3" xfId="3" applyFont="1" applyFill="1" applyBorder="1" applyAlignment="1">
      <alignment horizontal="center" vertical="center"/>
    </xf>
    <xf numFmtId="0" fontId="26" fillId="9" borderId="4" xfId="3" applyFont="1" applyFill="1" applyBorder="1" applyAlignment="1">
      <alignment horizontal="center" vertical="center"/>
    </xf>
    <xf numFmtId="0" fontId="26" fillId="9" borderId="5" xfId="3" applyFont="1" applyFill="1" applyBorder="1" applyAlignment="1">
      <alignment horizontal="center" vertical="center"/>
    </xf>
    <xf numFmtId="0" fontId="26" fillId="9" borderId="0" xfId="3" applyFont="1" applyFill="1" applyAlignment="1">
      <alignment horizontal="center" vertical="center"/>
    </xf>
    <xf numFmtId="0" fontId="26" fillId="9" borderId="6" xfId="3" applyFont="1" applyFill="1" applyBorder="1" applyAlignment="1">
      <alignment horizontal="center" vertical="center"/>
    </xf>
    <xf numFmtId="0" fontId="26" fillId="9" borderId="7" xfId="3" applyFont="1" applyFill="1" applyBorder="1" applyAlignment="1">
      <alignment horizontal="center" vertical="center"/>
    </xf>
    <xf numFmtId="0" fontId="26" fillId="9" borderId="8" xfId="3" applyFont="1" applyFill="1" applyBorder="1" applyAlignment="1">
      <alignment horizontal="center" vertical="center"/>
    </xf>
    <xf numFmtId="0" fontId="26" fillId="9" borderId="9" xfId="3" applyFont="1" applyFill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164" fontId="5" fillId="9" borderId="14" xfId="0" applyNumberFormat="1" applyFont="1" applyFill="1" applyBorder="1" applyAlignment="1">
      <alignment horizontal="center" vertical="center"/>
    </xf>
    <xf numFmtId="164" fontId="5" fillId="9" borderId="1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164" fontId="0" fillId="0" borderId="0" xfId="5" applyNumberFormat="1" applyFont="1"/>
    <xf numFmtId="9" fontId="7" fillId="17" borderId="0" xfId="4" applyFont="1" applyFill="1" applyAlignment="1">
      <alignment horizontal="center" vertical="center"/>
    </xf>
    <xf numFmtId="164" fontId="7" fillId="18" borderId="0" xfId="0" applyNumberFormat="1" applyFont="1" applyFill="1" applyAlignment="1">
      <alignment horizontal="center" vertical="center"/>
    </xf>
  </cellXfs>
  <cellStyles count="6">
    <cellStyle name="Comma" xfId="1" builtinId="3"/>
    <cellStyle name="Currency" xfId="5" builtinId="4"/>
    <cellStyle name="Normal" xfId="0" builtinId="0"/>
    <cellStyle name="Normal 2" xfId="3" xr:uid="{8ECEACAD-A26E-4C1F-A43D-4227CD88F44B}"/>
    <cellStyle name="Percent" xfId="2" builtinId="5"/>
    <cellStyle name="Percent 2" xfId="4" xr:uid="{A5F20637-E01B-43EA-9789-03C217864FC5}"/>
  </cellStyles>
  <dxfs count="0"/>
  <tableStyles count="0" defaultTableStyle="TableStyleMedium2" defaultPivotStyle="PivotStyleLight16"/>
  <colors>
    <mruColors>
      <color rgb="FFFF4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414618</xdr:colOff>
      <xdr:row>28</xdr:row>
      <xdr:rowOff>160611</xdr:rowOff>
    </xdr:from>
    <xdr:to>
      <xdr:col>21</xdr:col>
      <xdr:colOff>55266</xdr:colOff>
      <xdr:row>37</xdr:row>
      <xdr:rowOff>134471</xdr:rowOff>
    </xdr:to>
    <xdr:pic>
      <xdr:nvPicPr>
        <xdr:cNvPr id="2" name="Picture 1" descr="What Is Discounted Cash Flow (DCF)? | Money">
          <a:extLst>
            <a:ext uri="{FF2B5EF4-FFF2-40B4-BE49-F238E27FC236}">
              <a16:creationId xmlns:a16="http://schemas.microsoft.com/office/drawing/2014/main" id="{92A393E7-FCCE-C669-4290-1B0ED75F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324" y="5774758"/>
          <a:ext cx="5053090" cy="2461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627528</xdr:colOff>
      <xdr:row>29</xdr:row>
      <xdr:rowOff>156882</xdr:rowOff>
    </xdr:from>
    <xdr:to>
      <xdr:col>15</xdr:col>
      <xdr:colOff>32184</xdr:colOff>
      <xdr:row>36</xdr:row>
      <xdr:rowOff>190853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A1DF0-A392-2106-2E12-2D7EC94F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6116" y="6622676"/>
          <a:ext cx="3539627" cy="1950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649941</xdr:colOff>
      <xdr:row>29</xdr:row>
      <xdr:rowOff>180756</xdr:rowOff>
    </xdr:from>
    <xdr:to>
      <xdr:col>29</xdr:col>
      <xdr:colOff>9609</xdr:colOff>
      <xdr:row>44</xdr:row>
      <xdr:rowOff>175847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B63F5-0BDE-11F6-CD9B-FA38F552A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7147" y="8428285"/>
          <a:ext cx="6878815" cy="349132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31</xdr:row>
      <xdr:rowOff>19050</xdr:rowOff>
    </xdr:from>
    <xdr:to>
      <xdr:col>17</xdr:col>
      <xdr:colOff>63002</xdr:colOff>
      <xdr:row>40</xdr:row>
      <xdr:rowOff>238479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4E111-8D79-4C2F-AD87-5EABFB31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8658225"/>
          <a:ext cx="3539627" cy="1950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52DC-6B8B-4ECF-9A81-9BC3901D4244}">
  <dimension ref="B2:Q32"/>
  <sheetViews>
    <sheetView zoomScale="115" zoomScaleNormal="115" workbookViewId="0">
      <selection activeCell="P15" sqref="P15"/>
    </sheetView>
  </sheetViews>
  <sheetFormatPr defaultRowHeight="12"/>
  <cols>
    <col min="1" max="2" width="9" style="128"/>
    <col min="3" max="3" width="20.75" style="128" customWidth="1"/>
    <col min="4" max="4" width="11.25" style="128" bestFit="1" customWidth="1"/>
    <col min="5" max="5" width="9" style="128"/>
    <col min="6" max="6" width="10.125" style="128" customWidth="1"/>
    <col min="7" max="7" width="17" style="128" customWidth="1"/>
    <col min="8" max="15" width="9" style="128"/>
    <col min="16" max="16" width="12.375" style="128" customWidth="1"/>
    <col min="17" max="16384" width="9" style="128"/>
  </cols>
  <sheetData>
    <row r="2" spans="2:16" ht="12.75" thickBot="1"/>
    <row r="3" spans="2:16">
      <c r="C3" s="136" t="s">
        <v>99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8"/>
    </row>
    <row r="4" spans="2:16">
      <c r="C4" s="139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1"/>
    </row>
    <row r="5" spans="2:16">
      <c r="C5" s="1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1"/>
    </row>
    <row r="6" spans="2:16">
      <c r="C6" s="139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6" ht="12.75" thickBot="1">
      <c r="C7" s="14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16"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</row>
    <row r="9" spans="2:16"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</row>
    <row r="10" spans="2:16">
      <c r="B10" s="129"/>
      <c r="C10" s="135" t="s">
        <v>98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2:16" ht="12.75" thickBot="1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</row>
    <row r="12" spans="2:16" ht="12.75" thickBot="1">
      <c r="B12" s="129"/>
      <c r="C12" s="129" t="s">
        <v>34</v>
      </c>
      <c r="D12" s="130">
        <f>-1119092</f>
        <v>-1119092</v>
      </c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</row>
    <row r="13" spans="2:16" ht="12.75" thickBot="1"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</row>
    <row r="14" spans="2:16" ht="12.75" thickBot="1">
      <c r="B14" s="129"/>
      <c r="C14" s="129" t="s">
        <v>97</v>
      </c>
      <c r="D14" s="134">
        <v>0</v>
      </c>
      <c r="E14" s="129"/>
      <c r="F14" s="145" t="s">
        <v>48</v>
      </c>
      <c r="G14" s="146"/>
      <c r="H14" s="146"/>
      <c r="I14" s="146"/>
      <c r="J14" s="146"/>
      <c r="K14" s="146"/>
      <c r="L14" s="146"/>
      <c r="M14" s="129"/>
      <c r="N14" s="147" t="s">
        <v>96</v>
      </c>
      <c r="O14" s="147"/>
      <c r="P14" s="129"/>
    </row>
    <row r="15" spans="2:16" ht="12.75" thickBot="1">
      <c r="B15" s="129"/>
      <c r="C15" s="129"/>
      <c r="D15" s="129"/>
      <c r="E15" s="129"/>
      <c r="F15" s="146"/>
      <c r="G15" s="146"/>
      <c r="H15" s="146"/>
      <c r="I15" s="146"/>
      <c r="J15" s="146"/>
      <c r="K15" s="146"/>
      <c r="L15" s="146"/>
      <c r="M15" s="129"/>
      <c r="N15" s="147"/>
      <c r="O15" s="147"/>
      <c r="P15" s="131">
        <f>(D12*(1-D14))-((D16-D18)+D28)</f>
        <v>-2409403</v>
      </c>
    </row>
    <row r="16" spans="2:16" ht="12.75" thickBot="1">
      <c r="B16" s="129"/>
      <c r="C16" s="129" t="s">
        <v>36</v>
      </c>
      <c r="D16" s="130">
        <f>334167</f>
        <v>334167</v>
      </c>
      <c r="E16" s="129"/>
      <c r="F16" s="146"/>
      <c r="G16" s="146"/>
      <c r="H16" s="146"/>
      <c r="I16" s="146"/>
      <c r="J16" s="146"/>
      <c r="K16" s="146"/>
      <c r="L16" s="146"/>
      <c r="M16" s="129"/>
      <c r="N16" s="147"/>
      <c r="O16" s="147"/>
      <c r="P16" s="129"/>
    </row>
    <row r="17" spans="2:17" ht="12.75" thickBot="1"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33"/>
      <c r="O17" s="133"/>
      <c r="P17" s="129"/>
    </row>
    <row r="18" spans="2:17" ht="12.75" thickBot="1">
      <c r="B18" s="129"/>
      <c r="C18" s="129" t="s">
        <v>37</v>
      </c>
      <c r="D18" s="130">
        <f>208142</f>
        <v>208142</v>
      </c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</row>
    <row r="19" spans="2:17" ht="12.75" thickBot="1">
      <c r="B19" s="129"/>
      <c r="C19" s="129"/>
      <c r="D19" s="131"/>
      <c r="E19" s="129"/>
      <c r="F19" s="129" t="s">
        <v>95</v>
      </c>
      <c r="G19" s="130">
        <f>D16-D18</f>
        <v>126025</v>
      </c>
      <c r="H19" s="129"/>
      <c r="I19" s="129"/>
      <c r="J19" s="129"/>
      <c r="K19" s="129"/>
      <c r="L19" s="129"/>
      <c r="M19" s="129"/>
      <c r="N19" s="129"/>
      <c r="O19" s="129"/>
      <c r="P19" s="129"/>
    </row>
    <row r="20" spans="2:17" ht="12.75" thickBot="1">
      <c r="B20" s="129"/>
      <c r="C20" s="129" t="s">
        <v>94</v>
      </c>
      <c r="D20" s="130">
        <v>223047</v>
      </c>
      <c r="E20" s="129"/>
      <c r="F20" s="129"/>
      <c r="G20" s="129"/>
      <c r="H20" s="129"/>
      <c r="I20" s="129"/>
      <c r="J20" s="129"/>
      <c r="K20" s="131">
        <f>D12*(1-D14)+D18-D16-D28</f>
        <v>-2409403</v>
      </c>
      <c r="L20" s="129"/>
      <c r="M20" s="129"/>
      <c r="N20" s="129"/>
      <c r="O20" s="129"/>
      <c r="P20" s="129"/>
    </row>
    <row r="21" spans="2:17" ht="12.75" thickBot="1">
      <c r="B21" s="129"/>
      <c r="C21" s="129"/>
      <c r="D21" s="131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</row>
    <row r="22" spans="2:17" ht="12.75" thickBot="1">
      <c r="B22" s="129"/>
      <c r="C22" s="129" t="s">
        <v>93</v>
      </c>
      <c r="D22" s="130">
        <v>678466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</row>
    <row r="23" spans="2:17" ht="12.75" thickBot="1">
      <c r="B23" s="129"/>
      <c r="C23" s="129"/>
      <c r="D23" s="131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</row>
    <row r="24" spans="2:17" ht="12.75" thickBot="1">
      <c r="B24" s="129"/>
      <c r="C24" s="129" t="s">
        <v>92</v>
      </c>
      <c r="D24" s="132">
        <v>1357769</v>
      </c>
      <c r="E24" s="129"/>
      <c r="F24" s="129"/>
      <c r="G24" s="129"/>
      <c r="H24" s="129"/>
      <c r="I24" s="129"/>
      <c r="J24" s="131">
        <f>-D16+D18</f>
        <v>-126025</v>
      </c>
      <c r="K24" s="129"/>
      <c r="L24" s="129"/>
      <c r="M24" s="129"/>
      <c r="N24" s="129"/>
      <c r="O24" s="129"/>
      <c r="P24" s="129"/>
    </row>
    <row r="25" spans="2:17" ht="12.75" thickBot="1">
      <c r="B25" s="129"/>
      <c r="C25" s="129"/>
      <c r="D25" s="131"/>
      <c r="E25" s="129"/>
      <c r="F25" s="129"/>
      <c r="G25" s="129"/>
      <c r="H25" s="129"/>
      <c r="I25" s="129"/>
      <c r="J25" s="129">
        <f>-623+1072</f>
        <v>449</v>
      </c>
      <c r="K25" s="129"/>
      <c r="L25" s="129"/>
      <c r="M25" s="129"/>
      <c r="N25" s="129"/>
      <c r="O25" s="129"/>
      <c r="P25" s="129"/>
    </row>
    <row r="26" spans="2:17" ht="12.75" thickBot="1">
      <c r="B26" s="129"/>
      <c r="C26" s="129" t="s">
        <v>91</v>
      </c>
      <c r="D26" s="130">
        <v>2977474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</row>
    <row r="27" spans="2:17" ht="12.75" thickBot="1">
      <c r="B27" s="129"/>
      <c r="C27" s="129"/>
      <c r="D27" s="131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1"/>
    </row>
    <row r="28" spans="2:17" ht="12.75" thickBot="1">
      <c r="B28" s="129"/>
      <c r="C28" s="129" t="s">
        <v>90</v>
      </c>
      <c r="D28" s="130">
        <f>(D20-D22)-(D24-D26)</f>
        <v>1164286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</row>
    <row r="29" spans="2:17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</row>
    <row r="30" spans="2:17">
      <c r="B30" s="129"/>
      <c r="C30" s="129" t="s">
        <v>89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>
        <f>4944*(1-D14)-623+1072+382</f>
        <v>5775</v>
      </c>
      <c r="N30" s="129"/>
      <c r="O30" s="129"/>
      <c r="P30" s="129"/>
    </row>
    <row r="31" spans="2:17"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</row>
    <row r="32" spans="2:17">
      <c r="K32" s="128">
        <f>5758*(1-21%)</f>
        <v>4548.8200000000006</v>
      </c>
    </row>
  </sheetData>
  <mergeCells count="3">
    <mergeCell ref="C3:P7"/>
    <mergeCell ref="F14:L16"/>
    <mergeCell ref="N14:O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216"/>
  <sheetViews>
    <sheetView showGridLines="0" tabSelected="1" topLeftCell="A29" zoomScale="85" zoomScaleNormal="85" workbookViewId="0">
      <selection activeCell="H40" sqref="H40"/>
    </sheetView>
  </sheetViews>
  <sheetFormatPr defaultRowHeight="14.25"/>
  <cols>
    <col min="4" max="4" width="13.25" customWidth="1"/>
    <col min="5" max="5" width="19.125" customWidth="1"/>
    <col min="6" max="17" width="18.125" customWidth="1"/>
    <col min="18" max="30" width="13.25" customWidth="1"/>
  </cols>
  <sheetData>
    <row r="3" spans="1:46" ht="15" thickBot="1"/>
    <row r="4" spans="1:46">
      <c r="D4" s="150" t="s">
        <v>0</v>
      </c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2"/>
    </row>
    <row r="5" spans="1:46"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5"/>
      <c r="U5" s="16">
        <f>G23</f>
        <v>9.8482E-2</v>
      </c>
      <c r="V5" s="16">
        <f t="shared" ref="V5:AL5" si="0">U5</f>
        <v>9.8482E-2</v>
      </c>
      <c r="W5" s="16">
        <f t="shared" si="0"/>
        <v>9.8482E-2</v>
      </c>
      <c r="X5" s="16">
        <f t="shared" si="0"/>
        <v>9.8482E-2</v>
      </c>
      <c r="Y5" s="16">
        <f t="shared" si="0"/>
        <v>9.8482E-2</v>
      </c>
      <c r="Z5" s="16">
        <f t="shared" si="0"/>
        <v>9.8482E-2</v>
      </c>
      <c r="AA5" s="57">
        <f t="shared" si="0"/>
        <v>9.8482E-2</v>
      </c>
      <c r="AB5" s="16">
        <f t="shared" si="0"/>
        <v>9.8482E-2</v>
      </c>
      <c r="AC5" s="16">
        <f t="shared" si="0"/>
        <v>9.8482E-2</v>
      </c>
      <c r="AD5" s="16">
        <f t="shared" si="0"/>
        <v>9.8482E-2</v>
      </c>
      <c r="AE5" s="16">
        <f t="shared" si="0"/>
        <v>9.8482E-2</v>
      </c>
      <c r="AF5" s="16">
        <f t="shared" si="0"/>
        <v>9.8482E-2</v>
      </c>
      <c r="AG5" s="16">
        <f t="shared" si="0"/>
        <v>9.8482E-2</v>
      </c>
      <c r="AH5" s="16">
        <f t="shared" si="0"/>
        <v>9.8482E-2</v>
      </c>
      <c r="AI5" s="16">
        <f t="shared" si="0"/>
        <v>9.8482E-2</v>
      </c>
      <c r="AJ5" s="16">
        <f t="shared" si="0"/>
        <v>9.8482E-2</v>
      </c>
      <c r="AK5" s="16">
        <f t="shared" si="0"/>
        <v>9.8482E-2</v>
      </c>
      <c r="AL5" s="16">
        <f t="shared" si="0"/>
        <v>9.8482E-2</v>
      </c>
      <c r="AM5" s="16">
        <f t="shared" ref="AM5:AT5" si="1">AL5</f>
        <v>9.8482E-2</v>
      </c>
      <c r="AN5" s="16">
        <f t="shared" si="1"/>
        <v>9.8482E-2</v>
      </c>
      <c r="AO5" s="16">
        <f t="shared" si="1"/>
        <v>9.8482E-2</v>
      </c>
      <c r="AP5" s="16">
        <f t="shared" si="1"/>
        <v>9.8482E-2</v>
      </c>
      <c r="AQ5" s="16">
        <f t="shared" si="1"/>
        <v>9.8482E-2</v>
      </c>
      <c r="AR5" s="16">
        <f t="shared" si="1"/>
        <v>9.8482E-2</v>
      </c>
      <c r="AS5" s="16">
        <f t="shared" si="1"/>
        <v>9.8482E-2</v>
      </c>
      <c r="AT5" s="16">
        <f t="shared" si="1"/>
        <v>9.8482E-2</v>
      </c>
    </row>
    <row r="6" spans="1:46"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  <c r="U6" s="17">
        <f>I9</f>
        <v>2024</v>
      </c>
      <c r="V6" s="17">
        <f>U6</f>
        <v>2024</v>
      </c>
      <c r="W6" s="17">
        <f t="shared" ref="W6:AT6" si="2">V6</f>
        <v>2024</v>
      </c>
      <c r="X6" s="17">
        <f t="shared" si="2"/>
        <v>2024</v>
      </c>
      <c r="Y6" s="17">
        <f t="shared" si="2"/>
        <v>2024</v>
      </c>
      <c r="Z6" s="17">
        <f t="shared" si="2"/>
        <v>2024</v>
      </c>
      <c r="AA6" s="17">
        <f t="shared" si="2"/>
        <v>2024</v>
      </c>
      <c r="AB6" s="17">
        <f t="shared" si="2"/>
        <v>2024</v>
      </c>
      <c r="AC6" s="17">
        <f t="shared" si="2"/>
        <v>2024</v>
      </c>
      <c r="AD6" s="17">
        <f t="shared" si="2"/>
        <v>2024</v>
      </c>
      <c r="AE6" s="17">
        <f t="shared" si="2"/>
        <v>2024</v>
      </c>
      <c r="AF6" s="17">
        <f t="shared" si="2"/>
        <v>2024</v>
      </c>
      <c r="AG6" s="17">
        <f t="shared" si="2"/>
        <v>2024</v>
      </c>
      <c r="AH6" s="17">
        <f t="shared" si="2"/>
        <v>2024</v>
      </c>
      <c r="AI6" s="17">
        <f t="shared" si="2"/>
        <v>2024</v>
      </c>
      <c r="AJ6" s="17">
        <f t="shared" si="2"/>
        <v>2024</v>
      </c>
      <c r="AK6" s="17">
        <f t="shared" si="2"/>
        <v>2024</v>
      </c>
      <c r="AL6" s="17">
        <f t="shared" si="2"/>
        <v>2024</v>
      </c>
      <c r="AM6" s="17">
        <f t="shared" si="2"/>
        <v>2024</v>
      </c>
      <c r="AN6" s="17">
        <f t="shared" si="2"/>
        <v>2024</v>
      </c>
      <c r="AO6" s="17">
        <f t="shared" si="2"/>
        <v>2024</v>
      </c>
      <c r="AP6" s="17">
        <f t="shared" si="2"/>
        <v>2024</v>
      </c>
      <c r="AQ6" s="17">
        <f t="shared" si="2"/>
        <v>2024</v>
      </c>
      <c r="AR6" s="17">
        <f t="shared" si="2"/>
        <v>2024</v>
      </c>
      <c r="AS6" s="17">
        <f t="shared" si="2"/>
        <v>2024</v>
      </c>
      <c r="AT6" s="17">
        <f t="shared" si="2"/>
        <v>2024</v>
      </c>
    </row>
    <row r="7" spans="1:46" ht="15" thickBot="1"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  <c r="U7" s="17">
        <v>0</v>
      </c>
      <c r="V7" s="17">
        <v>1</v>
      </c>
      <c r="W7" s="17">
        <v>2</v>
      </c>
      <c r="X7" s="17">
        <v>3</v>
      </c>
      <c r="Y7" s="17">
        <v>4</v>
      </c>
      <c r="Z7" s="17">
        <v>5</v>
      </c>
      <c r="AA7" s="17">
        <v>6</v>
      </c>
      <c r="AB7" s="17">
        <v>7</v>
      </c>
      <c r="AC7" s="17">
        <v>8</v>
      </c>
      <c r="AD7" s="17">
        <v>9</v>
      </c>
      <c r="AE7" s="17">
        <v>10</v>
      </c>
      <c r="AF7" s="17">
        <v>11</v>
      </c>
      <c r="AG7" s="17">
        <v>12</v>
      </c>
      <c r="AH7" s="17">
        <v>13</v>
      </c>
      <c r="AI7" s="17">
        <v>14</v>
      </c>
      <c r="AJ7" s="17">
        <v>15</v>
      </c>
      <c r="AK7" s="17">
        <v>16</v>
      </c>
      <c r="AL7" s="17">
        <v>17</v>
      </c>
      <c r="AM7" s="17">
        <v>18</v>
      </c>
      <c r="AN7" s="17">
        <v>19</v>
      </c>
      <c r="AO7" s="17">
        <v>20</v>
      </c>
      <c r="AP7" s="17">
        <v>21</v>
      </c>
      <c r="AQ7" s="17">
        <v>22</v>
      </c>
      <c r="AR7" s="17">
        <v>23</v>
      </c>
      <c r="AS7" s="17">
        <v>24</v>
      </c>
      <c r="AT7" s="17">
        <v>25</v>
      </c>
    </row>
    <row r="8" spans="1:46" ht="15" thickBot="1">
      <c r="U8" s="17">
        <f>I11</f>
        <v>10</v>
      </c>
      <c r="V8" s="17">
        <f>U8</f>
        <v>10</v>
      </c>
      <c r="W8" s="17">
        <f t="shared" ref="W8:AT8" si="3">V8</f>
        <v>10</v>
      </c>
      <c r="X8" s="17">
        <f t="shared" si="3"/>
        <v>10</v>
      </c>
      <c r="Y8" s="17">
        <f t="shared" si="3"/>
        <v>10</v>
      </c>
      <c r="Z8" s="17">
        <f t="shared" si="3"/>
        <v>10</v>
      </c>
      <c r="AA8" s="17">
        <f t="shared" si="3"/>
        <v>10</v>
      </c>
      <c r="AB8" s="17">
        <f t="shared" si="3"/>
        <v>10</v>
      </c>
      <c r="AC8" s="17">
        <f t="shared" si="3"/>
        <v>10</v>
      </c>
      <c r="AD8" s="17">
        <f t="shared" si="3"/>
        <v>10</v>
      </c>
      <c r="AE8" s="17">
        <f t="shared" si="3"/>
        <v>10</v>
      </c>
      <c r="AF8" s="17">
        <f t="shared" si="3"/>
        <v>10</v>
      </c>
      <c r="AG8" s="17">
        <f t="shared" si="3"/>
        <v>10</v>
      </c>
      <c r="AH8" s="17">
        <f t="shared" si="3"/>
        <v>10</v>
      </c>
      <c r="AI8" s="17">
        <f t="shared" si="3"/>
        <v>10</v>
      </c>
      <c r="AJ8" s="17">
        <f t="shared" si="3"/>
        <v>10</v>
      </c>
      <c r="AK8" s="17">
        <f t="shared" si="3"/>
        <v>10</v>
      </c>
      <c r="AL8" s="17">
        <f t="shared" si="3"/>
        <v>10</v>
      </c>
      <c r="AM8" s="17">
        <f t="shared" si="3"/>
        <v>10</v>
      </c>
      <c r="AN8" s="17">
        <f t="shared" si="3"/>
        <v>10</v>
      </c>
      <c r="AO8" s="17">
        <f t="shared" si="3"/>
        <v>10</v>
      </c>
      <c r="AP8" s="17">
        <f t="shared" si="3"/>
        <v>10</v>
      </c>
      <c r="AQ8" s="17">
        <f t="shared" si="3"/>
        <v>10</v>
      </c>
      <c r="AR8" s="17">
        <f t="shared" si="3"/>
        <v>10</v>
      </c>
      <c r="AS8" s="17">
        <f t="shared" si="3"/>
        <v>10</v>
      </c>
      <c r="AT8" s="17">
        <f t="shared" si="3"/>
        <v>10</v>
      </c>
    </row>
    <row r="9" spans="1:46" ht="15" thickBot="1">
      <c r="E9" t="s">
        <v>6</v>
      </c>
      <c r="I9" s="34">
        <v>2024</v>
      </c>
      <c r="U9" s="25">
        <f>G20</f>
        <v>-8.3266726846886737E-18</v>
      </c>
      <c r="V9" s="25">
        <f>U9</f>
        <v>-8.3266726846886737E-18</v>
      </c>
      <c r="W9" s="25">
        <f t="shared" ref="W9:AT9" si="4">V9</f>
        <v>-8.3266726846886737E-18</v>
      </c>
      <c r="X9" s="25">
        <f t="shared" si="4"/>
        <v>-8.3266726846886737E-18</v>
      </c>
      <c r="Y9" s="25">
        <f t="shared" si="4"/>
        <v>-8.3266726846886737E-18</v>
      </c>
      <c r="Z9" s="25">
        <f t="shared" si="4"/>
        <v>-8.3266726846886737E-18</v>
      </c>
      <c r="AA9" s="25">
        <f t="shared" si="4"/>
        <v>-8.3266726846886737E-18</v>
      </c>
      <c r="AB9" s="25">
        <f t="shared" si="4"/>
        <v>-8.3266726846886737E-18</v>
      </c>
      <c r="AC9" s="25">
        <f t="shared" si="4"/>
        <v>-8.3266726846886737E-18</v>
      </c>
      <c r="AD9" s="25">
        <f t="shared" si="4"/>
        <v>-8.3266726846886737E-18</v>
      </c>
      <c r="AE9" s="25">
        <f t="shared" si="4"/>
        <v>-8.3266726846886737E-18</v>
      </c>
      <c r="AF9" s="25">
        <f t="shared" si="4"/>
        <v>-8.3266726846886737E-18</v>
      </c>
      <c r="AG9" s="25">
        <f t="shared" si="4"/>
        <v>-8.3266726846886737E-18</v>
      </c>
      <c r="AH9" s="25">
        <f t="shared" si="4"/>
        <v>-8.3266726846886737E-18</v>
      </c>
      <c r="AI9" s="25">
        <f t="shared" si="4"/>
        <v>-8.3266726846886737E-18</v>
      </c>
      <c r="AJ9" s="25">
        <f t="shared" si="4"/>
        <v>-8.3266726846886737E-18</v>
      </c>
      <c r="AK9" s="25">
        <f t="shared" si="4"/>
        <v>-8.3266726846886737E-18</v>
      </c>
      <c r="AL9" s="25">
        <f t="shared" si="4"/>
        <v>-8.3266726846886737E-18</v>
      </c>
      <c r="AM9" s="25">
        <f t="shared" si="4"/>
        <v>-8.3266726846886737E-18</v>
      </c>
      <c r="AN9" s="25">
        <f t="shared" si="4"/>
        <v>-8.3266726846886737E-18</v>
      </c>
      <c r="AO9" s="25">
        <f t="shared" si="4"/>
        <v>-8.3266726846886737E-18</v>
      </c>
      <c r="AP9" s="25">
        <f t="shared" si="4"/>
        <v>-8.3266726846886737E-18</v>
      </c>
      <c r="AQ9" s="25">
        <f t="shared" si="4"/>
        <v>-8.3266726846886737E-18</v>
      </c>
      <c r="AR9" s="25">
        <f t="shared" si="4"/>
        <v>-8.3266726846886737E-18</v>
      </c>
      <c r="AS9" s="25">
        <f t="shared" si="4"/>
        <v>-8.3266726846886737E-18</v>
      </c>
      <c r="AT9" s="25">
        <f t="shared" si="4"/>
        <v>-8.3266726846886737E-18</v>
      </c>
    </row>
    <row r="10" spans="1:46" ht="15" thickBot="1">
      <c r="A10" s="159" t="s">
        <v>1</v>
      </c>
      <c r="B10" s="159"/>
      <c r="C10" s="159"/>
    </row>
    <row r="11" spans="1:46" ht="15" thickBot="1">
      <c r="A11" s="160" t="s">
        <v>100</v>
      </c>
      <c r="B11" s="161"/>
      <c r="C11" s="162"/>
      <c r="E11" t="s">
        <v>3</v>
      </c>
      <c r="I11" s="34">
        <v>10</v>
      </c>
    </row>
    <row r="12" spans="1:46">
      <c r="A12" s="163"/>
      <c r="B12" s="164"/>
      <c r="C12" s="165"/>
    </row>
    <row r="13" spans="1:46">
      <c r="A13" s="163"/>
      <c r="B13" s="164"/>
      <c r="C13" s="165"/>
    </row>
    <row r="14" spans="1:46" ht="15" thickBot="1">
      <c r="A14" s="166"/>
      <c r="B14" s="167"/>
      <c r="C14" s="168"/>
    </row>
    <row r="15" spans="1:46" s="1" customFormat="1" ht="15">
      <c r="E15" s="2" t="s">
        <v>4</v>
      </c>
      <c r="F15" s="7">
        <f>IF(U8&gt;U7,V7,0)</f>
        <v>1</v>
      </c>
      <c r="G15" s="7">
        <f t="shared" ref="G15:AD15" si="5">IF(V8&gt;V7,W7,0)</f>
        <v>2</v>
      </c>
      <c r="H15" s="7">
        <f t="shared" si="5"/>
        <v>3</v>
      </c>
      <c r="I15" s="7">
        <f t="shared" si="5"/>
        <v>4</v>
      </c>
      <c r="J15" s="7">
        <f t="shared" si="5"/>
        <v>5</v>
      </c>
      <c r="K15" s="7">
        <f t="shared" si="5"/>
        <v>6</v>
      </c>
      <c r="L15" s="7">
        <f t="shared" si="5"/>
        <v>7</v>
      </c>
      <c r="M15" s="7">
        <f t="shared" si="5"/>
        <v>8</v>
      </c>
      <c r="N15" s="7">
        <f t="shared" si="5"/>
        <v>9</v>
      </c>
      <c r="O15" s="7">
        <f t="shared" si="5"/>
        <v>10</v>
      </c>
      <c r="P15" s="7">
        <f t="shared" si="5"/>
        <v>0</v>
      </c>
      <c r="Q15" s="7">
        <f t="shared" si="5"/>
        <v>0</v>
      </c>
      <c r="R15" s="7">
        <f t="shared" si="5"/>
        <v>0</v>
      </c>
      <c r="S15" s="7">
        <f t="shared" si="5"/>
        <v>0</v>
      </c>
      <c r="T15" s="7">
        <f t="shared" si="5"/>
        <v>0</v>
      </c>
      <c r="U15" s="7">
        <f t="shared" si="5"/>
        <v>0</v>
      </c>
      <c r="V15" s="7">
        <f t="shared" si="5"/>
        <v>0</v>
      </c>
      <c r="W15" s="7">
        <f t="shared" si="5"/>
        <v>0</v>
      </c>
      <c r="X15" s="7">
        <f t="shared" si="5"/>
        <v>0</v>
      </c>
      <c r="Y15" s="7">
        <f t="shared" si="5"/>
        <v>0</v>
      </c>
      <c r="Z15" s="7">
        <f t="shared" si="5"/>
        <v>0</v>
      </c>
      <c r="AA15" s="7">
        <f t="shared" si="5"/>
        <v>0</v>
      </c>
      <c r="AB15" s="7">
        <f t="shared" si="5"/>
        <v>0</v>
      </c>
      <c r="AC15" s="7">
        <f t="shared" si="5"/>
        <v>0</v>
      </c>
      <c r="AD15" s="7">
        <f t="shared" si="5"/>
        <v>0</v>
      </c>
    </row>
    <row r="16" spans="1:46" s="1" customFormat="1" ht="15">
      <c r="E16" s="4"/>
      <c r="AD16" s="5"/>
    </row>
    <row r="17" spans="1:31" s="1" customFormat="1" ht="15.75" thickBot="1">
      <c r="E17" s="6" t="s">
        <v>5</v>
      </c>
      <c r="F17" s="11">
        <v>-0.1019</v>
      </c>
      <c r="G17" s="11">
        <v>-0.1019</v>
      </c>
      <c r="H17" s="11">
        <v>-0.1019</v>
      </c>
      <c r="I17" s="11">
        <v>-0.1019</v>
      </c>
      <c r="J17" s="11">
        <v>-0.1019</v>
      </c>
      <c r="K17" s="11">
        <v>0.1019</v>
      </c>
      <c r="L17" s="11">
        <v>0.1019</v>
      </c>
      <c r="M17" s="11">
        <v>0.1019</v>
      </c>
      <c r="N17" s="11">
        <v>0.1019</v>
      </c>
      <c r="O17" s="11">
        <v>0.1019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</row>
    <row r="19" spans="1:31" ht="15" thickBot="1"/>
    <row r="20" spans="1:31" ht="15.75" thickBot="1">
      <c r="E20" s="169" t="s">
        <v>7</v>
      </c>
      <c r="F20" s="170"/>
      <c r="G20" s="24">
        <f>AVERAGEIF(F17:AD17,"&lt;&gt;0")</f>
        <v>-8.3266726846886737E-18</v>
      </c>
      <c r="I20" s="23"/>
    </row>
    <row r="21" spans="1:31">
      <c r="N21" s="23"/>
    </row>
    <row r="22" spans="1:31" ht="15" thickBot="1"/>
    <row r="23" spans="1:31" ht="15.75" thickBot="1">
      <c r="E23" s="171" t="s">
        <v>11</v>
      </c>
      <c r="F23" s="173"/>
      <c r="G23" s="30">
        <v>9.8482E-2</v>
      </c>
    </row>
    <row r="24" spans="1:31" ht="15" thickBot="1"/>
    <row r="25" spans="1:31" ht="20.25" customHeight="1" thickBot="1">
      <c r="E25" s="51" t="s">
        <v>12</v>
      </c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16</v>
      </c>
      <c r="W25">
        <v>17</v>
      </c>
      <c r="X25">
        <v>18</v>
      </c>
      <c r="Y25">
        <v>19</v>
      </c>
      <c r="Z25">
        <v>20</v>
      </c>
      <c r="AA25">
        <v>21</v>
      </c>
      <c r="AB25">
        <v>22</v>
      </c>
      <c r="AC25">
        <v>23</v>
      </c>
      <c r="AD25">
        <v>24</v>
      </c>
      <c r="AE25">
        <v>25</v>
      </c>
    </row>
    <row r="26" spans="1:31" s="1" customFormat="1" ht="17.25" customHeight="1">
      <c r="E26" s="8" t="s">
        <v>4</v>
      </c>
      <c r="F26" s="3" t="s">
        <v>47</v>
      </c>
      <c r="G26" s="3">
        <f t="shared" ref="G26:AE26" si="6">F15</f>
        <v>1</v>
      </c>
      <c r="H26" s="3">
        <f t="shared" si="6"/>
        <v>2</v>
      </c>
      <c r="I26" s="3">
        <f t="shared" si="6"/>
        <v>3</v>
      </c>
      <c r="J26" s="3">
        <f t="shared" si="6"/>
        <v>4</v>
      </c>
      <c r="K26" s="3">
        <f t="shared" si="6"/>
        <v>5</v>
      </c>
      <c r="L26" s="3">
        <f t="shared" si="6"/>
        <v>6</v>
      </c>
      <c r="M26" s="3">
        <f t="shared" si="6"/>
        <v>7</v>
      </c>
      <c r="N26" s="3">
        <f t="shared" si="6"/>
        <v>8</v>
      </c>
      <c r="O26" s="3">
        <f t="shared" si="6"/>
        <v>9</v>
      </c>
      <c r="P26" s="3">
        <f t="shared" si="6"/>
        <v>10</v>
      </c>
      <c r="Q26" s="3">
        <f t="shared" si="6"/>
        <v>0</v>
      </c>
      <c r="R26" s="3">
        <f t="shared" si="6"/>
        <v>0</v>
      </c>
      <c r="S26" s="3">
        <f t="shared" si="6"/>
        <v>0</v>
      </c>
      <c r="T26" s="3">
        <f t="shared" si="6"/>
        <v>0</v>
      </c>
      <c r="U26" s="3">
        <f t="shared" si="6"/>
        <v>0</v>
      </c>
      <c r="V26" s="3">
        <f t="shared" si="6"/>
        <v>0</v>
      </c>
      <c r="W26" s="3">
        <f t="shared" si="6"/>
        <v>0</v>
      </c>
      <c r="X26" s="3">
        <f t="shared" si="6"/>
        <v>0</v>
      </c>
      <c r="Y26" s="3">
        <f t="shared" si="6"/>
        <v>0</v>
      </c>
      <c r="Z26" s="3">
        <f t="shared" si="6"/>
        <v>0</v>
      </c>
      <c r="AA26" s="3">
        <f t="shared" si="6"/>
        <v>0</v>
      </c>
      <c r="AB26" s="3">
        <f t="shared" si="6"/>
        <v>0</v>
      </c>
      <c r="AC26" s="3">
        <f t="shared" si="6"/>
        <v>0</v>
      </c>
      <c r="AD26" s="3">
        <f t="shared" si="6"/>
        <v>0</v>
      </c>
      <c r="AE26" s="10">
        <f t="shared" si="6"/>
        <v>0</v>
      </c>
    </row>
    <row r="27" spans="1:31" s="37" customFormat="1" ht="24.75" customHeight="1">
      <c r="D27" s="37" t="s">
        <v>30</v>
      </c>
      <c r="E27" s="13" t="s">
        <v>8</v>
      </c>
      <c r="F27" s="52">
        <f>FCFF!P15/1000</f>
        <v>-2409.4029999999998</v>
      </c>
      <c r="G27" s="53">
        <f>IF(F15&gt;0,F27+(F27*F17),0)</f>
        <v>-2163.8848343</v>
      </c>
      <c r="H27" s="53">
        <f>IF(G15&gt;0,G27+(G27*G17),0)</f>
        <v>-1943.3849696848299</v>
      </c>
      <c r="I27" s="53">
        <f>IF(H15&gt;0,H27+(H27*H17),0)</f>
        <v>-1745.3540412739458</v>
      </c>
      <c r="J27" s="53">
        <f>IF(I15&gt;0,I27+(I27*I17),0)</f>
        <v>-1567.5024644681307</v>
      </c>
      <c r="K27" s="53">
        <f>1500</f>
        <v>1500</v>
      </c>
      <c r="L27" s="53">
        <f>IF(K15&gt;0,K27+(K27*K17),0)</f>
        <v>1652.85</v>
      </c>
      <c r="M27" s="53">
        <f t="shared" ref="M27:AE27" si="7">IF(L15&gt;0,L27+(L27*L17),0)</f>
        <v>1821.2754149999998</v>
      </c>
      <c r="N27" s="53">
        <f t="shared" si="7"/>
        <v>2006.8633797884997</v>
      </c>
      <c r="O27" s="53">
        <f t="shared" si="7"/>
        <v>2211.3627581889477</v>
      </c>
      <c r="P27" s="53">
        <f t="shared" si="7"/>
        <v>2436.7006232484014</v>
      </c>
      <c r="Q27" s="53">
        <f>IF(P15&gt;0,P27+(P27*P17),0)</f>
        <v>0</v>
      </c>
      <c r="R27" s="53">
        <f t="shared" si="7"/>
        <v>0</v>
      </c>
      <c r="S27" s="53">
        <f t="shared" si="7"/>
        <v>0</v>
      </c>
      <c r="T27" s="53">
        <f t="shared" si="7"/>
        <v>0</v>
      </c>
      <c r="U27" s="53">
        <f t="shared" si="7"/>
        <v>0</v>
      </c>
      <c r="V27" s="53">
        <f t="shared" si="7"/>
        <v>0</v>
      </c>
      <c r="W27" s="53">
        <f t="shared" si="7"/>
        <v>0</v>
      </c>
      <c r="X27" s="53">
        <f t="shared" si="7"/>
        <v>0</v>
      </c>
      <c r="Y27" s="53">
        <f t="shared" si="7"/>
        <v>0</v>
      </c>
      <c r="Z27" s="53">
        <f t="shared" si="7"/>
        <v>0</v>
      </c>
      <c r="AA27" s="53">
        <f t="shared" si="7"/>
        <v>0</v>
      </c>
      <c r="AB27" s="53">
        <f t="shared" si="7"/>
        <v>0</v>
      </c>
      <c r="AC27" s="53">
        <f t="shared" si="7"/>
        <v>0</v>
      </c>
      <c r="AD27" s="53">
        <f t="shared" si="7"/>
        <v>0</v>
      </c>
      <c r="AE27" s="53">
        <f t="shared" si="7"/>
        <v>0</v>
      </c>
    </row>
    <row r="28" spans="1:31" s="37" customFormat="1" ht="24.75" customHeight="1" thickBot="1">
      <c r="D28" s="37" t="s">
        <v>30</v>
      </c>
      <c r="E28" s="15" t="s">
        <v>9</v>
      </c>
      <c r="F28" s="56"/>
      <c r="G28" s="54">
        <f>IF(G26&gt;0,G27/((1+U5)^G25),0)</f>
        <v>-1969.8864745166511</v>
      </c>
      <c r="H28" s="54">
        <f t="shared" ref="H28:AE28" si="8">IF(H26&gt;0,H27/((1+V5)^H25),0)</f>
        <v>-1610.5453186883394</v>
      </c>
      <c r="I28" s="54">
        <f t="shared" si="8"/>
        <v>-1316.7541668538927</v>
      </c>
      <c r="J28" s="54">
        <f t="shared" si="8"/>
        <v>-1076.5555714626923</v>
      </c>
      <c r="K28" s="54">
        <f>IF(K26&gt;0,K27/((1+Y5)^K25),0)</f>
        <v>937.83521204806937</v>
      </c>
      <c r="L28" s="54">
        <f t="shared" si="8"/>
        <v>940.75334885393443</v>
      </c>
      <c r="M28" s="54">
        <f t="shared" si="8"/>
        <v>943.68056563707944</v>
      </c>
      <c r="N28" s="54">
        <f t="shared" si="8"/>
        <v>946.61689065045925</v>
      </c>
      <c r="O28" s="54">
        <f t="shared" si="8"/>
        <v>949.56235223493979</v>
      </c>
      <c r="P28" s="54">
        <f>IF(P26&gt;0,P27/((1+AD5)^P25),0)</f>
        <v>952.51697881957102</v>
      </c>
      <c r="Q28" s="54">
        <f t="shared" si="8"/>
        <v>0</v>
      </c>
      <c r="R28" s="54">
        <f t="shared" si="8"/>
        <v>0</v>
      </c>
      <c r="S28" s="54">
        <f t="shared" si="8"/>
        <v>0</v>
      </c>
      <c r="T28" s="54">
        <f t="shared" si="8"/>
        <v>0</v>
      </c>
      <c r="U28" s="54">
        <f t="shared" si="8"/>
        <v>0</v>
      </c>
      <c r="V28" s="54">
        <f t="shared" si="8"/>
        <v>0</v>
      </c>
      <c r="W28" s="54">
        <f t="shared" si="8"/>
        <v>0</v>
      </c>
      <c r="X28" s="54">
        <f t="shared" si="8"/>
        <v>0</v>
      </c>
      <c r="Y28" s="54">
        <f t="shared" si="8"/>
        <v>0</v>
      </c>
      <c r="Z28" s="54">
        <f t="shared" si="8"/>
        <v>0</v>
      </c>
      <c r="AA28" s="54">
        <f t="shared" si="8"/>
        <v>0</v>
      </c>
      <c r="AB28" s="54">
        <f t="shared" si="8"/>
        <v>0</v>
      </c>
      <c r="AC28" s="54">
        <f t="shared" si="8"/>
        <v>0</v>
      </c>
      <c r="AD28" s="54">
        <f t="shared" si="8"/>
        <v>0</v>
      </c>
      <c r="AE28" s="55">
        <f t="shared" si="8"/>
        <v>0</v>
      </c>
    </row>
    <row r="29" spans="1:31" ht="15" thickBot="1"/>
    <row r="30" spans="1:31" ht="15.75" thickBot="1">
      <c r="A30" s="17" t="s">
        <v>14</v>
      </c>
      <c r="B30" s="17"/>
      <c r="C30" s="17"/>
      <c r="D30" s="17"/>
      <c r="E30" s="171" t="s">
        <v>10</v>
      </c>
      <c r="F30" s="172"/>
      <c r="G30" s="24">
        <v>3.4000000000000002E-2</v>
      </c>
    </row>
    <row r="32" spans="1:31" ht="15" thickBot="1"/>
    <row r="33" spans="2:15" ht="26.25" customHeight="1">
      <c r="E33" s="8" t="s">
        <v>15</v>
      </c>
      <c r="F33" s="18">
        <f>P27</f>
        <v>2436.7006232484014</v>
      </c>
      <c r="J33" s="26">
        <f>SUM(G28:Q28)</f>
        <v>-302.77618327752293</v>
      </c>
      <c r="K33" s="14">
        <f>F34</f>
        <v>39073.670860687438</v>
      </c>
      <c r="L33" s="26">
        <f>SUM(J33:K33)</f>
        <v>38770.894677409917</v>
      </c>
    </row>
    <row r="34" spans="2:15" ht="26.25" customHeight="1" thickBot="1">
      <c r="E34" s="9" t="s">
        <v>13</v>
      </c>
      <c r="F34" s="19">
        <f>(F33*(1+G30))/(G23-G30)</f>
        <v>39073.670860687438</v>
      </c>
      <c r="J34" s="26" t="e">
        <f>SUM(#REF!)</f>
        <v>#REF!</v>
      </c>
      <c r="K34" s="14" t="e">
        <f>#REF!</f>
        <v>#REF!</v>
      </c>
      <c r="L34" s="26" t="e">
        <f>SUM(J34:K34)</f>
        <v>#REF!</v>
      </c>
    </row>
    <row r="35" spans="2:15" ht="26.25" customHeight="1" thickBot="1">
      <c r="E35" s="9" t="s">
        <v>49</v>
      </c>
      <c r="F35" s="19">
        <f>F34/((1+G23)^P26)</f>
        <v>15274.069602360916</v>
      </c>
      <c r="J35" s="26"/>
      <c r="K35" s="14"/>
      <c r="L35" s="26"/>
    </row>
    <row r="36" spans="2:15" ht="26.25" customHeight="1" thickBot="1">
      <c r="E36" s="9" t="s">
        <v>16</v>
      </c>
      <c r="F36" s="19">
        <f>SUM(G28:AE28)</f>
        <v>-302.77618327752293</v>
      </c>
      <c r="H36" s="215">
        <f>FCFF!P15/1000</f>
        <v>-2409.4029999999998</v>
      </c>
      <c r="J36" s="26"/>
    </row>
    <row r="37" spans="2:15" ht="30" customHeight="1">
      <c r="E37" s="27"/>
      <c r="F37" s="28"/>
    </row>
    <row r="38" spans="2:15">
      <c r="D38" s="29"/>
      <c r="E38" s="29"/>
      <c r="F38" s="29"/>
      <c r="J38">
        <f>591.05*1</f>
        <v>591.04999999999995</v>
      </c>
    </row>
    <row r="39" spans="2:15" ht="15" thickBot="1"/>
    <row r="40" spans="2:15" s="14" customFormat="1" ht="30" customHeight="1" thickBot="1">
      <c r="B40" s="14" t="s">
        <v>51</v>
      </c>
      <c r="E40" s="174" t="s">
        <v>50</v>
      </c>
      <c r="F40" s="175"/>
      <c r="G40" s="20">
        <f>F35+F36</f>
        <v>14971.293419083393</v>
      </c>
      <c r="K40" s="14">
        <f>G44*80</f>
        <v>47284</v>
      </c>
    </row>
    <row r="41" spans="2:15" s="14" customFormat="1" ht="30" customHeight="1">
      <c r="E41" s="176" t="s">
        <v>18</v>
      </c>
      <c r="F41" s="177"/>
      <c r="G41" s="31">
        <f>2193274/1000</f>
        <v>2193.2739999999999</v>
      </c>
    </row>
    <row r="42" spans="2:15" s="14" customFormat="1" ht="30" customHeight="1" thickBot="1">
      <c r="E42" s="178" t="s">
        <v>19</v>
      </c>
      <c r="F42" s="179"/>
      <c r="G42" s="32">
        <f>1005000/1000</f>
        <v>1005</v>
      </c>
    </row>
    <row r="43" spans="2:15" s="14" customFormat="1" ht="30" customHeight="1" thickBot="1">
      <c r="E43" s="178" t="s">
        <v>20</v>
      </c>
      <c r="F43" s="179"/>
      <c r="G43" s="32">
        <f>G40+G41-G42</f>
        <v>16159.567419083392</v>
      </c>
      <c r="N43" s="14">
        <f>69824/1072</f>
        <v>65.134328358208961</v>
      </c>
    </row>
    <row r="44" spans="2:15" ht="30" customHeight="1" thickBot="1">
      <c r="E44" s="180" t="s">
        <v>21</v>
      </c>
      <c r="F44" s="181"/>
      <c r="G44" s="33">
        <f>J38</f>
        <v>591.04999999999995</v>
      </c>
    </row>
    <row r="46" spans="2:15" s="14" customFormat="1" ht="61.5" customHeight="1" thickBot="1">
      <c r="E46" s="148" t="s">
        <v>22</v>
      </c>
      <c r="F46" s="149"/>
      <c r="G46" s="21">
        <f>G43/G44</f>
        <v>27.340440604150906</v>
      </c>
      <c r="I46" s="148" t="s">
        <v>23</v>
      </c>
      <c r="J46" s="149"/>
      <c r="K46" s="21">
        <v>36.01</v>
      </c>
      <c r="M46" s="148" t="s">
        <v>24</v>
      </c>
      <c r="N46" s="149"/>
      <c r="O46" s="127">
        <f>(G46-K46)/K46</f>
        <v>-0.24075421815743106</v>
      </c>
    </row>
    <row r="51" spans="9:12" ht="15" thickBot="1"/>
    <row r="52" spans="9:12" ht="14.25" customHeight="1">
      <c r="I52" s="186" t="s">
        <v>25</v>
      </c>
      <c r="J52" s="187"/>
      <c r="K52" s="187"/>
      <c r="L52" s="188"/>
    </row>
    <row r="53" spans="9:12" ht="14.25" customHeight="1">
      <c r="I53" s="189"/>
      <c r="J53" s="190"/>
      <c r="K53" s="190"/>
      <c r="L53" s="191"/>
    </row>
    <row r="54" spans="9:12" ht="15" customHeight="1" thickBot="1">
      <c r="I54" s="192"/>
      <c r="J54" s="193"/>
      <c r="K54" s="193"/>
      <c r="L54" s="194"/>
    </row>
    <row r="55" spans="9:12">
      <c r="I55" s="182" t="s">
        <v>26</v>
      </c>
      <c r="J55" s="184" t="s">
        <v>27</v>
      </c>
      <c r="K55" s="184" t="s">
        <v>28</v>
      </c>
      <c r="L55" s="184" t="s">
        <v>29</v>
      </c>
    </row>
    <row r="56" spans="9:12">
      <c r="I56" s="183"/>
      <c r="J56" s="185"/>
      <c r="K56" s="185"/>
      <c r="L56" s="185"/>
    </row>
    <row r="57" spans="9:12" s="22" customFormat="1" ht="39" customHeight="1">
      <c r="I57" s="216" t="s">
        <v>2</v>
      </c>
      <c r="J57" s="22">
        <v>85</v>
      </c>
      <c r="K57" s="22">
        <v>62</v>
      </c>
      <c r="L57" s="22" t="s">
        <v>31</v>
      </c>
    </row>
    <row r="58" spans="9:12" s="22" customFormat="1" ht="39" customHeight="1">
      <c r="I58" s="217" t="s">
        <v>101</v>
      </c>
      <c r="J58" s="22">
        <v>27</v>
      </c>
      <c r="K58" s="22">
        <v>36.01</v>
      </c>
      <c r="L58" s="22" t="s">
        <v>102</v>
      </c>
    </row>
    <row r="59" spans="9:12" s="22" customFormat="1" ht="39" customHeight="1"/>
    <row r="60" spans="9:12" s="22" customFormat="1" ht="39" customHeight="1"/>
    <row r="61" spans="9:12" s="22" customFormat="1" ht="39" customHeight="1"/>
    <row r="62" spans="9:12" s="22" customFormat="1" ht="39" customHeight="1"/>
    <row r="63" spans="9:12" s="22" customFormat="1" ht="39" customHeight="1"/>
    <row r="64" spans="9:12" s="22" customFormat="1" ht="39" customHeight="1"/>
    <row r="65" s="22" customFormat="1" ht="39" customHeight="1"/>
    <row r="66" s="22" customFormat="1" ht="39" customHeight="1"/>
    <row r="67" s="22" customFormat="1" ht="39" customHeight="1"/>
    <row r="68" s="22" customFormat="1" ht="39" customHeight="1"/>
    <row r="69" s="22" customFormat="1" ht="39" customHeight="1"/>
    <row r="70" s="22" customFormat="1" ht="39" customHeight="1"/>
    <row r="71" s="22" customFormat="1" ht="39" customHeight="1"/>
    <row r="72" s="22" customFormat="1" ht="39" customHeight="1"/>
    <row r="73" s="22" customFormat="1" ht="39" customHeight="1"/>
    <row r="74" s="22" customFormat="1" ht="39" customHeight="1"/>
    <row r="75" s="22" customFormat="1" ht="39" customHeight="1"/>
    <row r="76" s="22" customFormat="1" ht="39" customHeight="1"/>
    <row r="77" s="22" customFormat="1" ht="39" customHeight="1"/>
    <row r="78" s="22" customFormat="1" ht="39" customHeight="1"/>
    <row r="79" s="22" customFormat="1" ht="39" customHeight="1"/>
    <row r="80" s="22" customFormat="1" ht="39" customHeight="1"/>
    <row r="81" s="22" customFormat="1" ht="39" customHeight="1"/>
    <row r="82" s="22" customFormat="1" ht="39" customHeight="1"/>
    <row r="83" s="22" customFormat="1" ht="39" customHeight="1"/>
    <row r="84" s="22" customFormat="1" ht="39" customHeight="1"/>
    <row r="85" s="22" customFormat="1" ht="39" customHeight="1"/>
    <row r="86" s="22" customFormat="1" ht="39" customHeight="1"/>
    <row r="87" s="22" customFormat="1" ht="39" customHeight="1"/>
    <row r="88" s="22" customFormat="1" ht="39" customHeight="1"/>
    <row r="89" s="22" customFormat="1" ht="39" customHeight="1"/>
    <row r="90" s="22" customFormat="1" ht="39" customHeight="1"/>
    <row r="91" s="22" customFormat="1" ht="39" customHeight="1"/>
    <row r="92" s="22" customFormat="1" ht="39" customHeight="1"/>
    <row r="93" s="22" customFormat="1" ht="39" customHeight="1"/>
    <row r="94" s="22" customFormat="1" ht="39" customHeight="1"/>
    <row r="95" s="22" customFormat="1" ht="39" customHeight="1"/>
    <row r="96" s="22" customFormat="1" ht="39" customHeight="1"/>
    <row r="97" s="22" customFormat="1" ht="39" customHeight="1"/>
    <row r="98" s="22" customFormat="1" ht="39" customHeight="1"/>
    <row r="99" s="22" customFormat="1" ht="39" customHeight="1"/>
    <row r="100" s="22" customFormat="1" ht="39" customHeight="1"/>
    <row r="101" s="22" customFormat="1" ht="39" customHeight="1"/>
    <row r="102" s="22" customFormat="1" ht="39" customHeight="1"/>
    <row r="103" s="22" customFormat="1" ht="39" customHeight="1"/>
    <row r="104" s="22" customFormat="1" ht="39" customHeight="1"/>
    <row r="105" s="22" customFormat="1" ht="39" customHeight="1"/>
    <row r="106" s="22" customFormat="1" ht="39" customHeight="1"/>
    <row r="107" s="22" customFormat="1" ht="39" customHeight="1"/>
    <row r="108" s="22" customFormat="1" ht="39" customHeight="1"/>
    <row r="109" s="22" customFormat="1" ht="39" customHeight="1"/>
    <row r="110" s="22" customFormat="1" ht="39" customHeight="1"/>
    <row r="111" s="22" customFormat="1" ht="39" customHeight="1"/>
    <row r="112" s="22" customFormat="1" ht="39" customHeight="1"/>
    <row r="113" s="22" customFormat="1" ht="39" customHeight="1"/>
    <row r="114" s="22" customFormat="1" ht="39" customHeight="1"/>
    <row r="115" s="22" customFormat="1" ht="39" customHeight="1"/>
    <row r="116" s="22" customFormat="1" ht="39" customHeight="1"/>
    <row r="117" s="22" customFormat="1" ht="39" customHeight="1"/>
    <row r="118" s="22" customFormat="1" ht="39" customHeight="1"/>
    <row r="119" s="22" customFormat="1" ht="39" customHeight="1"/>
    <row r="120" s="22" customFormat="1" ht="39" customHeight="1"/>
    <row r="121" s="22" customFormat="1" ht="39" customHeight="1"/>
    <row r="122" s="22" customFormat="1" ht="39" customHeight="1"/>
    <row r="123" s="22" customFormat="1" ht="39" customHeight="1"/>
    <row r="124" s="22" customFormat="1" ht="39" customHeight="1"/>
    <row r="125" s="22" customFormat="1" ht="39" customHeight="1"/>
    <row r="126" s="22" customFormat="1" ht="39" customHeight="1"/>
    <row r="127" s="22" customFormat="1" ht="39" customHeight="1"/>
    <row r="128" s="22" customFormat="1" ht="39" customHeight="1"/>
    <row r="129" s="22" customFormat="1" ht="39" customHeight="1"/>
    <row r="130" s="22" customFormat="1" ht="39" customHeight="1"/>
    <row r="131" s="22" customFormat="1" ht="39" customHeight="1"/>
    <row r="132" s="22" customFormat="1" ht="39" customHeight="1"/>
    <row r="133" s="22" customFormat="1" ht="39" customHeight="1"/>
    <row r="134" s="22" customFormat="1" ht="39" customHeight="1"/>
    <row r="135" s="22" customFormat="1" ht="39" customHeight="1"/>
    <row r="136" s="22" customFormat="1" ht="39" customHeight="1"/>
    <row r="137" s="22" customFormat="1" ht="39" customHeight="1"/>
    <row r="138" s="22" customFormat="1" ht="39" customHeight="1"/>
    <row r="139" s="22" customFormat="1" ht="39" customHeight="1"/>
    <row r="140" s="22" customFormat="1" ht="39" customHeight="1"/>
    <row r="141" s="22" customFormat="1" ht="39" customHeight="1"/>
    <row r="142" s="22" customFormat="1" ht="39" customHeight="1"/>
    <row r="143" s="22" customFormat="1" ht="39" customHeight="1"/>
    <row r="144" s="22" customFormat="1" ht="39" customHeight="1"/>
    <row r="145" s="22" customFormat="1" ht="39" customHeight="1"/>
    <row r="146" s="22" customFormat="1" ht="39" customHeight="1"/>
    <row r="147" s="22" customFormat="1" ht="39" customHeight="1"/>
    <row r="148" s="22" customFormat="1" ht="39" customHeight="1"/>
    <row r="149" s="22" customFormat="1" ht="39" customHeight="1"/>
    <row r="150" s="22" customFormat="1" ht="39" customHeight="1"/>
    <row r="151" s="22" customFormat="1" ht="39" customHeight="1"/>
    <row r="152" s="22" customFormat="1" ht="39" customHeight="1"/>
    <row r="153" s="22" customFormat="1" ht="39" customHeight="1"/>
    <row r="154" s="22" customFormat="1" ht="39" customHeight="1"/>
    <row r="155" s="22" customFormat="1" ht="39" customHeight="1"/>
    <row r="156" s="22" customFormat="1" ht="39" customHeight="1"/>
    <row r="157" s="22" customFormat="1" ht="39" customHeight="1"/>
    <row r="158" s="22" customFormat="1" ht="39" customHeight="1"/>
    <row r="159" s="22" customFormat="1" ht="39" customHeight="1"/>
    <row r="160" s="22" customFormat="1" ht="39" customHeight="1"/>
    <row r="161" s="22" customFormat="1" ht="39" customHeight="1"/>
    <row r="162" s="22" customFormat="1" ht="39" customHeight="1"/>
    <row r="163" s="22" customFormat="1" ht="39" customHeight="1"/>
    <row r="164" s="22" customFormat="1" ht="39" customHeight="1"/>
    <row r="165" s="22" customFormat="1" ht="39" customHeight="1"/>
    <row r="166" s="22" customFormat="1" ht="39" customHeight="1"/>
    <row r="167" s="22" customFormat="1" ht="39" customHeight="1"/>
    <row r="168" s="22" customFormat="1" ht="39" customHeight="1"/>
    <row r="169" s="22" customFormat="1" ht="39" customHeight="1"/>
    <row r="170" s="22" customFormat="1" ht="39" customHeight="1"/>
    <row r="171" s="22" customFormat="1" ht="39" customHeight="1"/>
    <row r="172" s="22" customFormat="1" ht="39" customHeight="1"/>
    <row r="173" s="22" customFormat="1" ht="39" customHeight="1"/>
    <row r="174" s="22" customFormat="1" ht="39" customHeight="1"/>
    <row r="175" s="22" customFormat="1" ht="39" customHeight="1"/>
    <row r="176" s="22" customFormat="1" ht="39" customHeight="1"/>
    <row r="177" s="22" customFormat="1" ht="39" customHeight="1"/>
    <row r="178" s="22" customFormat="1" ht="39" customHeight="1"/>
    <row r="179" s="22" customFormat="1" ht="39" customHeight="1"/>
    <row r="180" s="22" customFormat="1" ht="39" customHeight="1"/>
    <row r="181" s="22" customFormat="1" ht="39" customHeight="1"/>
    <row r="182" s="22" customFormat="1" ht="39" customHeight="1"/>
    <row r="183" s="22" customFormat="1" ht="39" customHeight="1"/>
    <row r="184" s="22" customFormat="1" ht="39" customHeight="1"/>
    <row r="185" s="22" customFormat="1" ht="39" customHeight="1"/>
    <row r="186" s="22" customFormat="1" ht="39" customHeight="1"/>
    <row r="187" s="22" customFormat="1" ht="39" customHeight="1"/>
    <row r="188" s="22" customFormat="1" ht="39" customHeight="1"/>
    <row r="189" s="22" customFormat="1" ht="39" customHeight="1"/>
    <row r="190" s="22" customFormat="1" ht="39" customHeight="1"/>
    <row r="191" s="22" customFormat="1" ht="39" customHeight="1"/>
    <row r="192" s="22" customFormat="1" ht="39" customHeight="1"/>
    <row r="193" s="22" customFormat="1" ht="39" customHeight="1"/>
    <row r="194" s="22" customFormat="1" ht="39" customHeight="1"/>
    <row r="195" s="22" customFormat="1" ht="39" customHeight="1"/>
    <row r="196" s="22" customFormat="1" ht="39" customHeight="1"/>
    <row r="197" s="22" customFormat="1" ht="39" customHeight="1"/>
    <row r="198" s="22" customFormat="1" ht="39" customHeight="1"/>
    <row r="199" s="22" customFormat="1" ht="39" customHeight="1"/>
    <row r="200" s="22" customFormat="1" ht="39" customHeight="1"/>
    <row r="201" s="22" customFormat="1" ht="39" customHeight="1"/>
    <row r="202" s="22" customFormat="1" ht="39" customHeight="1"/>
    <row r="203" s="22" customFormat="1" ht="39" customHeight="1"/>
    <row r="204" s="22" customFormat="1" ht="39" customHeight="1"/>
    <row r="205" s="22" customFormat="1" ht="39" customHeight="1"/>
    <row r="206" s="22" customFormat="1" ht="39" customHeight="1"/>
    <row r="207" s="22" customFormat="1" ht="39" customHeight="1"/>
    <row r="208" s="22" customFormat="1" ht="39" customHeight="1"/>
    <row r="209" s="22" customFormat="1" ht="39" customHeight="1"/>
    <row r="210" s="22" customFormat="1" ht="39" customHeight="1"/>
    <row r="211" s="22" customFormat="1" ht="39" customHeight="1"/>
    <row r="212" s="22" customFormat="1" ht="39" customHeight="1"/>
    <row r="213" s="22" customFormat="1" ht="39" customHeight="1"/>
    <row r="214" s="22" customFormat="1" ht="39" customHeight="1"/>
    <row r="215" s="22" customFormat="1" ht="39" customHeight="1"/>
    <row r="216" ht="39" customHeight="1"/>
  </sheetData>
  <mergeCells count="19">
    <mergeCell ref="I55:I56"/>
    <mergeCell ref="J55:J56"/>
    <mergeCell ref="K55:K56"/>
    <mergeCell ref="I52:L54"/>
    <mergeCell ref="L55:L56"/>
    <mergeCell ref="E46:F46"/>
    <mergeCell ref="D4:S7"/>
    <mergeCell ref="A10:C10"/>
    <mergeCell ref="A11:C14"/>
    <mergeCell ref="E20:F20"/>
    <mergeCell ref="E30:F30"/>
    <mergeCell ref="E23:F23"/>
    <mergeCell ref="E40:F40"/>
    <mergeCell ref="E41:F41"/>
    <mergeCell ref="E42:F42"/>
    <mergeCell ref="E43:F43"/>
    <mergeCell ref="E44:F44"/>
    <mergeCell ref="I46:J46"/>
    <mergeCell ref="M46:N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78F4-B170-49CD-B7D1-9BF02D6AA961}">
  <dimension ref="A2:BF47"/>
  <sheetViews>
    <sheetView showGridLines="0" topLeftCell="A3" zoomScale="85" zoomScaleNormal="85" workbookViewId="0">
      <selection activeCell="I19" sqref="I19"/>
    </sheetView>
  </sheetViews>
  <sheetFormatPr defaultRowHeight="14.25"/>
  <cols>
    <col min="7" max="7" width="22.375" customWidth="1"/>
    <col min="8" max="8" width="10.5" customWidth="1"/>
    <col min="9" max="9" width="12.375" customWidth="1"/>
    <col min="17" max="17" width="9.375" bestFit="1" customWidth="1"/>
  </cols>
  <sheetData>
    <row r="2" spans="1:34" ht="15" thickBot="1"/>
    <row r="3" spans="1:34" ht="15">
      <c r="A3" s="206" t="s">
        <v>1</v>
      </c>
      <c r="B3" s="207"/>
      <c r="C3" s="208"/>
      <c r="G3" s="196" t="s">
        <v>32</v>
      </c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8"/>
    </row>
    <row r="4" spans="1:34">
      <c r="A4" s="209"/>
      <c r="B4" s="210"/>
      <c r="C4" s="211"/>
      <c r="G4" s="199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1"/>
    </row>
    <row r="5" spans="1:34">
      <c r="A5" s="209"/>
      <c r="B5" s="210"/>
      <c r="C5" s="211"/>
      <c r="G5" s="199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1"/>
    </row>
    <row r="6" spans="1:34" ht="15" thickBot="1">
      <c r="A6" s="212"/>
      <c r="B6" s="213"/>
      <c r="C6" s="214"/>
      <c r="G6" s="202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4"/>
    </row>
    <row r="8" spans="1:34" ht="15" thickBot="1"/>
    <row r="9" spans="1:34" ht="15.75" thickBot="1">
      <c r="G9" s="171" t="s">
        <v>33</v>
      </c>
      <c r="H9" s="173"/>
      <c r="I9" s="173"/>
      <c r="J9" s="173"/>
      <c r="K9" s="173"/>
      <c r="L9" s="172"/>
      <c r="M9" s="35">
        <v>7</v>
      </c>
    </row>
    <row r="10" spans="1:34" ht="15.75" thickBot="1">
      <c r="G10" s="1"/>
      <c r="H10" s="1"/>
      <c r="I10" s="1"/>
      <c r="J10" s="27"/>
      <c r="K10" s="1"/>
      <c r="L10" s="1"/>
      <c r="M10" s="29"/>
    </row>
    <row r="11" spans="1:34" ht="15" customHeight="1" thickBot="1">
      <c r="G11" s="169" t="s">
        <v>40</v>
      </c>
      <c r="H11" s="205"/>
      <c r="I11" s="170"/>
      <c r="J11" s="35">
        <v>2024</v>
      </c>
    </row>
    <row r="12" spans="1:34" ht="15" customHeight="1" thickBot="1">
      <c r="G12" s="42"/>
      <c r="H12" s="42"/>
      <c r="I12" s="42"/>
      <c r="J12" s="29"/>
      <c r="S12" s="195" t="s">
        <v>48</v>
      </c>
      <c r="T12" s="195"/>
      <c r="U12" s="195"/>
      <c r="V12" s="195"/>
      <c r="W12" s="195"/>
      <c r="X12" s="195"/>
      <c r="Y12" s="195"/>
      <c r="Z12" s="195"/>
      <c r="AA12" s="195"/>
    </row>
    <row r="13" spans="1:34" ht="15" customHeight="1" thickBot="1">
      <c r="G13" s="171" t="s">
        <v>11</v>
      </c>
      <c r="H13" s="173"/>
      <c r="I13" s="30">
        <v>5.8451000000000003E-2</v>
      </c>
      <c r="J13" s="29"/>
      <c r="S13" s="195"/>
      <c r="T13" s="195"/>
      <c r="U13" s="195"/>
      <c r="V13" s="195"/>
      <c r="W13" s="195"/>
      <c r="X13" s="195"/>
      <c r="Y13" s="195"/>
      <c r="Z13" s="195"/>
      <c r="AA13" s="195"/>
    </row>
    <row r="14" spans="1:34" ht="15" customHeight="1">
      <c r="G14" s="27"/>
      <c r="H14" s="27"/>
      <c r="I14" s="43"/>
      <c r="J14" s="29"/>
      <c r="S14" s="195"/>
      <c r="T14" s="195"/>
      <c r="U14" s="195"/>
      <c r="V14" s="195"/>
      <c r="W14" s="195"/>
      <c r="X14" s="195"/>
      <c r="Y14" s="195"/>
      <c r="Z14" s="195"/>
      <c r="AA14" s="195"/>
    </row>
    <row r="15" spans="1:34" ht="15" customHeight="1">
      <c r="G15" s="27"/>
      <c r="H15" s="27"/>
      <c r="I15" s="43"/>
      <c r="J15" s="29"/>
    </row>
    <row r="16" spans="1:34" ht="20.25" customHeight="1">
      <c r="G16" s="36"/>
      <c r="H16" s="36"/>
      <c r="I16" s="36">
        <f t="shared" ref="I16:AB16" si="0">IF(I17&lt;&gt;0,AL22,0)</f>
        <v>1</v>
      </c>
      <c r="J16" s="36">
        <f t="shared" si="0"/>
        <v>2</v>
      </c>
      <c r="K16" s="36">
        <f t="shared" si="0"/>
        <v>3</v>
      </c>
      <c r="L16" s="36">
        <f t="shared" si="0"/>
        <v>4</v>
      </c>
      <c r="M16" s="36">
        <f t="shared" si="0"/>
        <v>5</v>
      </c>
      <c r="N16" s="36">
        <f t="shared" si="0"/>
        <v>6</v>
      </c>
      <c r="O16" s="36">
        <f t="shared" si="0"/>
        <v>7</v>
      </c>
      <c r="P16" s="36">
        <f t="shared" si="0"/>
        <v>0</v>
      </c>
      <c r="Q16" s="36">
        <f t="shared" si="0"/>
        <v>0</v>
      </c>
      <c r="R16" s="36">
        <f t="shared" si="0"/>
        <v>0</v>
      </c>
      <c r="S16" s="36">
        <f t="shared" si="0"/>
        <v>0</v>
      </c>
      <c r="T16" s="36">
        <f t="shared" si="0"/>
        <v>0</v>
      </c>
      <c r="U16" s="36">
        <f t="shared" si="0"/>
        <v>0</v>
      </c>
      <c r="V16" s="36">
        <f t="shared" si="0"/>
        <v>0</v>
      </c>
      <c r="W16" s="36">
        <f t="shared" si="0"/>
        <v>0</v>
      </c>
      <c r="X16" s="36">
        <f t="shared" si="0"/>
        <v>0</v>
      </c>
      <c r="Y16" s="36">
        <f t="shared" si="0"/>
        <v>0</v>
      </c>
      <c r="Z16" s="36">
        <f t="shared" si="0"/>
        <v>0</v>
      </c>
      <c r="AA16" s="36">
        <f t="shared" si="0"/>
        <v>0</v>
      </c>
      <c r="AB16" s="36">
        <f t="shared" si="0"/>
        <v>0</v>
      </c>
      <c r="AC16" s="36">
        <f t="shared" ref="AC16:AH16" si="1">IF(AC17&lt;&gt;0,AC28,0)</f>
        <v>0</v>
      </c>
      <c r="AD16" s="36">
        <f t="shared" si="1"/>
        <v>0</v>
      </c>
      <c r="AE16" s="36">
        <f t="shared" si="1"/>
        <v>0</v>
      </c>
      <c r="AF16" s="36">
        <f t="shared" si="1"/>
        <v>0</v>
      </c>
      <c r="AG16" s="36">
        <f t="shared" si="1"/>
        <v>0</v>
      </c>
      <c r="AH16" s="36">
        <f t="shared" si="1"/>
        <v>0</v>
      </c>
    </row>
    <row r="17" spans="1:58" ht="29.25" customHeight="1">
      <c r="G17" s="38" t="s">
        <v>4</v>
      </c>
      <c r="H17" s="45" t="s">
        <v>47</v>
      </c>
      <c r="I17" s="45">
        <f>IF(AK23&gt;AK22,AL22,0)</f>
        <v>1</v>
      </c>
      <c r="J17" s="45">
        <f t="shared" ref="J17:AH17" si="2">IF(AL23&gt;AL22,AM22,0)</f>
        <v>2</v>
      </c>
      <c r="K17" s="45">
        <f t="shared" si="2"/>
        <v>3</v>
      </c>
      <c r="L17" s="45">
        <f t="shared" si="2"/>
        <v>4</v>
      </c>
      <c r="M17" s="45">
        <f t="shared" si="2"/>
        <v>5</v>
      </c>
      <c r="N17" s="45">
        <f t="shared" si="2"/>
        <v>6</v>
      </c>
      <c r="O17" s="45">
        <f t="shared" si="2"/>
        <v>7</v>
      </c>
      <c r="P17" s="45">
        <f t="shared" si="2"/>
        <v>0</v>
      </c>
      <c r="Q17" s="45">
        <f t="shared" si="2"/>
        <v>0</v>
      </c>
      <c r="R17" s="45">
        <f t="shared" si="2"/>
        <v>0</v>
      </c>
      <c r="S17" s="45">
        <f t="shared" si="2"/>
        <v>0</v>
      </c>
      <c r="T17" s="45">
        <f t="shared" si="2"/>
        <v>0</v>
      </c>
      <c r="U17" s="45">
        <f t="shared" si="2"/>
        <v>0</v>
      </c>
      <c r="V17" s="45">
        <f t="shared" si="2"/>
        <v>0</v>
      </c>
      <c r="W17" s="45">
        <f t="shared" si="2"/>
        <v>0</v>
      </c>
      <c r="X17" s="45">
        <f t="shared" si="2"/>
        <v>0</v>
      </c>
      <c r="Y17" s="45">
        <f t="shared" si="2"/>
        <v>0</v>
      </c>
      <c r="Z17" s="45">
        <f t="shared" si="2"/>
        <v>0</v>
      </c>
      <c r="AA17" s="45">
        <f t="shared" si="2"/>
        <v>0</v>
      </c>
      <c r="AB17" s="45">
        <f t="shared" si="2"/>
        <v>0</v>
      </c>
      <c r="AC17" s="45">
        <f t="shared" si="2"/>
        <v>0</v>
      </c>
      <c r="AD17" s="45">
        <f t="shared" si="2"/>
        <v>0</v>
      </c>
      <c r="AE17" s="45">
        <f t="shared" si="2"/>
        <v>0</v>
      </c>
      <c r="AF17" s="45">
        <f t="shared" si="2"/>
        <v>0</v>
      </c>
      <c r="AG17" s="45">
        <f t="shared" si="2"/>
        <v>0</v>
      </c>
      <c r="AH17" s="45">
        <f t="shared" si="2"/>
        <v>0</v>
      </c>
    </row>
    <row r="18" spans="1:58" ht="30.75" customHeight="1">
      <c r="G18" s="38" t="s">
        <v>34</v>
      </c>
      <c r="H18" s="39">
        <v>5753.33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58" s="48" customFormat="1" ht="30.75" customHeight="1">
      <c r="A19" s="48" t="s">
        <v>45</v>
      </c>
      <c r="G19" s="49" t="s">
        <v>35</v>
      </c>
      <c r="H19" s="47">
        <v>0.21</v>
      </c>
      <c r="I19" s="47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</row>
    <row r="20" spans="1:58" ht="30.75" customHeight="1">
      <c r="G20" s="38" t="s">
        <v>36</v>
      </c>
      <c r="H20" s="39">
        <v>3596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58" ht="30.75" customHeight="1">
      <c r="G21" s="38" t="s">
        <v>37</v>
      </c>
      <c r="H21" s="39">
        <v>4049.67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58" ht="30.75" customHeight="1">
      <c r="G22" s="38" t="s">
        <v>38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K22" s="41">
        <v>0</v>
      </c>
      <c r="AL22" s="41">
        <v>1</v>
      </c>
      <c r="AM22" s="41">
        <v>2</v>
      </c>
      <c r="AN22" s="41">
        <v>3</v>
      </c>
      <c r="AO22" s="41">
        <v>4</v>
      </c>
      <c r="AP22" s="41">
        <v>5</v>
      </c>
      <c r="AQ22" s="41">
        <v>6</v>
      </c>
      <c r="AR22" s="41">
        <v>7</v>
      </c>
      <c r="AS22" s="41">
        <v>8</v>
      </c>
      <c r="AT22" s="41">
        <v>9</v>
      </c>
      <c r="AU22" s="41">
        <v>10</v>
      </c>
      <c r="AV22" s="41">
        <v>11</v>
      </c>
      <c r="AW22" s="41">
        <v>12</v>
      </c>
      <c r="AX22" s="41">
        <v>13</v>
      </c>
      <c r="AY22" s="41">
        <v>14</v>
      </c>
      <c r="AZ22" s="41">
        <v>15</v>
      </c>
      <c r="BA22" s="41">
        <v>16</v>
      </c>
      <c r="BB22" s="41">
        <v>17</v>
      </c>
      <c r="BC22" s="41">
        <v>18</v>
      </c>
      <c r="BD22" s="41">
        <v>19</v>
      </c>
      <c r="BE22" s="41">
        <v>20</v>
      </c>
    </row>
    <row r="23" spans="1:58" ht="38.25" customHeight="1">
      <c r="G23" s="38" t="s">
        <v>39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K23" s="41">
        <f>M9</f>
        <v>7</v>
      </c>
      <c r="AL23" s="41">
        <f>AK23</f>
        <v>7</v>
      </c>
      <c r="AM23" s="41">
        <f t="shared" ref="AM23:BE23" si="3">AL23</f>
        <v>7</v>
      </c>
      <c r="AN23" s="41">
        <f t="shared" si="3"/>
        <v>7</v>
      </c>
      <c r="AO23" s="41">
        <f t="shared" si="3"/>
        <v>7</v>
      </c>
      <c r="AP23" s="41">
        <f t="shared" si="3"/>
        <v>7</v>
      </c>
      <c r="AQ23" s="41">
        <f t="shared" si="3"/>
        <v>7</v>
      </c>
      <c r="AR23" s="41">
        <f t="shared" si="3"/>
        <v>7</v>
      </c>
      <c r="AS23" s="41">
        <f t="shared" si="3"/>
        <v>7</v>
      </c>
      <c r="AT23" s="41">
        <f t="shared" si="3"/>
        <v>7</v>
      </c>
      <c r="AU23" s="41">
        <f t="shared" si="3"/>
        <v>7</v>
      </c>
      <c r="AV23" s="41">
        <f t="shared" si="3"/>
        <v>7</v>
      </c>
      <c r="AW23" s="41">
        <f t="shared" si="3"/>
        <v>7</v>
      </c>
      <c r="AX23" s="41">
        <f t="shared" si="3"/>
        <v>7</v>
      </c>
      <c r="AY23" s="41">
        <f t="shared" si="3"/>
        <v>7</v>
      </c>
      <c r="AZ23" s="41">
        <f t="shared" si="3"/>
        <v>7</v>
      </c>
      <c r="BA23" s="41">
        <f t="shared" si="3"/>
        <v>7</v>
      </c>
      <c r="BB23" s="41">
        <f t="shared" si="3"/>
        <v>7</v>
      </c>
      <c r="BC23" s="41">
        <f t="shared" si="3"/>
        <v>7</v>
      </c>
      <c r="BD23" s="41">
        <f t="shared" si="3"/>
        <v>7</v>
      </c>
      <c r="BE23" s="41">
        <f t="shared" si="3"/>
        <v>7</v>
      </c>
    </row>
    <row r="24" spans="1:58" ht="38.25" customHeight="1">
      <c r="G24" s="38" t="s">
        <v>42</v>
      </c>
      <c r="H24" s="39">
        <f>H22-H23</f>
        <v>0</v>
      </c>
      <c r="I24" s="39">
        <f>I22-I23</f>
        <v>0</v>
      </c>
      <c r="J24" s="39">
        <f>J22-J23</f>
        <v>0</v>
      </c>
      <c r="K24" s="39">
        <f t="shared" ref="K24:AH24" si="4">K22-K23</f>
        <v>0</v>
      </c>
      <c r="L24" s="39">
        <f t="shared" si="4"/>
        <v>0</v>
      </c>
      <c r="M24" s="39">
        <f t="shared" si="4"/>
        <v>0</v>
      </c>
      <c r="N24" s="39">
        <f t="shared" si="4"/>
        <v>0</v>
      </c>
      <c r="O24" s="39">
        <f t="shared" si="4"/>
        <v>0</v>
      </c>
      <c r="P24" s="39">
        <f t="shared" si="4"/>
        <v>0</v>
      </c>
      <c r="Q24" s="39">
        <f t="shared" si="4"/>
        <v>0</v>
      </c>
      <c r="R24" s="39">
        <f t="shared" si="4"/>
        <v>0</v>
      </c>
      <c r="S24" s="39">
        <f t="shared" si="4"/>
        <v>0</v>
      </c>
      <c r="T24" s="39">
        <f t="shared" si="4"/>
        <v>0</v>
      </c>
      <c r="U24" s="39">
        <f t="shared" si="4"/>
        <v>0</v>
      </c>
      <c r="V24" s="39">
        <f t="shared" si="4"/>
        <v>0</v>
      </c>
      <c r="W24" s="39">
        <f t="shared" si="4"/>
        <v>0</v>
      </c>
      <c r="X24" s="39">
        <f t="shared" si="4"/>
        <v>0</v>
      </c>
      <c r="Y24" s="39">
        <f t="shared" si="4"/>
        <v>0</v>
      </c>
      <c r="Z24" s="39">
        <f>Z22-Z23</f>
        <v>0</v>
      </c>
      <c r="AA24" s="39">
        <f t="shared" si="4"/>
        <v>0</v>
      </c>
      <c r="AB24" s="39">
        <f t="shared" si="4"/>
        <v>0</v>
      </c>
      <c r="AC24" s="39">
        <f t="shared" si="4"/>
        <v>0</v>
      </c>
      <c r="AD24" s="39">
        <f t="shared" si="4"/>
        <v>0</v>
      </c>
      <c r="AE24" s="39">
        <f t="shared" si="4"/>
        <v>0</v>
      </c>
      <c r="AF24" s="39">
        <f t="shared" si="4"/>
        <v>0</v>
      </c>
      <c r="AG24" s="39">
        <f t="shared" si="4"/>
        <v>0</v>
      </c>
      <c r="AH24" s="39">
        <f t="shared" si="4"/>
        <v>0</v>
      </c>
      <c r="AK24" s="41">
        <f>J11</f>
        <v>2024</v>
      </c>
      <c r="AL24" s="41">
        <f>AK24</f>
        <v>2024</v>
      </c>
      <c r="AM24" s="41">
        <f t="shared" ref="AM24:BE24" si="5">AL24</f>
        <v>2024</v>
      </c>
      <c r="AN24" s="41">
        <f t="shared" si="5"/>
        <v>2024</v>
      </c>
      <c r="AO24" s="41">
        <f t="shared" si="5"/>
        <v>2024</v>
      </c>
      <c r="AP24" s="41">
        <f t="shared" si="5"/>
        <v>2024</v>
      </c>
      <c r="AQ24" s="41">
        <f t="shared" si="5"/>
        <v>2024</v>
      </c>
      <c r="AR24" s="41">
        <f t="shared" si="5"/>
        <v>2024</v>
      </c>
      <c r="AS24" s="41">
        <f t="shared" si="5"/>
        <v>2024</v>
      </c>
      <c r="AT24" s="41">
        <f t="shared" si="5"/>
        <v>2024</v>
      </c>
      <c r="AU24" s="41">
        <f t="shared" si="5"/>
        <v>2024</v>
      </c>
      <c r="AV24" s="41">
        <f t="shared" si="5"/>
        <v>2024</v>
      </c>
      <c r="AW24" s="41">
        <f t="shared" si="5"/>
        <v>2024</v>
      </c>
      <c r="AX24" s="41">
        <f t="shared" si="5"/>
        <v>2024</v>
      </c>
      <c r="AY24" s="41">
        <f t="shared" si="5"/>
        <v>2024</v>
      </c>
      <c r="AZ24" s="41">
        <f t="shared" si="5"/>
        <v>2024</v>
      </c>
      <c r="BA24" s="41">
        <f t="shared" si="5"/>
        <v>2024</v>
      </c>
      <c r="BB24" s="41">
        <f t="shared" si="5"/>
        <v>2024</v>
      </c>
      <c r="BC24" s="41">
        <f t="shared" si="5"/>
        <v>2024</v>
      </c>
      <c r="BD24" s="41">
        <f t="shared" si="5"/>
        <v>2024</v>
      </c>
      <c r="BE24" s="41">
        <f t="shared" si="5"/>
        <v>2024</v>
      </c>
    </row>
    <row r="25" spans="1:58" ht="38.25" customHeight="1">
      <c r="A25" t="s">
        <v>43</v>
      </c>
      <c r="G25" s="38" t="s">
        <v>41</v>
      </c>
      <c r="H25" s="40">
        <v>382</v>
      </c>
      <c r="I25" s="39">
        <f>I24-H24</f>
        <v>0</v>
      </c>
      <c r="J25" s="39">
        <f>J24-I24</f>
        <v>0</v>
      </c>
      <c r="K25" s="39">
        <f>K24-J24</f>
        <v>0</v>
      </c>
      <c r="L25" s="39">
        <f>L24-K24</f>
        <v>0</v>
      </c>
      <c r="M25" s="39">
        <f t="shared" ref="M25:AH25" si="6">M24-L24</f>
        <v>0</v>
      </c>
      <c r="N25" s="39">
        <f t="shared" si="6"/>
        <v>0</v>
      </c>
      <c r="O25" s="39">
        <f t="shared" si="6"/>
        <v>0</v>
      </c>
      <c r="P25" s="39">
        <f t="shared" si="6"/>
        <v>0</v>
      </c>
      <c r="Q25" s="39">
        <f t="shared" si="6"/>
        <v>0</v>
      </c>
      <c r="R25" s="39">
        <f t="shared" si="6"/>
        <v>0</v>
      </c>
      <c r="S25" s="39">
        <f t="shared" si="6"/>
        <v>0</v>
      </c>
      <c r="T25" s="39">
        <f t="shared" si="6"/>
        <v>0</v>
      </c>
      <c r="U25" s="39">
        <f t="shared" si="6"/>
        <v>0</v>
      </c>
      <c r="V25" s="39">
        <f t="shared" si="6"/>
        <v>0</v>
      </c>
      <c r="W25" s="39">
        <f t="shared" si="6"/>
        <v>0</v>
      </c>
      <c r="X25" s="39">
        <f t="shared" si="6"/>
        <v>0</v>
      </c>
      <c r="Y25" s="39">
        <f t="shared" si="6"/>
        <v>0</v>
      </c>
      <c r="Z25" s="39">
        <f t="shared" si="6"/>
        <v>0</v>
      </c>
      <c r="AA25" s="39">
        <f t="shared" si="6"/>
        <v>0</v>
      </c>
      <c r="AB25" s="39">
        <f t="shared" si="6"/>
        <v>0</v>
      </c>
      <c r="AC25" s="39">
        <f t="shared" si="6"/>
        <v>0</v>
      </c>
      <c r="AD25" s="39">
        <f t="shared" si="6"/>
        <v>0</v>
      </c>
      <c r="AE25" s="39">
        <f t="shared" si="6"/>
        <v>0</v>
      </c>
      <c r="AF25" s="39">
        <f t="shared" si="6"/>
        <v>0</v>
      </c>
      <c r="AG25" s="39">
        <f t="shared" si="6"/>
        <v>0</v>
      </c>
      <c r="AH25" s="39">
        <f t="shared" si="6"/>
        <v>0</v>
      </c>
      <c r="AL25" s="44">
        <f>I13</f>
        <v>5.8451000000000003E-2</v>
      </c>
      <c r="AM25" s="44">
        <f>AL25</f>
        <v>5.8451000000000003E-2</v>
      </c>
      <c r="AN25" s="44">
        <f t="shared" ref="AN25:BF25" si="7">AM25</f>
        <v>5.8451000000000003E-2</v>
      </c>
      <c r="AO25" s="44">
        <f t="shared" si="7"/>
        <v>5.8451000000000003E-2</v>
      </c>
      <c r="AP25" s="44">
        <f t="shared" si="7"/>
        <v>5.8451000000000003E-2</v>
      </c>
      <c r="AQ25" s="44">
        <f t="shared" si="7"/>
        <v>5.8451000000000003E-2</v>
      </c>
      <c r="AR25" s="44">
        <f t="shared" si="7"/>
        <v>5.8451000000000003E-2</v>
      </c>
      <c r="AS25" s="44">
        <f t="shared" si="7"/>
        <v>5.8451000000000003E-2</v>
      </c>
      <c r="AT25" s="44">
        <f t="shared" si="7"/>
        <v>5.8451000000000003E-2</v>
      </c>
      <c r="AU25" s="44">
        <f t="shared" si="7"/>
        <v>5.8451000000000003E-2</v>
      </c>
      <c r="AV25" s="44">
        <f t="shared" si="7"/>
        <v>5.8451000000000003E-2</v>
      </c>
      <c r="AW25" s="44">
        <f t="shared" si="7"/>
        <v>5.8451000000000003E-2</v>
      </c>
      <c r="AX25" s="44">
        <f t="shared" si="7"/>
        <v>5.8451000000000003E-2</v>
      </c>
      <c r="AY25" s="44">
        <f t="shared" si="7"/>
        <v>5.8451000000000003E-2</v>
      </c>
      <c r="AZ25" s="44">
        <f t="shared" si="7"/>
        <v>5.8451000000000003E-2</v>
      </c>
      <c r="BA25" s="44">
        <f t="shared" si="7"/>
        <v>5.8451000000000003E-2</v>
      </c>
      <c r="BB25" s="44">
        <f t="shared" si="7"/>
        <v>5.8451000000000003E-2</v>
      </c>
      <c r="BC25" s="44">
        <f t="shared" si="7"/>
        <v>5.8451000000000003E-2</v>
      </c>
      <c r="BD25" s="44">
        <f t="shared" si="7"/>
        <v>5.8451000000000003E-2</v>
      </c>
      <c r="BE25" s="44">
        <f t="shared" si="7"/>
        <v>5.8451000000000003E-2</v>
      </c>
      <c r="BF25" s="44">
        <f t="shared" si="7"/>
        <v>5.8451000000000003E-2</v>
      </c>
    </row>
    <row r="26" spans="1:58" ht="39.75" customHeight="1">
      <c r="A26" t="s">
        <v>44</v>
      </c>
      <c r="G26" s="38" t="s">
        <v>46</v>
      </c>
      <c r="H26" s="46">
        <f>H18*(1-H19)-((H20-H21)+H25)</f>
        <v>4616.8006999999998</v>
      </c>
      <c r="I26" s="46">
        <f>I18*(1-I19)-((I20-I21)+I25)</f>
        <v>0</v>
      </c>
      <c r="J26" s="46">
        <f>J18*(1-J19)-((J20-J21)+J25)</f>
        <v>0</v>
      </c>
      <c r="K26" s="46">
        <f t="shared" ref="K26:AH26" si="8">K18*(1-K19)-((K20-K21)+K25)</f>
        <v>0</v>
      </c>
      <c r="L26" s="46">
        <f t="shared" si="8"/>
        <v>0</v>
      </c>
      <c r="M26" s="46">
        <f t="shared" si="8"/>
        <v>0</v>
      </c>
      <c r="N26" s="46">
        <f t="shared" si="8"/>
        <v>0</v>
      </c>
      <c r="O26" s="46">
        <f t="shared" si="8"/>
        <v>0</v>
      </c>
      <c r="P26" s="46">
        <f t="shared" si="8"/>
        <v>0</v>
      </c>
      <c r="Q26" s="46">
        <f t="shared" si="8"/>
        <v>0</v>
      </c>
      <c r="R26" s="46">
        <f t="shared" si="8"/>
        <v>0</v>
      </c>
      <c r="S26" s="46">
        <f t="shared" si="8"/>
        <v>0</v>
      </c>
      <c r="T26" s="46">
        <f t="shared" si="8"/>
        <v>0</v>
      </c>
      <c r="U26" s="46">
        <f t="shared" si="8"/>
        <v>0</v>
      </c>
      <c r="V26" s="46">
        <f t="shared" si="8"/>
        <v>0</v>
      </c>
      <c r="W26" s="46">
        <f t="shared" si="8"/>
        <v>0</v>
      </c>
      <c r="X26" s="46">
        <f t="shared" si="8"/>
        <v>0</v>
      </c>
      <c r="Y26" s="46">
        <f t="shared" si="8"/>
        <v>0</v>
      </c>
      <c r="Z26" s="46">
        <f t="shared" si="8"/>
        <v>0</v>
      </c>
      <c r="AA26" s="46">
        <f t="shared" si="8"/>
        <v>0</v>
      </c>
      <c r="AB26" s="46">
        <f t="shared" si="8"/>
        <v>0</v>
      </c>
      <c r="AC26" s="46">
        <f t="shared" si="8"/>
        <v>0</v>
      </c>
      <c r="AD26" s="46">
        <f t="shared" si="8"/>
        <v>0</v>
      </c>
      <c r="AE26" s="46">
        <f t="shared" si="8"/>
        <v>0</v>
      </c>
      <c r="AF26" s="46">
        <f t="shared" si="8"/>
        <v>0</v>
      </c>
      <c r="AG26" s="46">
        <f t="shared" si="8"/>
        <v>0</v>
      </c>
      <c r="AH26" s="46">
        <f t="shared" si="8"/>
        <v>0</v>
      </c>
    </row>
    <row r="27" spans="1:58" ht="39.75" customHeight="1">
      <c r="G27" s="38" t="s">
        <v>16</v>
      </c>
      <c r="H27" s="39"/>
      <c r="I27" s="39">
        <f>IF(I17&gt;0,I26/((1+AL25)^I16),0)</f>
        <v>0</v>
      </c>
      <c r="J27" s="39">
        <f>IF(J17&gt;0,J26/((1+AM25)^J16),0)</f>
        <v>0</v>
      </c>
      <c r="K27" s="39">
        <f t="shared" ref="K27:AH27" si="9">IF(K17&gt;0,K26/((1+AN25)^K16),0)</f>
        <v>0</v>
      </c>
      <c r="L27" s="39">
        <f>IF(L17&gt;0,L26/((1+AO25)^L16),0)</f>
        <v>0</v>
      </c>
      <c r="M27" s="39">
        <f t="shared" si="9"/>
        <v>0</v>
      </c>
      <c r="N27" s="39">
        <f t="shared" si="9"/>
        <v>0</v>
      </c>
      <c r="O27" s="39">
        <f t="shared" si="9"/>
        <v>0</v>
      </c>
      <c r="P27" s="39">
        <f t="shared" si="9"/>
        <v>0</v>
      </c>
      <c r="Q27" s="39">
        <f t="shared" si="9"/>
        <v>0</v>
      </c>
      <c r="R27" s="39">
        <f t="shared" si="9"/>
        <v>0</v>
      </c>
      <c r="S27" s="39">
        <f t="shared" si="9"/>
        <v>0</v>
      </c>
      <c r="T27" s="39">
        <f t="shared" si="9"/>
        <v>0</v>
      </c>
      <c r="U27" s="39">
        <f t="shared" si="9"/>
        <v>0</v>
      </c>
      <c r="V27" s="39">
        <f t="shared" si="9"/>
        <v>0</v>
      </c>
      <c r="W27" s="39">
        <f t="shared" si="9"/>
        <v>0</v>
      </c>
      <c r="X27" s="39">
        <f t="shared" si="9"/>
        <v>0</v>
      </c>
      <c r="Y27" s="39">
        <f t="shared" si="9"/>
        <v>0</v>
      </c>
      <c r="Z27" s="39">
        <f t="shared" si="9"/>
        <v>0</v>
      </c>
      <c r="AA27" s="39">
        <f t="shared" si="9"/>
        <v>0</v>
      </c>
      <c r="AB27" s="39">
        <f t="shared" si="9"/>
        <v>0</v>
      </c>
      <c r="AC27" s="39">
        <f t="shared" si="9"/>
        <v>0</v>
      </c>
      <c r="AD27" s="39">
        <f t="shared" si="9"/>
        <v>0</v>
      </c>
      <c r="AE27" s="39">
        <f t="shared" si="9"/>
        <v>0</v>
      </c>
      <c r="AF27" s="39">
        <f t="shared" si="9"/>
        <v>0</v>
      </c>
      <c r="AG27" s="39">
        <f t="shared" si="9"/>
        <v>0</v>
      </c>
      <c r="AH27" s="39">
        <f t="shared" si="9"/>
        <v>0</v>
      </c>
    </row>
    <row r="29" spans="1:58" ht="15" thickBot="1"/>
    <row r="30" spans="1:58" ht="15.75" thickBot="1">
      <c r="G30" s="171" t="s">
        <v>10</v>
      </c>
      <c r="H30" s="172"/>
      <c r="I30" s="24">
        <v>0.04</v>
      </c>
    </row>
    <row r="33" spans="7:17" ht="15" thickBot="1"/>
    <row r="34" spans="7:17" ht="15">
      <c r="G34" s="8" t="s">
        <v>15</v>
      </c>
      <c r="H34" s="18"/>
      <c r="L34" s="26"/>
      <c r="M34" s="14"/>
      <c r="N34" s="26"/>
    </row>
    <row r="35" spans="7:17" ht="15.75" thickBot="1">
      <c r="G35" s="9" t="s">
        <v>13</v>
      </c>
      <c r="H35" s="19">
        <f>(H34*(1+I30))/(I13-I30)</f>
        <v>0</v>
      </c>
      <c r="L35" s="26"/>
      <c r="M35" s="14"/>
      <c r="N35" s="26"/>
    </row>
    <row r="36" spans="7:17" ht="15.75" thickBot="1">
      <c r="G36" s="9" t="s">
        <v>49</v>
      </c>
      <c r="H36" s="19"/>
      <c r="L36" s="26"/>
      <c r="M36" s="14"/>
      <c r="N36" s="26"/>
    </row>
    <row r="37" spans="7:17" ht="15.75" thickBot="1">
      <c r="G37" s="9" t="s">
        <v>16</v>
      </c>
      <c r="H37" s="19">
        <f>SUM(H27:AH27)</f>
        <v>0</v>
      </c>
    </row>
    <row r="38" spans="7:17" ht="15">
      <c r="G38" s="27"/>
      <c r="H38" s="28"/>
    </row>
    <row r="39" spans="7:17">
      <c r="G39" s="29"/>
      <c r="H39" s="29"/>
    </row>
    <row r="40" spans="7:17" ht="15" thickBot="1"/>
    <row r="41" spans="7:17" ht="27.75" customHeight="1" thickBot="1">
      <c r="G41" s="174" t="s">
        <v>17</v>
      </c>
      <c r="H41" s="175"/>
      <c r="I41" s="20">
        <f>H35+H37</f>
        <v>0</v>
      </c>
      <c r="J41" s="14"/>
      <c r="K41" s="14"/>
      <c r="L41" s="14"/>
      <c r="M41" s="14"/>
      <c r="N41" s="14"/>
      <c r="O41" s="14"/>
      <c r="P41" s="14"/>
      <c r="Q41" s="14"/>
    </row>
    <row r="42" spans="7:17" ht="27.75" customHeight="1">
      <c r="G42" s="176" t="s">
        <v>18</v>
      </c>
      <c r="H42" s="177"/>
      <c r="I42" s="31"/>
      <c r="J42" s="14"/>
      <c r="K42" s="14"/>
      <c r="L42" s="14"/>
      <c r="M42" s="14"/>
      <c r="N42" s="14"/>
      <c r="O42" s="14"/>
      <c r="P42" s="14"/>
      <c r="Q42" s="14"/>
    </row>
    <row r="43" spans="7:17" ht="27.75" customHeight="1" thickBot="1">
      <c r="G43" s="178" t="s">
        <v>19</v>
      </c>
      <c r="H43" s="179"/>
      <c r="I43" s="32"/>
      <c r="J43" s="14"/>
      <c r="K43" s="14"/>
      <c r="L43" s="14"/>
      <c r="M43" s="14"/>
      <c r="N43" s="14"/>
      <c r="O43" s="14"/>
      <c r="P43" s="14"/>
      <c r="Q43" s="14"/>
    </row>
    <row r="44" spans="7:17" ht="27.75" customHeight="1" thickBot="1">
      <c r="G44" s="178" t="s">
        <v>20</v>
      </c>
      <c r="H44" s="179"/>
      <c r="I44" s="32">
        <f>I41-I42-I43</f>
        <v>0</v>
      </c>
      <c r="J44" s="14"/>
      <c r="K44" s="14"/>
      <c r="L44" s="14"/>
      <c r="M44" s="14"/>
      <c r="N44" s="14"/>
      <c r="O44" s="14"/>
      <c r="P44" s="14"/>
      <c r="Q44" s="14"/>
    </row>
    <row r="45" spans="7:17" ht="27.75" customHeight="1" thickBot="1">
      <c r="G45" s="180" t="s">
        <v>21</v>
      </c>
      <c r="H45" s="181"/>
      <c r="I45" s="33"/>
    </row>
    <row r="47" spans="7:17" ht="32.25" customHeight="1" thickBot="1">
      <c r="G47" s="148" t="s">
        <v>22</v>
      </c>
      <c r="H47" s="149"/>
      <c r="I47" s="21" t="e">
        <f>I44/I45</f>
        <v>#DIV/0!</v>
      </c>
      <c r="J47" s="14"/>
      <c r="K47" s="148" t="s">
        <v>23</v>
      </c>
      <c r="L47" s="149"/>
      <c r="M47" s="21"/>
      <c r="N47" s="14"/>
      <c r="O47" s="148" t="s">
        <v>24</v>
      </c>
      <c r="P47" s="149"/>
      <c r="Q47" s="21" t="e">
        <f>I47-M47</f>
        <v>#DIV/0!</v>
      </c>
    </row>
  </sheetData>
  <mergeCells count="16">
    <mergeCell ref="G3:X6"/>
    <mergeCell ref="G9:L9"/>
    <mergeCell ref="G11:I11"/>
    <mergeCell ref="A3:C3"/>
    <mergeCell ref="A4:C6"/>
    <mergeCell ref="G45:H45"/>
    <mergeCell ref="G47:H47"/>
    <mergeCell ref="K47:L47"/>
    <mergeCell ref="O47:P47"/>
    <mergeCell ref="S12:AA14"/>
    <mergeCell ref="G13:H13"/>
    <mergeCell ref="G30:H30"/>
    <mergeCell ref="G41:H41"/>
    <mergeCell ref="G42:H42"/>
    <mergeCell ref="G43:H43"/>
    <mergeCell ref="G44:H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8AEB-BE7F-4B6D-BF42-84C7FAF28BB2}">
  <dimension ref="A2:AD75"/>
  <sheetViews>
    <sheetView showGridLines="0" zoomScale="130" zoomScaleNormal="130" workbookViewId="0">
      <selection activeCell="C10" sqref="C10"/>
    </sheetView>
  </sheetViews>
  <sheetFormatPr defaultColWidth="9.625" defaultRowHeight="14.25" outlineLevelRow="1" outlineLevelCol="1"/>
  <cols>
    <col min="1" max="1" width="3.625" customWidth="1"/>
    <col min="2" max="2" width="21.125" customWidth="1"/>
    <col min="3" max="3" width="10.125" bestFit="1" customWidth="1"/>
    <col min="5" max="7" width="9.625" customWidth="1" outlineLevel="1"/>
    <col min="8" max="8" width="11.375" customWidth="1" outlineLevel="1"/>
    <col min="9" max="9" width="10.875" customWidth="1" outlineLevel="1"/>
    <col min="10" max="10" width="11.875" customWidth="1" outlineLevel="1"/>
    <col min="11" max="14" width="11.875" customWidth="1"/>
    <col min="15" max="18" width="9.625" customWidth="1"/>
    <col min="22" max="26" width="10.5" bestFit="1" customWidth="1"/>
    <col min="27" max="27" width="12" bestFit="1" customWidth="1"/>
    <col min="30" max="30" width="10.375" bestFit="1" customWidth="1"/>
  </cols>
  <sheetData>
    <row r="2" spans="1:22" s="61" customFormat="1" ht="20.25">
      <c r="B2" s="114" t="str">
        <f>C4</f>
        <v>AMZN</v>
      </c>
    </row>
    <row r="4" spans="1:22">
      <c r="A4" t="s">
        <v>53</v>
      </c>
      <c r="B4" t="s">
        <v>79</v>
      </c>
      <c r="C4" s="113" t="s">
        <v>78</v>
      </c>
      <c r="E4" t="s">
        <v>77</v>
      </c>
      <c r="G4" s="111"/>
      <c r="I4" t="s">
        <v>80</v>
      </c>
      <c r="K4" s="115">
        <v>2024</v>
      </c>
      <c r="M4" s="110"/>
      <c r="N4" s="195" t="s">
        <v>48</v>
      </c>
      <c r="O4" s="195"/>
      <c r="P4" s="195"/>
      <c r="Q4" s="195"/>
      <c r="R4" s="195"/>
      <c r="S4" s="195"/>
      <c r="T4" s="195"/>
      <c r="U4" s="195"/>
      <c r="V4" s="195"/>
    </row>
    <row r="5" spans="1:22">
      <c r="B5" t="s">
        <v>76</v>
      </c>
      <c r="C5" s="112">
        <v>44766</v>
      </c>
      <c r="E5" t="s">
        <v>75</v>
      </c>
      <c r="G5" s="111"/>
      <c r="K5" s="117"/>
      <c r="M5" s="110"/>
      <c r="N5" s="195"/>
      <c r="O5" s="195"/>
      <c r="P5" s="195"/>
      <c r="Q5" s="195"/>
      <c r="R5" s="195"/>
      <c r="S5" s="195"/>
      <c r="T5" s="195"/>
      <c r="U5" s="195"/>
      <c r="V5" s="195"/>
    </row>
    <row r="6" spans="1:22">
      <c r="N6" s="195"/>
      <c r="O6" s="195"/>
      <c r="P6" s="195"/>
      <c r="Q6" s="195"/>
      <c r="R6" s="195"/>
      <c r="S6" s="195"/>
      <c r="T6" s="195"/>
      <c r="U6" s="195"/>
      <c r="V6" s="195"/>
    </row>
    <row r="7" spans="1:22" ht="15">
      <c r="A7" t="s">
        <v>53</v>
      </c>
      <c r="B7" s="94" t="s">
        <v>74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</row>
    <row r="8" spans="1:22" ht="15">
      <c r="B8" s="59" t="s">
        <v>73</v>
      </c>
    </row>
    <row r="9" spans="1:22">
      <c r="B9" t="s">
        <v>72</v>
      </c>
      <c r="D9" s="109"/>
    </row>
    <row r="10" spans="1:22">
      <c r="B10" t="s">
        <v>87</v>
      </c>
      <c r="D10" s="109"/>
    </row>
    <row r="11" spans="1:22" outlineLevel="1">
      <c r="E11">
        <v>-4</v>
      </c>
      <c r="F11">
        <v>-3</v>
      </c>
      <c r="G11">
        <v>-2</v>
      </c>
      <c r="H11">
        <v>-1</v>
      </c>
      <c r="J11">
        <v>1</v>
      </c>
      <c r="K11">
        <f t="shared" ref="K11:N12" si="0">J11+1</f>
        <v>2</v>
      </c>
      <c r="L11">
        <f t="shared" si="0"/>
        <v>3</v>
      </c>
      <c r="M11">
        <f t="shared" si="0"/>
        <v>4</v>
      </c>
      <c r="N11">
        <f t="shared" si="0"/>
        <v>5</v>
      </c>
    </row>
    <row r="12" spans="1:22" ht="15" outlineLevel="1">
      <c r="A12" t="s">
        <v>53</v>
      </c>
      <c r="B12" s="94" t="s">
        <v>71</v>
      </c>
      <c r="C12" s="95"/>
      <c r="D12" s="95"/>
      <c r="E12" s="94">
        <f t="shared" ref="E12:F12" si="1">F12-1</f>
        <v>2020</v>
      </c>
      <c r="F12" s="94">
        <f t="shared" si="1"/>
        <v>2021</v>
      </c>
      <c r="G12" s="94">
        <f>H12-1</f>
        <v>2022</v>
      </c>
      <c r="H12" s="94">
        <f>K4-1</f>
        <v>2023</v>
      </c>
      <c r="I12" s="116" t="s">
        <v>47</v>
      </c>
      <c r="J12" s="94">
        <f>K4+1</f>
        <v>2025</v>
      </c>
      <c r="K12" s="94">
        <f t="shared" si="0"/>
        <v>2026</v>
      </c>
      <c r="L12" s="94">
        <f t="shared" si="0"/>
        <v>2027</v>
      </c>
      <c r="M12" s="94">
        <f t="shared" si="0"/>
        <v>2028</v>
      </c>
      <c r="N12" s="94">
        <f t="shared" si="0"/>
        <v>2029</v>
      </c>
      <c r="O12" s="94">
        <f t="shared" ref="O12:P12" si="2">N12+1</f>
        <v>2030</v>
      </c>
      <c r="P12" s="94">
        <f t="shared" si="2"/>
        <v>2031</v>
      </c>
    </row>
    <row r="13" spans="1:22" s="78" customFormat="1" outlineLevel="1">
      <c r="B13" s="78" t="s">
        <v>68</v>
      </c>
      <c r="E13" s="106"/>
      <c r="F13" s="106"/>
      <c r="G13" s="106"/>
      <c r="H13" s="106"/>
      <c r="I13" s="105"/>
      <c r="J13" s="106"/>
      <c r="K13" s="106"/>
      <c r="L13" s="106"/>
      <c r="M13" s="106"/>
      <c r="N13" s="106"/>
    </row>
    <row r="14" spans="1:22" s="78" customFormat="1" outlineLevel="1">
      <c r="B14" s="99" t="s">
        <v>67</v>
      </c>
      <c r="E14" s="96"/>
      <c r="F14" s="96"/>
      <c r="G14" s="96"/>
      <c r="H14" s="96"/>
      <c r="I14" s="103"/>
      <c r="J14" s="97"/>
      <c r="K14" s="96"/>
      <c r="L14" s="96"/>
      <c r="M14" s="96"/>
      <c r="N14" s="96"/>
    </row>
    <row r="15" spans="1:22" s="78" customFormat="1" ht="15" outlineLevel="1">
      <c r="B15" s="108"/>
      <c r="I15" s="107"/>
    </row>
    <row r="16" spans="1:22" s="78" customFormat="1" outlineLevel="1">
      <c r="B16" s="78" t="s">
        <v>66</v>
      </c>
      <c r="E16" s="106"/>
      <c r="F16" s="106"/>
      <c r="G16" s="106"/>
      <c r="H16" s="106"/>
      <c r="I16" s="105"/>
      <c r="J16" s="106"/>
      <c r="K16" s="106"/>
      <c r="L16" s="106"/>
      <c r="M16" s="106"/>
      <c r="N16" s="106"/>
    </row>
    <row r="17" spans="1:16" s="78" customFormat="1" outlineLevel="1">
      <c r="B17" s="99" t="s">
        <v>61</v>
      </c>
      <c r="E17" s="96"/>
      <c r="F17" s="96"/>
      <c r="G17" s="96"/>
      <c r="H17" s="96"/>
      <c r="I17" s="103"/>
      <c r="J17" s="97"/>
      <c r="K17" s="96"/>
      <c r="L17" s="96"/>
      <c r="M17" s="96"/>
      <c r="N17" s="96"/>
    </row>
    <row r="18" spans="1:16" s="78" customFormat="1" outlineLevel="1">
      <c r="I18" s="107"/>
    </row>
    <row r="19" spans="1:16" s="78" customFormat="1" outlineLevel="1">
      <c r="B19" s="78" t="s">
        <v>65</v>
      </c>
      <c r="E19" s="106"/>
      <c r="F19" s="106"/>
      <c r="G19" s="106"/>
      <c r="H19" s="106"/>
      <c r="I19" s="105"/>
      <c r="J19" s="106"/>
      <c r="K19" s="106"/>
      <c r="L19" s="106"/>
      <c r="M19" s="106"/>
      <c r="N19" s="106"/>
    </row>
    <row r="20" spans="1:16" s="78" customFormat="1" outlineLevel="1">
      <c r="B20" s="99" t="s">
        <v>64</v>
      </c>
      <c r="E20" s="96"/>
      <c r="F20" s="96"/>
      <c r="G20" s="96"/>
      <c r="H20" s="96"/>
      <c r="I20" s="103"/>
      <c r="J20" s="97"/>
      <c r="K20" s="96"/>
      <c r="L20" s="96"/>
      <c r="M20" s="96"/>
      <c r="N20" s="96"/>
    </row>
    <row r="21" spans="1:16" s="78" customFormat="1" outlineLevel="1">
      <c r="I21" s="107"/>
    </row>
    <row r="22" spans="1:16" ht="15" outlineLevel="1">
      <c r="A22" t="s">
        <v>53</v>
      </c>
      <c r="B22" s="94" t="s">
        <v>70</v>
      </c>
      <c r="C22" s="95"/>
      <c r="D22" s="95"/>
      <c r="E22" s="94">
        <f t="shared" ref="E22:I22" si="3">E12</f>
        <v>2020</v>
      </c>
      <c r="F22" s="94">
        <f t="shared" si="3"/>
        <v>2021</v>
      </c>
      <c r="G22" s="94">
        <f t="shared" si="3"/>
        <v>2022</v>
      </c>
      <c r="H22" s="94">
        <f t="shared" si="3"/>
        <v>2023</v>
      </c>
      <c r="I22" s="118" t="str">
        <f t="shared" si="3"/>
        <v>ttm</v>
      </c>
      <c r="J22" s="94">
        <f>J12</f>
        <v>2025</v>
      </c>
      <c r="K22" s="94">
        <f t="shared" ref="K22:P22" si="4">K12</f>
        <v>2026</v>
      </c>
      <c r="L22" s="94">
        <f t="shared" si="4"/>
        <v>2027</v>
      </c>
      <c r="M22" s="94">
        <f t="shared" si="4"/>
        <v>2028</v>
      </c>
      <c r="N22" s="94">
        <f t="shared" si="4"/>
        <v>2029</v>
      </c>
      <c r="O22" s="94">
        <f t="shared" si="4"/>
        <v>2030</v>
      </c>
      <c r="P22" s="94">
        <f t="shared" si="4"/>
        <v>2031</v>
      </c>
    </row>
    <row r="23" spans="1:16" s="78" customFormat="1" outlineLevel="1">
      <c r="B23" s="78" t="s">
        <v>88</v>
      </c>
      <c r="E23" s="106"/>
      <c r="F23" s="106"/>
      <c r="G23" s="106"/>
      <c r="H23" s="106"/>
      <c r="I23" s="105"/>
      <c r="J23" s="104"/>
      <c r="K23" s="104"/>
      <c r="L23" s="104"/>
      <c r="M23" s="104"/>
      <c r="N23" s="104"/>
    </row>
    <row r="24" spans="1:16" s="78" customFormat="1" outlineLevel="1">
      <c r="B24" s="99" t="s">
        <v>61</v>
      </c>
      <c r="E24" s="96"/>
      <c r="F24" s="96"/>
      <c r="G24" s="96"/>
      <c r="H24" s="96"/>
      <c r="I24" s="103"/>
      <c r="J24" s="97"/>
      <c r="K24" s="96"/>
      <c r="L24" s="96"/>
      <c r="M24" s="96"/>
      <c r="N24" s="96"/>
    </row>
    <row r="25" spans="1:16" s="78" customFormat="1" outlineLevel="1">
      <c r="E25" s="90"/>
      <c r="F25" s="90"/>
      <c r="G25" s="90"/>
      <c r="H25" s="90"/>
      <c r="I25" s="102"/>
      <c r="J25" s="90"/>
      <c r="K25" s="90"/>
      <c r="L25" s="90"/>
      <c r="M25" s="90"/>
      <c r="N25" s="90"/>
    </row>
    <row r="26" spans="1:16" s="78" customFormat="1" outlineLevel="1">
      <c r="B26" s="78" t="s">
        <v>63</v>
      </c>
      <c r="E26" s="106"/>
      <c r="F26" s="106"/>
      <c r="G26" s="106"/>
      <c r="H26" s="106"/>
      <c r="I26" s="105"/>
      <c r="J26" s="104"/>
      <c r="K26" s="104"/>
      <c r="L26" s="104"/>
      <c r="M26" s="104"/>
      <c r="N26" s="104"/>
    </row>
    <row r="27" spans="1:16" s="78" customFormat="1" outlineLevel="1">
      <c r="B27" s="99" t="s">
        <v>61</v>
      </c>
      <c r="E27" s="96"/>
      <c r="F27" s="96"/>
      <c r="G27" s="96"/>
      <c r="H27" s="96"/>
      <c r="I27" s="103"/>
      <c r="J27" s="97"/>
      <c r="K27" s="96"/>
      <c r="L27" s="96"/>
      <c r="M27" s="96"/>
      <c r="N27" s="96"/>
    </row>
    <row r="28" spans="1:16" s="78" customFormat="1" outlineLevel="1">
      <c r="B28" s="99"/>
      <c r="E28" s="96"/>
      <c r="F28" s="96"/>
      <c r="G28" s="96"/>
      <c r="H28" s="96"/>
      <c r="I28" s="103"/>
      <c r="J28" s="97"/>
      <c r="K28" s="96"/>
      <c r="L28" s="96"/>
      <c r="M28" s="96"/>
      <c r="N28" s="96"/>
    </row>
    <row r="29" spans="1:16" s="78" customFormat="1" outlineLevel="1">
      <c r="B29" s="76" t="s">
        <v>81</v>
      </c>
      <c r="E29" s="90"/>
      <c r="F29" s="90"/>
      <c r="G29" s="90"/>
      <c r="H29" s="90"/>
      <c r="I29" s="102"/>
      <c r="J29" s="90"/>
      <c r="K29" s="90"/>
      <c r="L29" s="90"/>
      <c r="M29" s="90"/>
      <c r="N29" s="90"/>
    </row>
    <row r="30" spans="1:16" s="78" customFormat="1" outlineLevel="1">
      <c r="B30" s="76" t="s">
        <v>67</v>
      </c>
      <c r="E30" s="90"/>
      <c r="F30" s="90"/>
      <c r="G30" s="90"/>
      <c r="H30" s="90"/>
      <c r="I30" s="102"/>
      <c r="J30" s="90"/>
      <c r="K30" s="90"/>
      <c r="L30" s="90"/>
      <c r="M30" s="90"/>
      <c r="N30" s="90"/>
    </row>
    <row r="31" spans="1:16" s="78" customFormat="1" outlineLevel="1">
      <c r="B31"/>
      <c r="E31" s="90"/>
      <c r="F31" s="90"/>
      <c r="G31" s="90"/>
      <c r="H31" s="90"/>
      <c r="I31" s="102"/>
      <c r="J31" s="90"/>
      <c r="K31" s="90"/>
      <c r="L31" s="90"/>
      <c r="M31" s="90"/>
      <c r="N31" s="90"/>
    </row>
    <row r="32" spans="1:16" s="78" customFormat="1" outlineLevel="1">
      <c r="B32" s="76" t="s">
        <v>82</v>
      </c>
      <c r="E32" s="90"/>
      <c r="F32" s="90"/>
      <c r="G32" s="90"/>
      <c r="H32" s="90"/>
      <c r="I32" s="102"/>
      <c r="J32" s="90"/>
      <c r="K32" s="90"/>
      <c r="L32" s="90"/>
      <c r="M32" s="90"/>
      <c r="N32" s="90"/>
    </row>
    <row r="33" spans="1:30" s="78" customFormat="1" outlineLevel="1">
      <c r="B33" s="76" t="s">
        <v>67</v>
      </c>
      <c r="E33" s="90"/>
      <c r="F33" s="90"/>
      <c r="G33" s="90"/>
      <c r="H33" s="90"/>
      <c r="I33" s="102"/>
      <c r="J33" s="90"/>
      <c r="K33" s="90"/>
      <c r="L33" s="90"/>
      <c r="M33" s="90"/>
      <c r="N33" s="90"/>
    </row>
    <row r="34" spans="1:30" s="78" customFormat="1" outlineLevel="1">
      <c r="B34"/>
      <c r="E34" s="90"/>
      <c r="F34" s="90"/>
      <c r="G34" s="90"/>
      <c r="H34" s="90"/>
      <c r="I34" s="102"/>
      <c r="J34" s="90"/>
      <c r="K34" s="90"/>
      <c r="L34" s="90"/>
      <c r="M34" s="90"/>
      <c r="N34" s="90"/>
    </row>
    <row r="35" spans="1:30" s="78" customFormat="1" outlineLevel="1">
      <c r="B35" s="76" t="s">
        <v>42</v>
      </c>
      <c r="E35" s="90"/>
      <c r="F35" s="90"/>
      <c r="G35" s="90"/>
      <c r="H35" s="90"/>
      <c r="I35" s="102"/>
      <c r="J35" s="90"/>
      <c r="K35" s="90"/>
      <c r="L35" s="90"/>
      <c r="M35" s="90"/>
      <c r="N35" s="90"/>
    </row>
    <row r="36" spans="1:30" s="78" customFormat="1" outlineLevel="1">
      <c r="B36" s="76" t="s">
        <v>67</v>
      </c>
      <c r="E36" s="90"/>
      <c r="F36" s="90"/>
      <c r="G36" s="90"/>
      <c r="H36" s="90"/>
      <c r="I36" s="102"/>
      <c r="J36" s="90"/>
      <c r="K36" s="90"/>
      <c r="L36" s="90"/>
      <c r="M36" s="90"/>
      <c r="N36" s="90"/>
    </row>
    <row r="37" spans="1:30" s="78" customFormat="1" outlineLevel="1">
      <c r="E37" s="90"/>
      <c r="F37" s="90"/>
      <c r="G37" s="90"/>
      <c r="H37" s="90"/>
      <c r="I37" s="102"/>
      <c r="J37" s="90"/>
      <c r="K37" s="90"/>
      <c r="L37" s="90"/>
      <c r="M37" s="90"/>
      <c r="N37" s="90"/>
    </row>
    <row r="38" spans="1:30" s="78" customFormat="1" outlineLevel="1">
      <c r="B38" s="78" t="s">
        <v>62</v>
      </c>
      <c r="E38" s="101"/>
      <c r="F38" s="101"/>
      <c r="G38" s="101"/>
      <c r="H38" s="101"/>
      <c r="I38" s="100"/>
      <c r="J38" s="90"/>
      <c r="K38" s="90"/>
      <c r="L38" s="90"/>
      <c r="M38" s="90"/>
      <c r="N38" s="90"/>
    </row>
    <row r="39" spans="1:30" s="78" customFormat="1" outlineLevel="1">
      <c r="B39" s="99" t="s">
        <v>61</v>
      </c>
      <c r="E39" s="98"/>
      <c r="F39" s="98"/>
      <c r="G39" s="98"/>
      <c r="H39" s="98"/>
      <c r="I39" s="75"/>
      <c r="J39" s="97"/>
      <c r="K39" s="96"/>
      <c r="L39" s="96"/>
      <c r="M39" s="96"/>
      <c r="N39" s="96"/>
    </row>
    <row r="40" spans="1:30">
      <c r="I40" s="81"/>
      <c r="J40">
        <v>1</v>
      </c>
      <c r="K40">
        <f>J40+1</f>
        <v>2</v>
      </c>
      <c r="L40">
        <f>K40+1</f>
        <v>3</v>
      </c>
      <c r="M40">
        <f>L40+1</f>
        <v>4</v>
      </c>
      <c r="N40">
        <f>M40+1</f>
        <v>5</v>
      </c>
    </row>
    <row r="41" spans="1:30" ht="15">
      <c r="A41" t="s">
        <v>53</v>
      </c>
      <c r="B41" s="94" t="s">
        <v>69</v>
      </c>
      <c r="C41" s="95"/>
      <c r="D41" s="95"/>
      <c r="E41" s="94">
        <f t="shared" ref="E41:I41" si="5">E22</f>
        <v>2020</v>
      </c>
      <c r="F41" s="94">
        <f t="shared" si="5"/>
        <v>2021</v>
      </c>
      <c r="G41" s="94">
        <f t="shared" si="5"/>
        <v>2022</v>
      </c>
      <c r="H41" s="94">
        <f t="shared" si="5"/>
        <v>2023</v>
      </c>
      <c r="I41" s="118" t="str">
        <f t="shared" si="5"/>
        <v>ttm</v>
      </c>
      <c r="J41" s="94">
        <f>J22</f>
        <v>2025</v>
      </c>
      <c r="K41" s="94">
        <f t="shared" ref="K41:P41" si="6">K22</f>
        <v>2026</v>
      </c>
      <c r="L41" s="94">
        <f t="shared" si="6"/>
        <v>2027</v>
      </c>
      <c r="M41" s="94">
        <f t="shared" si="6"/>
        <v>2028</v>
      </c>
      <c r="N41" s="94">
        <f t="shared" si="6"/>
        <v>2029</v>
      </c>
      <c r="O41" s="94">
        <f t="shared" si="6"/>
        <v>2030</v>
      </c>
      <c r="P41" s="94">
        <f t="shared" si="6"/>
        <v>2031</v>
      </c>
    </row>
    <row r="42" spans="1:30">
      <c r="B42" t="s">
        <v>68</v>
      </c>
      <c r="E42" s="84"/>
      <c r="F42" s="84"/>
      <c r="G42" s="84"/>
      <c r="H42" s="84"/>
      <c r="I42" s="85"/>
      <c r="J42" s="91"/>
      <c r="K42" s="91"/>
      <c r="L42" s="91"/>
      <c r="M42" s="91"/>
      <c r="N42" s="91"/>
    </row>
    <row r="43" spans="1:30">
      <c r="B43" s="76" t="s">
        <v>67</v>
      </c>
      <c r="E43" s="83"/>
      <c r="F43" s="83"/>
      <c r="G43" s="83"/>
      <c r="H43" s="83"/>
      <c r="I43" s="82"/>
      <c r="J43" s="89"/>
      <c r="K43" s="89"/>
      <c r="L43" s="89"/>
      <c r="M43" s="89"/>
      <c r="N43" s="89"/>
      <c r="U43" s="78"/>
      <c r="Y43" s="93"/>
      <c r="Z43" s="93"/>
      <c r="AA43" s="93"/>
    </row>
    <row r="44" spans="1:30">
      <c r="B44" t="s">
        <v>86</v>
      </c>
      <c r="I44" s="81"/>
      <c r="Y44" s="93"/>
      <c r="Z44" s="93"/>
      <c r="AA44" s="93"/>
    </row>
    <row r="45" spans="1:30">
      <c r="I45" s="81"/>
      <c r="Y45" s="93"/>
      <c r="Z45" s="93"/>
      <c r="AA45" s="93"/>
    </row>
    <row r="46" spans="1:30">
      <c r="B46" s="119" t="s">
        <v>66</v>
      </c>
      <c r="E46" s="84"/>
      <c r="F46" s="84"/>
      <c r="G46" s="84"/>
      <c r="H46" s="84"/>
      <c r="I46" s="85"/>
      <c r="J46" s="91"/>
      <c r="K46" s="91"/>
      <c r="L46" s="91"/>
      <c r="M46" s="91"/>
      <c r="N46" s="91"/>
      <c r="V46" s="87"/>
      <c r="W46" s="87"/>
      <c r="X46" s="87"/>
      <c r="Y46" s="87"/>
      <c r="Z46" s="87"/>
      <c r="AA46" s="87"/>
    </row>
    <row r="47" spans="1:30">
      <c r="B47" s="76" t="s">
        <v>67</v>
      </c>
      <c r="E47" s="83"/>
      <c r="F47" s="83"/>
      <c r="G47" s="83"/>
      <c r="H47" s="83"/>
      <c r="I47" s="82"/>
      <c r="J47" s="89"/>
      <c r="K47" s="89"/>
      <c r="L47" s="89"/>
      <c r="M47" s="89"/>
      <c r="N47" s="89"/>
      <c r="V47" s="92"/>
      <c r="W47" s="92"/>
      <c r="X47" s="92"/>
      <c r="Y47" s="92"/>
      <c r="Z47" s="92"/>
      <c r="AA47" s="92"/>
    </row>
    <row r="48" spans="1:30">
      <c r="B48" t="s">
        <v>86</v>
      </c>
      <c r="I48" s="81"/>
      <c r="K48" s="77"/>
      <c r="L48" s="77"/>
      <c r="U48" s="78"/>
      <c r="Y48" s="90"/>
      <c r="Z48" s="90"/>
      <c r="AA48" s="90"/>
      <c r="AB48" s="78"/>
      <c r="AC48" s="78"/>
      <c r="AD48" s="78"/>
    </row>
    <row r="49" spans="2:30">
      <c r="I49" s="81"/>
      <c r="K49" s="77"/>
      <c r="L49" s="77"/>
      <c r="U49" s="78"/>
      <c r="Y49" s="90"/>
      <c r="Z49" s="90"/>
      <c r="AA49" s="90"/>
      <c r="AB49" s="78"/>
      <c r="AC49" s="78"/>
      <c r="AD49" s="78"/>
    </row>
    <row r="50" spans="2:30">
      <c r="B50" s="119" t="s">
        <v>84</v>
      </c>
      <c r="E50" s="84"/>
      <c r="F50" s="84"/>
      <c r="G50" s="84"/>
      <c r="H50" s="84"/>
      <c r="I50" s="85"/>
      <c r="J50" s="91"/>
      <c r="K50" s="91"/>
      <c r="L50" s="91"/>
      <c r="M50" s="91"/>
      <c r="N50" s="91"/>
      <c r="U50" s="78"/>
      <c r="Y50" s="90"/>
      <c r="Z50" s="90"/>
      <c r="AA50" s="90"/>
      <c r="AB50" s="78"/>
      <c r="AC50" s="78"/>
      <c r="AD50" s="78"/>
    </row>
    <row r="51" spans="2:30">
      <c r="B51" s="76" t="s">
        <v>67</v>
      </c>
      <c r="E51" s="83"/>
      <c r="F51" s="83"/>
      <c r="G51" s="83"/>
      <c r="H51" s="83"/>
      <c r="I51" s="82"/>
      <c r="J51" s="89"/>
      <c r="K51" s="89"/>
      <c r="L51" s="89"/>
      <c r="M51" s="89"/>
      <c r="N51" s="89"/>
      <c r="U51" s="78"/>
      <c r="Y51" s="86"/>
      <c r="Z51" s="86"/>
      <c r="AA51" s="86"/>
      <c r="AB51" s="78"/>
      <c r="AC51" s="78"/>
      <c r="AD51" s="78"/>
    </row>
    <row r="52" spans="2:30">
      <c r="B52" t="s">
        <v>86</v>
      </c>
      <c r="I52" s="81"/>
      <c r="U52" s="78"/>
      <c r="Y52" s="88"/>
      <c r="Z52" s="88"/>
      <c r="AA52" s="88"/>
      <c r="AB52" s="88"/>
      <c r="AC52" s="88"/>
      <c r="AD52" s="88"/>
    </row>
    <row r="53" spans="2:30">
      <c r="I53" s="81"/>
      <c r="U53" s="78"/>
      <c r="Y53" s="88"/>
      <c r="Z53" s="88"/>
      <c r="AA53" s="88"/>
      <c r="AB53" s="88"/>
      <c r="AC53" s="88"/>
      <c r="AD53" s="88"/>
    </row>
    <row r="54" spans="2:30" ht="15">
      <c r="B54" s="119" t="s">
        <v>63</v>
      </c>
      <c r="C54" s="59"/>
      <c r="D54" s="59"/>
      <c r="E54" s="59"/>
      <c r="F54" s="59"/>
      <c r="G54" s="59"/>
      <c r="H54" s="59"/>
      <c r="I54" s="121"/>
      <c r="J54" s="120"/>
      <c r="K54" s="120"/>
      <c r="L54" s="120"/>
      <c r="M54" s="120"/>
      <c r="N54" s="120"/>
      <c r="U54" s="78"/>
      <c r="Y54" s="86"/>
      <c r="Z54" s="86"/>
      <c r="AA54" s="86"/>
      <c r="AB54" s="86"/>
      <c r="AC54" s="86"/>
      <c r="AD54" s="86"/>
    </row>
    <row r="55" spans="2:30">
      <c r="B55" s="76" t="s">
        <v>67</v>
      </c>
      <c r="I55" s="81"/>
      <c r="K55" s="87"/>
      <c r="U55" s="78"/>
      <c r="Y55" s="78"/>
      <c r="Z55" s="78"/>
      <c r="AA55" s="78"/>
      <c r="AB55" s="78"/>
      <c r="AC55" s="78"/>
      <c r="AD55" s="78"/>
    </row>
    <row r="56" spans="2:30">
      <c r="B56" t="s">
        <v>86</v>
      </c>
      <c r="E56" s="84"/>
      <c r="F56" s="84"/>
      <c r="G56" s="84"/>
      <c r="H56" s="84"/>
      <c r="I56" s="85"/>
      <c r="J56" s="84"/>
      <c r="K56" s="84"/>
      <c r="L56" s="84"/>
      <c r="M56" s="84"/>
      <c r="N56" s="84"/>
      <c r="U56" s="78"/>
    </row>
    <row r="57" spans="2:30">
      <c r="E57" s="84"/>
      <c r="F57" s="84"/>
      <c r="G57" s="84"/>
      <c r="H57" s="84"/>
      <c r="I57" s="85"/>
      <c r="J57" s="84"/>
      <c r="K57" s="84"/>
      <c r="L57" s="84"/>
      <c r="M57" s="84"/>
      <c r="N57" s="84"/>
      <c r="U57" s="78"/>
    </row>
    <row r="58" spans="2:30">
      <c r="B58" s="119" t="s">
        <v>83</v>
      </c>
      <c r="E58" s="80"/>
      <c r="F58" s="80"/>
      <c r="G58" s="80"/>
      <c r="H58" s="80"/>
      <c r="I58" s="79"/>
      <c r="J58" s="68"/>
      <c r="K58" s="68"/>
      <c r="L58" s="68"/>
      <c r="M58" s="68"/>
      <c r="N58" s="68"/>
      <c r="U58" s="78"/>
      <c r="Y58" s="77"/>
      <c r="Z58" s="77"/>
      <c r="AA58" s="77"/>
    </row>
    <row r="59" spans="2:30">
      <c r="B59" s="76" t="s">
        <v>67</v>
      </c>
      <c r="E59" s="74"/>
      <c r="F59" s="74"/>
      <c r="G59" s="74"/>
      <c r="H59" s="74"/>
      <c r="I59" s="75"/>
      <c r="J59" s="74"/>
      <c r="K59" s="73"/>
      <c r="L59" s="73"/>
      <c r="M59" s="73"/>
      <c r="N59" s="73"/>
    </row>
    <row r="60" spans="2:30">
      <c r="B60" s="76"/>
      <c r="E60" s="74"/>
      <c r="F60" s="74"/>
      <c r="G60" s="74"/>
      <c r="H60" s="74"/>
      <c r="I60" s="75"/>
      <c r="J60" s="74"/>
      <c r="K60" s="73"/>
      <c r="L60" s="73"/>
      <c r="M60" s="73"/>
      <c r="N60" s="73"/>
    </row>
    <row r="61" spans="2:30">
      <c r="B61" s="122" t="s">
        <v>85</v>
      </c>
      <c r="E61" s="74"/>
      <c r="F61" s="74"/>
      <c r="G61" s="74"/>
      <c r="H61" s="74"/>
      <c r="I61" s="75"/>
      <c r="J61" s="74"/>
      <c r="K61" s="73"/>
      <c r="L61" s="73"/>
      <c r="M61" s="73"/>
      <c r="N61" s="73"/>
    </row>
    <row r="62" spans="2:30">
      <c r="B62" s="76" t="s">
        <v>67</v>
      </c>
      <c r="I62" s="81"/>
    </row>
    <row r="63" spans="2:30">
      <c r="B63" t="s">
        <v>86</v>
      </c>
      <c r="I63" s="81"/>
    </row>
    <row r="64" spans="2:30" ht="15" thickBot="1">
      <c r="I64" s="81"/>
    </row>
    <row r="65" spans="1:16" ht="15">
      <c r="C65" s="59"/>
      <c r="D65" s="59"/>
      <c r="E65" s="59"/>
      <c r="F65" s="59"/>
      <c r="G65" s="59"/>
      <c r="H65" s="123" t="s">
        <v>60</v>
      </c>
      <c r="I65" s="124"/>
      <c r="J65" s="46">
        <f>4616.8</f>
        <v>4616.8</v>
      </c>
      <c r="K65" s="71"/>
      <c r="L65" s="71"/>
      <c r="M65" s="71"/>
      <c r="N65" s="70"/>
      <c r="P65" s="72"/>
    </row>
    <row r="66" spans="1:16" ht="15.75" thickBot="1">
      <c r="C66" s="59"/>
      <c r="D66" s="59"/>
      <c r="E66" s="59"/>
      <c r="F66" s="59"/>
      <c r="G66" s="59"/>
      <c r="H66" s="125" t="s">
        <v>59</v>
      </c>
      <c r="I66" s="126"/>
      <c r="J66" s="71"/>
      <c r="K66" s="71"/>
      <c r="L66" s="71"/>
      <c r="M66" s="71"/>
      <c r="N66" s="70"/>
    </row>
    <row r="67" spans="1:16">
      <c r="J67" s="69"/>
    </row>
    <row r="68" spans="1:16">
      <c r="A68" t="s">
        <v>53</v>
      </c>
      <c r="B68" t="s">
        <v>58</v>
      </c>
      <c r="J68" s="69"/>
      <c r="N68" s="68"/>
    </row>
    <row r="69" spans="1:16">
      <c r="B69" s="61" t="s">
        <v>57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7"/>
    </row>
    <row r="70" spans="1:16" ht="15">
      <c r="B70" s="59" t="s">
        <v>50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62"/>
    </row>
    <row r="71" spans="1:16">
      <c r="B71" s="66" t="s">
        <v>56</v>
      </c>
      <c r="N71" s="65">
        <f>36393+29992</f>
        <v>66385</v>
      </c>
    </row>
    <row r="72" spans="1:16">
      <c r="B72" s="64" t="s">
        <v>55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3">
        <v>47556</v>
      </c>
    </row>
    <row r="73" spans="1:16" ht="15">
      <c r="B73" s="59" t="s">
        <v>20</v>
      </c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2"/>
    </row>
    <row r="74" spans="1:16">
      <c r="B74" s="61" t="s">
        <v>54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0">
        <v>10456</v>
      </c>
    </row>
    <row r="75" spans="1:16" ht="15">
      <c r="A75" t="s">
        <v>53</v>
      </c>
      <c r="B75" s="59" t="s">
        <v>52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8"/>
    </row>
  </sheetData>
  <mergeCells count="1">
    <mergeCell ref="N4:V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0CC2-5A54-4000-9675-B48513FC4E9B}">
  <dimension ref="A1"/>
  <sheetViews>
    <sheetView showGridLines="0" workbookViewId="0">
      <selection activeCell="K4" sqref="K4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FCFF</vt:lpstr>
      <vt:lpstr>dcf_growth</vt:lpstr>
      <vt:lpstr>Intrinsic Valuation</vt:lpstr>
      <vt:lpstr>DCF</vt:lpstr>
      <vt:lpstr>Story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 דיין</cp:lastModifiedBy>
  <dcterms:created xsi:type="dcterms:W3CDTF">2015-06-05T18:17:20Z</dcterms:created>
  <dcterms:modified xsi:type="dcterms:W3CDTF">2024-04-29T08:54:47Z</dcterms:modified>
</cp:coreProperties>
</file>