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c2016\Desktop\borsa\DCF\Companies\specifics\SBUX\"/>
    </mc:Choice>
  </mc:AlternateContent>
  <xr:revisionPtr revIDLastSave="0" documentId="13_ncr:1_{21483E09-88EA-4296-AB89-C99F1137417C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equity" sheetId="1" r:id="rId1"/>
    <sheet name="debt" sheetId="2" r:id="rId2"/>
    <sheet name="wacc" sheetId="3" r:id="rId3"/>
    <sheet name="story&amp;estimations" sheetId="4" r:id="rId4"/>
    <sheet name="DCF" sheetId="5" r:id="rId5"/>
    <sheet name="spread" sheetId="6" r:id="rId6"/>
  </sheets>
  <definedNames>
    <definedName name="tgr">DCF!$D$11</definedName>
    <definedName name="wacc">DCF!$D$10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5" l="1"/>
  <c r="P68" i="5"/>
  <c r="H106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60" i="4"/>
  <c r="J1" i="6"/>
  <c r="K1" i="6" s="1"/>
  <c r="K17" i="6"/>
  <c r="P17" i="6"/>
  <c r="K27" i="6"/>
  <c r="L27" i="6"/>
  <c r="M27" i="6"/>
  <c r="N27" i="6"/>
  <c r="O27" i="6"/>
  <c r="P27" i="6"/>
  <c r="J27" i="6"/>
  <c r="J9" i="6"/>
  <c r="N35" i="6"/>
  <c r="N34" i="6"/>
  <c r="P13" i="6"/>
  <c r="O13" i="6"/>
  <c r="I7" i="6"/>
  <c r="M164" i="4"/>
  <c r="L163" i="4"/>
  <c r="M163" i="4"/>
  <c r="M173" i="4"/>
  <c r="O173" i="4"/>
  <c r="O161" i="4"/>
  <c r="O165" i="4"/>
  <c r="O166" i="4"/>
  <c r="O167" i="4"/>
  <c r="O168" i="4"/>
  <c r="O169" i="4"/>
  <c r="O170" i="4"/>
  <c r="O171" i="4"/>
  <c r="O172" i="4"/>
  <c r="O160" i="4"/>
  <c r="M160" i="4"/>
  <c r="M161" i="4"/>
  <c r="M162" i="4"/>
  <c r="M165" i="4"/>
  <c r="M166" i="4"/>
  <c r="M167" i="4"/>
  <c r="M168" i="4"/>
  <c r="M169" i="4"/>
  <c r="M170" i="4"/>
  <c r="M171" i="4"/>
  <c r="M172" i="4"/>
  <c r="K173" i="4"/>
  <c r="L173" i="4" s="1"/>
  <c r="L160" i="4"/>
  <c r="L161" i="4"/>
  <c r="L162" i="4"/>
  <c r="L164" i="4"/>
  <c r="L165" i="4"/>
  <c r="L166" i="4"/>
  <c r="L167" i="4"/>
  <c r="L168" i="4"/>
  <c r="L169" i="4"/>
  <c r="L170" i="4"/>
  <c r="L171" i="4"/>
  <c r="L172" i="4"/>
  <c r="L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59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60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59" i="4"/>
  <c r="S159" i="4" a="1"/>
  <c r="S159" i="4" s="1"/>
  <c r="V68" i="4" a="1"/>
  <c r="V68" i="4" s="1"/>
  <c r="P109" i="5"/>
  <c r="O109" i="5"/>
  <c r="N109" i="5"/>
  <c r="M109" i="5"/>
  <c r="L109" i="5"/>
  <c r="K109" i="5"/>
  <c r="O105" i="5"/>
  <c r="P105" i="5" s="1"/>
  <c r="K68" i="5"/>
  <c r="L68" i="5"/>
  <c r="M68" i="5"/>
  <c r="N68" i="5"/>
  <c r="O68" i="5"/>
  <c r="J68" i="5"/>
  <c r="J109" i="5" s="1"/>
  <c r="K60" i="5"/>
  <c r="L60" i="5"/>
  <c r="M60" i="5"/>
  <c r="N60" i="5"/>
  <c r="O60" i="5"/>
  <c r="P60" i="5"/>
  <c r="J60" i="5"/>
  <c r="O64" i="5"/>
  <c r="P64" i="5" s="1"/>
  <c r="N45" i="5"/>
  <c r="N86" i="5" s="1"/>
  <c r="N124" i="5" s="1"/>
  <c r="N44" i="5"/>
  <c r="N85" i="5" s="1"/>
  <c r="N123" i="5" s="1"/>
  <c r="P37" i="5"/>
  <c r="P78" i="5" s="1"/>
  <c r="P116" i="5" s="1"/>
  <c r="O37" i="5"/>
  <c r="O78" i="5" s="1"/>
  <c r="O116" i="5" s="1"/>
  <c r="N37" i="5"/>
  <c r="N78" i="5" s="1"/>
  <c r="N116" i="5" s="1"/>
  <c r="M37" i="5"/>
  <c r="M78" i="5" s="1"/>
  <c r="M116" i="5" s="1"/>
  <c r="L37" i="5"/>
  <c r="L78" i="5" s="1"/>
  <c r="L116" i="5" s="1"/>
  <c r="K37" i="5"/>
  <c r="K78" i="5" s="1"/>
  <c r="K116" i="5" s="1"/>
  <c r="J37" i="5"/>
  <c r="J78" i="5" s="1"/>
  <c r="J116" i="5" s="1"/>
  <c r="O27" i="5"/>
  <c r="J27" i="5"/>
  <c r="J23" i="5"/>
  <c r="J64" i="5" s="1"/>
  <c r="J105" i="5" s="1"/>
  <c r="K19" i="5"/>
  <c r="K101" i="5" s="1"/>
  <c r="L19" i="5"/>
  <c r="L101" i="5" s="1"/>
  <c r="M19" i="5"/>
  <c r="M101" i="5" s="1"/>
  <c r="N19" i="5"/>
  <c r="N101" i="5" s="1"/>
  <c r="O19" i="5"/>
  <c r="O101" i="5" s="1"/>
  <c r="P19" i="5"/>
  <c r="P101" i="5" s="1"/>
  <c r="J19" i="5"/>
  <c r="J101" i="5" s="1"/>
  <c r="I17" i="5"/>
  <c r="I58" i="5" s="1"/>
  <c r="M9" i="6" l="1"/>
  <c r="L9" i="6"/>
  <c r="P9" i="6"/>
  <c r="O9" i="6"/>
  <c r="K9" i="6"/>
  <c r="N9" i="6"/>
  <c r="J5" i="6"/>
  <c r="J7" i="6" s="1"/>
  <c r="L1" i="6"/>
  <c r="K5" i="6"/>
  <c r="M17" i="6"/>
  <c r="N17" i="6"/>
  <c r="J17" i="6"/>
  <c r="O17" i="6"/>
  <c r="L17" i="6"/>
  <c r="J58" i="5"/>
  <c r="J62" i="5" s="1"/>
  <c r="I99" i="5"/>
  <c r="J99" i="5" s="1"/>
  <c r="K99" i="5" s="1"/>
  <c r="K7" i="6" l="1"/>
  <c r="K11" i="6" s="1"/>
  <c r="K15" i="6" s="1"/>
  <c r="J11" i="6"/>
  <c r="J15" i="6" s="1"/>
  <c r="J19" i="6"/>
  <c r="M1" i="6"/>
  <c r="L5" i="6"/>
  <c r="J111" i="5"/>
  <c r="J113" i="5" s="1"/>
  <c r="J103" i="5"/>
  <c r="J107" i="5" s="1"/>
  <c r="J66" i="5"/>
  <c r="K58" i="5"/>
  <c r="J70" i="5"/>
  <c r="J72" i="5" s="1"/>
  <c r="L99" i="5"/>
  <c r="K111" i="5"/>
  <c r="K113" i="5" s="1"/>
  <c r="K103" i="5"/>
  <c r="K107" i="5" s="1"/>
  <c r="J74" i="5" l="1"/>
  <c r="J21" i="6"/>
  <c r="J26" i="6" s="1"/>
  <c r="J28" i="6" s="1"/>
  <c r="L7" i="6"/>
  <c r="L19" i="6" s="1"/>
  <c r="L21" i="6" s="1"/>
  <c r="K19" i="6"/>
  <c r="K21" i="6" s="1"/>
  <c r="K23" i="6" s="1"/>
  <c r="N1" i="6"/>
  <c r="M5" i="6"/>
  <c r="L11" i="6"/>
  <c r="L15" i="6" s="1"/>
  <c r="J115" i="5"/>
  <c r="J117" i="5" s="1"/>
  <c r="J77" i="5"/>
  <c r="J79" i="5" s="1"/>
  <c r="L58" i="5"/>
  <c r="K70" i="5"/>
  <c r="K72" i="5" s="1"/>
  <c r="K62" i="5"/>
  <c r="K66" i="5" s="1"/>
  <c r="K115" i="5"/>
  <c r="K117" i="5" s="1"/>
  <c r="L111" i="5"/>
  <c r="L113" i="5" s="1"/>
  <c r="L103" i="5"/>
  <c r="L107" i="5" s="1"/>
  <c r="M99" i="5"/>
  <c r="J23" i="6" l="1"/>
  <c r="K26" i="6"/>
  <c r="K28" i="6" s="1"/>
  <c r="M7" i="6"/>
  <c r="M11" i="6" s="1"/>
  <c r="M15" i="6" s="1"/>
  <c r="O1" i="6"/>
  <c r="N5" i="6"/>
  <c r="L26" i="6"/>
  <c r="L28" i="6" s="1"/>
  <c r="M19" i="6"/>
  <c r="M21" i="6" s="1"/>
  <c r="L23" i="6"/>
  <c r="K74" i="5"/>
  <c r="K77" i="5"/>
  <c r="K79" i="5" s="1"/>
  <c r="L62" i="5"/>
  <c r="L66" i="5" s="1"/>
  <c r="M58" i="5"/>
  <c r="L70" i="5"/>
  <c r="L72" i="5" s="1"/>
  <c r="M111" i="5"/>
  <c r="M113" i="5" s="1"/>
  <c r="M103" i="5"/>
  <c r="M107" i="5" s="1"/>
  <c r="N99" i="5"/>
  <c r="L115" i="5"/>
  <c r="L117" i="5" s="1"/>
  <c r="N7" i="6" l="1"/>
  <c r="N11" i="6" s="1"/>
  <c r="N15" i="6" s="1"/>
  <c r="P1" i="6"/>
  <c r="P5" i="6" s="1"/>
  <c r="O5" i="6"/>
  <c r="M26" i="6"/>
  <c r="M28" i="6" s="1"/>
  <c r="N19" i="6"/>
  <c r="N21" i="6" s="1"/>
  <c r="M23" i="6"/>
  <c r="L74" i="5"/>
  <c r="M70" i="5"/>
  <c r="M72" i="5" s="1"/>
  <c r="M62" i="5"/>
  <c r="M66" i="5" s="1"/>
  <c r="N58" i="5"/>
  <c r="L77" i="5"/>
  <c r="L79" i="5" s="1"/>
  <c r="M115" i="5"/>
  <c r="M117" i="5" s="1"/>
  <c r="O99" i="5"/>
  <c r="P99" i="5" s="1"/>
  <c r="N103" i="5"/>
  <c r="N107" i="5" s="1"/>
  <c r="N111" i="5"/>
  <c r="N113" i="5" s="1"/>
  <c r="O7" i="6" l="1"/>
  <c r="O11" i="6" s="1"/>
  <c r="O15" i="6" s="1"/>
  <c r="N26" i="6"/>
  <c r="N28" i="6" s="1"/>
  <c r="N23" i="6"/>
  <c r="M74" i="5"/>
  <c r="M77" i="5"/>
  <c r="M79" i="5" s="1"/>
  <c r="N70" i="5"/>
  <c r="N72" i="5" s="1"/>
  <c r="O58" i="5"/>
  <c r="N62" i="5"/>
  <c r="N66" i="5" s="1"/>
  <c r="N115" i="5"/>
  <c r="N117" i="5" s="1"/>
  <c r="O111" i="5"/>
  <c r="O113" i="5" s="1"/>
  <c r="O103" i="5"/>
  <c r="O107" i="5" s="1"/>
  <c r="P111" i="5"/>
  <c r="P113" i="5" s="1"/>
  <c r="O19" i="6" l="1"/>
  <c r="O21" i="6" s="1"/>
  <c r="O23" i="6" s="1"/>
  <c r="P7" i="6"/>
  <c r="P11" i="6" s="1"/>
  <c r="P15" i="6" s="1"/>
  <c r="P19" i="6"/>
  <c r="P21" i="6" s="1"/>
  <c r="O26" i="6"/>
  <c r="O28" i="6" s="1"/>
  <c r="N74" i="5"/>
  <c r="N77" i="5"/>
  <c r="N79" i="5" s="1"/>
  <c r="O70" i="5"/>
  <c r="O72" i="5" s="1"/>
  <c r="O62" i="5"/>
  <c r="O66" i="5" s="1"/>
  <c r="P58" i="5"/>
  <c r="O115" i="5"/>
  <c r="O117" i="5" s="1"/>
  <c r="P103" i="5"/>
  <c r="P107" i="5" s="1"/>
  <c r="P26" i="6" l="1"/>
  <c r="P28" i="6" s="1"/>
  <c r="J29" i="6" s="1"/>
  <c r="P23" i="6"/>
  <c r="O74" i="5"/>
  <c r="P62" i="5"/>
  <c r="P66" i="5" s="1"/>
  <c r="P70" i="5"/>
  <c r="P72" i="5" s="1"/>
  <c r="O77" i="5"/>
  <c r="O79" i="5" s="1"/>
  <c r="P115" i="5"/>
  <c r="P117" i="5" s="1"/>
  <c r="N120" i="5" s="1"/>
  <c r="N121" i="5" s="1"/>
  <c r="P74" i="5" l="1"/>
  <c r="N31" i="6"/>
  <c r="N32" i="6" s="1"/>
  <c r="N33" i="6" s="1"/>
  <c r="P77" i="5"/>
  <c r="P79" i="5" s="1"/>
  <c r="J118" i="5"/>
  <c r="N122" i="5" s="1"/>
  <c r="N125" i="5" s="1"/>
  <c r="N127" i="5" s="1"/>
  <c r="N129" i="5" s="1"/>
  <c r="N36" i="6" l="1"/>
  <c r="N38" i="6" s="1"/>
  <c r="H45" i="6" s="1"/>
  <c r="N82" i="5"/>
  <c r="N83" i="5" s="1"/>
  <c r="J80" i="5"/>
  <c r="N40" i="6" l="1"/>
  <c r="N84" i="5"/>
  <c r="N87" i="5" s="1"/>
  <c r="N89" i="5" s="1"/>
  <c r="N91" i="5" s="1"/>
  <c r="J17" i="5"/>
  <c r="O23" i="5"/>
  <c r="P23" i="5" s="1"/>
  <c r="G20" i="4"/>
  <c r="G22" i="4"/>
  <c r="G8" i="4"/>
  <c r="G9" i="4"/>
  <c r="G10" i="4"/>
  <c r="G11" i="4"/>
  <c r="G12" i="4"/>
  <c r="G13" i="4"/>
  <c r="G14" i="4"/>
  <c r="G15" i="4"/>
  <c r="G16" i="4"/>
  <c r="G17" i="4"/>
  <c r="G18" i="4"/>
  <c r="G19" i="4"/>
  <c r="G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7" i="4"/>
  <c r="C38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23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7" i="4"/>
  <c r="K17" i="5" l="1"/>
  <c r="K29" i="5" s="1"/>
  <c r="J29" i="5"/>
  <c r="J31" i="5" s="1"/>
  <c r="J21" i="5"/>
  <c r="J25" i="5" s="1"/>
  <c r="J33" i="5" l="1"/>
  <c r="R19" i="5"/>
  <c r="L17" i="5"/>
  <c r="M17" i="5" s="1"/>
  <c r="M29" i="5" s="1"/>
  <c r="K21" i="5"/>
  <c r="K25" i="5" s="1"/>
  <c r="J36" i="5"/>
  <c r="J38" i="5" s="1"/>
  <c r="M21" i="5" l="1"/>
  <c r="M25" i="5" s="1"/>
  <c r="N17" i="5"/>
  <c r="O17" i="5" s="1"/>
  <c r="P17" i="5" s="1"/>
  <c r="P29" i="5" s="1"/>
  <c r="P31" i="5" s="1"/>
  <c r="L29" i="5"/>
  <c r="L21" i="5"/>
  <c r="L25" i="5" s="1"/>
  <c r="O29" i="5" l="1"/>
  <c r="O31" i="5" s="1"/>
  <c r="O21" i="5"/>
  <c r="O25" i="5" s="1"/>
  <c r="W19" i="5" s="1"/>
  <c r="N29" i="5"/>
  <c r="N21" i="5"/>
  <c r="N25" i="5" s="1"/>
  <c r="P21" i="5"/>
  <c r="P25" i="5" s="1"/>
  <c r="X19" i="5" s="1"/>
  <c r="O33" i="5" l="1"/>
  <c r="P33" i="5"/>
  <c r="O36" i="5"/>
  <c r="O38" i="5" s="1"/>
  <c r="P36" i="5"/>
  <c r="P38" i="5" s="1"/>
  <c r="N41" i="5" l="1"/>
  <c r="N42" i="5" s="1"/>
  <c r="C146" i="4" l="1"/>
  <c r="E146" i="4"/>
  <c r="G116" i="4"/>
  <c r="H116" i="4" s="1"/>
  <c r="G115" i="4"/>
  <c r="H115" i="4"/>
  <c r="H117" i="4"/>
  <c r="H120" i="4"/>
  <c r="C144" i="4" s="1"/>
  <c r="G107" i="4"/>
  <c r="H107" i="4" s="1"/>
  <c r="G108" i="4"/>
  <c r="H108" i="4" s="1"/>
  <c r="G109" i="4"/>
  <c r="H109" i="4" s="1"/>
  <c r="G110" i="4"/>
  <c r="H110" i="4" s="1"/>
  <c r="G111" i="4"/>
  <c r="H111" i="4" s="1"/>
  <c r="G112" i="4"/>
  <c r="H112" i="4" s="1"/>
  <c r="G113" i="4"/>
  <c r="H113" i="4" s="1"/>
  <c r="G114" i="4"/>
  <c r="H114" i="4" s="1"/>
  <c r="G117" i="4"/>
  <c r="G118" i="4"/>
  <c r="H118" i="4" s="1"/>
  <c r="G119" i="4"/>
  <c r="H119" i="4" s="1"/>
  <c r="G120" i="4"/>
  <c r="G106" i="4"/>
  <c r="U106" i="4" a="1"/>
  <c r="U106" i="4" s="1"/>
  <c r="E99" i="4"/>
  <c r="C99" i="4"/>
  <c r="D97" i="4"/>
  <c r="E97" i="4" s="1"/>
  <c r="F97" i="4" s="1"/>
  <c r="G97" i="4" s="1"/>
  <c r="H97" i="4" s="1"/>
  <c r="I97" i="4" s="1"/>
  <c r="O89" i="4"/>
  <c r="R70" i="4"/>
  <c r="R74" i="4"/>
  <c r="E69" i="4"/>
  <c r="E70" i="4"/>
  <c r="E71" i="4"/>
  <c r="E72" i="4"/>
  <c r="E73" i="4"/>
  <c r="R69" i="4" s="1"/>
  <c r="E74" i="4"/>
  <c r="E75" i="4"/>
  <c r="R71" i="4" s="1"/>
  <c r="E76" i="4"/>
  <c r="R72" i="4" s="1"/>
  <c r="E77" i="4"/>
  <c r="R73" i="4" s="1"/>
  <c r="E78" i="4"/>
  <c r="E79" i="4"/>
  <c r="E80" i="4"/>
  <c r="R75" i="4" s="1"/>
  <c r="E81" i="4"/>
  <c r="R76" i="4" s="1"/>
  <c r="E82" i="4"/>
  <c r="R77" i="4" s="1"/>
  <c r="E68" i="4"/>
  <c r="C30" i="2"/>
  <c r="E28" i="2"/>
  <c r="E64" i="1"/>
  <c r="E65" i="1"/>
  <c r="E66" i="1"/>
  <c r="E67" i="1"/>
  <c r="E68" i="1"/>
  <c r="E69" i="1"/>
  <c r="E70" i="1"/>
  <c r="E63" i="1"/>
  <c r="C33" i="1"/>
  <c r="F32" i="1"/>
  <c r="F31" i="1"/>
  <c r="H31" i="1" s="1"/>
  <c r="K27" i="5" l="1"/>
  <c r="K31" i="5" s="1"/>
  <c r="J86" i="4"/>
  <c r="H32" i="1"/>
  <c r="G33" i="1"/>
  <c r="S19" i="5" l="1"/>
  <c r="K33" i="5"/>
  <c r="K36" i="5"/>
  <c r="K38" i="5" s="1"/>
  <c r="L27" i="5"/>
  <c r="L31" i="5" s="1"/>
  <c r="H33" i="1"/>
  <c r="C44" i="1" s="1"/>
  <c r="L33" i="5" l="1"/>
  <c r="T19" i="5"/>
  <c r="L36" i="5"/>
  <c r="L38" i="5" s="1"/>
  <c r="N27" i="5"/>
  <c r="N31" i="5" s="1"/>
  <c r="M27" i="5"/>
  <c r="M31" i="5" s="1"/>
  <c r="F25" i="1"/>
  <c r="D70" i="1"/>
  <c r="E8" i="3"/>
  <c r="E9" i="3"/>
  <c r="E10" i="3"/>
  <c r="E11" i="3"/>
  <c r="E12" i="3"/>
  <c r="E13" i="3"/>
  <c r="E7" i="3"/>
  <c r="E21" i="3"/>
  <c r="E22" i="3"/>
  <c r="E23" i="3"/>
  <c r="E24" i="3"/>
  <c r="E26" i="3"/>
  <c r="E27" i="3"/>
  <c r="E28" i="3"/>
  <c r="E29" i="3"/>
  <c r="E30" i="3"/>
  <c r="E31" i="3"/>
  <c r="E32" i="3"/>
  <c r="E34" i="3"/>
  <c r="E20" i="3"/>
  <c r="U19" i="5" l="1"/>
  <c r="M33" i="5"/>
  <c r="M36" i="5"/>
  <c r="M38" i="5" s="1"/>
  <c r="N33" i="5"/>
  <c r="N36" i="5"/>
  <c r="N38" i="5" s="1"/>
  <c r="J39" i="5" s="1"/>
  <c r="N43" i="5" s="1"/>
  <c r="N46" i="5" s="1"/>
  <c r="N48" i="5" s="1"/>
  <c r="N50" i="5" s="1"/>
  <c r="V19" i="5"/>
  <c r="B13" i="3"/>
  <c r="J36" i="2"/>
  <c r="K36" i="2"/>
  <c r="L36" i="2"/>
  <c r="M36" i="2"/>
  <c r="N36" i="2"/>
  <c r="E35" i="2"/>
  <c r="E36" i="2" s="1"/>
  <c r="F11" i="2"/>
  <c r="D7" i="3" s="1"/>
  <c r="F7" i="3" s="1"/>
  <c r="F12" i="2"/>
  <c r="D35" i="2" s="1"/>
  <c r="D36" i="2" s="1"/>
  <c r="F13" i="2"/>
  <c r="D9" i="3" s="1"/>
  <c r="F9" i="3" s="1"/>
  <c r="F14" i="2"/>
  <c r="D10" i="3" s="1"/>
  <c r="F10" i="3" s="1"/>
  <c r="F15" i="2"/>
  <c r="D11" i="3" s="1"/>
  <c r="F11" i="3" s="1"/>
  <c r="F16" i="2"/>
  <c r="H35" i="2" s="1"/>
  <c r="H36" i="2" s="1"/>
  <c r="F17" i="2"/>
  <c r="D13" i="3" s="1"/>
  <c r="F13" i="3" s="1"/>
  <c r="F10" i="2"/>
  <c r="D6" i="3" s="1"/>
  <c r="F6" i="3" s="1"/>
  <c r="C77" i="1"/>
  <c r="C6" i="3" s="1"/>
  <c r="C7" i="3" s="1"/>
  <c r="F26" i="1"/>
  <c r="C27" i="1"/>
  <c r="G27" i="1" s="1"/>
  <c r="C21" i="1"/>
  <c r="D21" i="1" s="1"/>
  <c r="I35" i="2" l="1"/>
  <c r="I36" i="2" s="1"/>
  <c r="D12" i="3"/>
  <c r="F12" i="3" s="1"/>
  <c r="D8" i="3"/>
  <c r="F8" i="3" s="1"/>
  <c r="C35" i="2"/>
  <c r="C36" i="2" s="1"/>
  <c r="G35" i="2"/>
  <c r="G36" i="2" s="1"/>
  <c r="F35" i="2"/>
  <c r="F36" i="2" s="1"/>
  <c r="G25" i="1"/>
  <c r="H25" i="1" s="1"/>
  <c r="G26" i="1"/>
  <c r="H26" i="1" s="1"/>
  <c r="C8" i="3"/>
  <c r="D19" i="1"/>
  <c r="D20" i="1"/>
  <c r="C38" i="2" l="1"/>
  <c r="C40" i="2" s="1"/>
  <c r="G6" i="3" s="1"/>
  <c r="H27" i="1"/>
  <c r="C37" i="1" s="1"/>
  <c r="C9" i="3"/>
  <c r="G7" i="3" l="1"/>
  <c r="H6" i="3"/>
  <c r="I6" i="3"/>
  <c r="F38" i="1"/>
  <c r="C38" i="1" s="1"/>
  <c r="D63" i="1"/>
  <c r="F63" i="1" s="1"/>
  <c r="C10" i="3"/>
  <c r="G8" i="3" l="1"/>
  <c r="I7" i="3"/>
  <c r="H7" i="3"/>
  <c r="C39" i="1"/>
  <c r="D64" i="1"/>
  <c r="F64" i="1" s="1"/>
  <c r="B7" i="3" s="1"/>
  <c r="B6" i="3"/>
  <c r="J6" i="3" s="1"/>
  <c r="C11" i="3"/>
  <c r="J7" i="3" l="1"/>
  <c r="I8" i="3"/>
  <c r="H8" i="3"/>
  <c r="G9" i="3"/>
  <c r="D65" i="1"/>
  <c r="F65" i="1" s="1"/>
  <c r="B8" i="3" s="1"/>
  <c r="C40" i="1"/>
  <c r="C12" i="3"/>
  <c r="H9" i="3" l="1"/>
  <c r="I9" i="3"/>
  <c r="G10" i="3"/>
  <c r="J8" i="3"/>
  <c r="C41" i="1"/>
  <c r="D66" i="1"/>
  <c r="F66" i="1" s="1"/>
  <c r="B9" i="3" s="1"/>
  <c r="C13" i="3"/>
  <c r="G11" i="3" l="1"/>
  <c r="H10" i="3"/>
  <c r="I10" i="3"/>
  <c r="J9" i="3"/>
  <c r="D67" i="1"/>
  <c r="F67" i="1" s="1"/>
  <c r="B10" i="3" s="1"/>
  <c r="C42" i="1"/>
  <c r="J10" i="3" l="1"/>
  <c r="H11" i="3"/>
  <c r="G12" i="3"/>
  <c r="I11" i="3"/>
  <c r="C43" i="1"/>
  <c r="D68" i="1"/>
  <c r="F68" i="1" s="1"/>
  <c r="B11" i="3" s="1"/>
  <c r="G13" i="3" l="1"/>
  <c r="H12" i="3"/>
  <c r="I12" i="3"/>
  <c r="J11" i="3"/>
  <c r="B12" i="3"/>
  <c r="D69" i="1"/>
  <c r="F69" i="1" s="1"/>
  <c r="J12" i="3" l="1"/>
  <c r="H13" i="3"/>
  <c r="I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<sst xmlns="http://schemas.openxmlformats.org/spreadsheetml/2006/main" count="312" uniqueCount="126">
  <si>
    <t>risk free rate</t>
  </si>
  <si>
    <t>current</t>
  </si>
  <si>
    <t>terminal</t>
  </si>
  <si>
    <t>equity risk premium</t>
  </si>
  <si>
    <t>county/region</t>
  </si>
  <si>
    <t>numbers</t>
  </si>
  <si>
    <t>%</t>
  </si>
  <si>
    <t>north america</t>
  </si>
  <si>
    <t>international</t>
  </si>
  <si>
    <t>total</t>
  </si>
  <si>
    <t>us erp</t>
  </si>
  <si>
    <t>default risk</t>
  </si>
  <si>
    <t>country erp</t>
  </si>
  <si>
    <t>period</t>
  </si>
  <si>
    <t>erp</t>
  </si>
  <si>
    <t>beta</t>
  </si>
  <si>
    <t>cost of equity</t>
  </si>
  <si>
    <t>rf</t>
  </si>
  <si>
    <t>market value of equity</t>
  </si>
  <si>
    <t>shares:</t>
  </si>
  <si>
    <t>price:</t>
  </si>
  <si>
    <t>mill</t>
  </si>
  <si>
    <t>mv of equity</t>
  </si>
  <si>
    <t>cost of debt = rf + x*country default risk + company default risk</t>
  </si>
  <si>
    <t xml:space="preserve">cost of debt = rf+company default risk </t>
  </si>
  <si>
    <t>cost of debt</t>
  </si>
  <si>
    <t>rating</t>
  </si>
  <si>
    <t>Aa</t>
  </si>
  <si>
    <t>% default risk</t>
  </si>
  <si>
    <t>mv of debt</t>
  </si>
  <si>
    <t>year</t>
  </si>
  <si>
    <t>thereafter</t>
  </si>
  <si>
    <t>debt</t>
  </si>
  <si>
    <t>4+8 = 12</t>
  </si>
  <si>
    <t>interest payment</t>
  </si>
  <si>
    <t>present value</t>
  </si>
  <si>
    <t>total debt</t>
  </si>
  <si>
    <t>wacc</t>
  </si>
  <si>
    <t>tax rate</t>
  </si>
  <si>
    <t>market value of debt</t>
  </si>
  <si>
    <t>portion of debt from capital</t>
  </si>
  <si>
    <t>portion of equity from capital</t>
  </si>
  <si>
    <t>income taxes</t>
  </si>
  <si>
    <t>pretax income</t>
  </si>
  <si>
    <r>
      <rPr>
        <b/>
        <sz val="11"/>
        <color theme="1"/>
        <rFont val="Times New Roman"/>
        <family val="1"/>
      </rPr>
      <t xml:space="preserve">x = 0; </t>
    </r>
    <r>
      <rPr>
        <sz val="11"/>
        <color theme="1"/>
        <rFont val="Times New Roman"/>
        <family val="1"/>
      </rPr>
      <t xml:space="preserve"> the usa has a default risk of 0%</t>
    </r>
  </si>
  <si>
    <t>cost of debt after tax</t>
  </si>
  <si>
    <t>weight average</t>
  </si>
  <si>
    <t>Starbucks erp</t>
  </si>
  <si>
    <t>Baa1</t>
  </si>
  <si>
    <t>total present value</t>
  </si>
  <si>
    <t>story</t>
  </si>
  <si>
    <t>market share</t>
  </si>
  <si>
    <t>revenues</t>
  </si>
  <si>
    <t>operating margins</t>
  </si>
  <si>
    <t>quarter revenue</t>
  </si>
  <si>
    <t>operating income</t>
  </si>
  <si>
    <t>story 1</t>
  </si>
  <si>
    <t xml:space="preserve">average of operating margins after firm mature excluding = average of years 2014-2023 excluding 2020 = </t>
  </si>
  <si>
    <t>story 2</t>
  </si>
  <si>
    <t>average industry operating margins</t>
  </si>
  <si>
    <t xml:space="preserve">assumption: </t>
  </si>
  <si>
    <t>assumption:</t>
  </si>
  <si>
    <t>reinvestment</t>
  </si>
  <si>
    <t>bv of equity</t>
  </si>
  <si>
    <t>bv of debt</t>
  </si>
  <si>
    <t>cash</t>
  </si>
  <si>
    <t>invested capital</t>
  </si>
  <si>
    <t>sales to capital ratio</t>
  </si>
  <si>
    <t>median STC ratio for industry = 1.46</t>
  </si>
  <si>
    <t>chg %</t>
  </si>
  <si>
    <t>average year growth excluding corona</t>
  </si>
  <si>
    <t>and post corona =</t>
  </si>
  <si>
    <t>as a mature company starbucks grows about 10% a year</t>
  </si>
  <si>
    <t>num of stores</t>
  </si>
  <si>
    <t>chg in stores</t>
  </si>
  <si>
    <t>chg in revenues</t>
  </si>
  <si>
    <t xml:space="preserve">chg rev/chg stores </t>
  </si>
  <si>
    <t>-</t>
  </si>
  <si>
    <t>% gain (loss)</t>
  </si>
  <si>
    <t>current price</t>
  </si>
  <si>
    <t>Fair Share Price</t>
  </si>
  <si>
    <t>Shares</t>
  </si>
  <si>
    <t>Equity Value</t>
  </si>
  <si>
    <t>- Debt</t>
  </si>
  <si>
    <t>+ Cash</t>
  </si>
  <si>
    <t>Enterprise Value</t>
  </si>
  <si>
    <t>Present Value of Terminal Value</t>
  </si>
  <si>
    <t>Terminal Value</t>
  </si>
  <si>
    <t>stable growth rate =</t>
  </si>
  <si>
    <t>TOTAL =</t>
  </si>
  <si>
    <t>Present Value of FCFF</t>
  </si>
  <si>
    <t>WACC</t>
  </si>
  <si>
    <t>Unlevered FCFF</t>
  </si>
  <si>
    <t>FCFF</t>
  </si>
  <si>
    <t>Reinvestment</t>
  </si>
  <si>
    <t>Sales to capital ratio</t>
  </si>
  <si>
    <t>EBIT after tax</t>
  </si>
  <si>
    <t>Tax rate</t>
  </si>
  <si>
    <t>EBIT</t>
  </si>
  <si>
    <t>Operating margins</t>
  </si>
  <si>
    <t>Revenues</t>
  </si>
  <si>
    <t>Growth rate</t>
  </si>
  <si>
    <t>fiscal 2024</t>
  </si>
  <si>
    <t>DCF</t>
  </si>
  <si>
    <t>analyst estimates of growth</t>
  </si>
  <si>
    <t>x</t>
  </si>
  <si>
    <t>Date</t>
  </si>
  <si>
    <t>current year:</t>
  </si>
  <si>
    <t>Ticker</t>
  </si>
  <si>
    <t>scenerio 1</t>
  </si>
  <si>
    <t>SBUX</t>
  </si>
  <si>
    <t>06/21/2024</t>
  </si>
  <si>
    <t xml:space="preserve">     SBUX</t>
  </si>
  <si>
    <t>scenerio 2</t>
  </si>
  <si>
    <t>current assets</t>
  </si>
  <si>
    <t>current liabilities</t>
  </si>
  <si>
    <t>non cash ca</t>
  </si>
  <si>
    <t>non cash wc</t>
  </si>
  <si>
    <t xml:space="preserve">chg in nc wc </t>
  </si>
  <si>
    <t>chg in PP&amp;E</t>
  </si>
  <si>
    <t>after tax op inc</t>
  </si>
  <si>
    <t>operating inc</t>
  </si>
  <si>
    <t>reinvestment rate</t>
  </si>
  <si>
    <t>avg stc</t>
  </si>
  <si>
    <t>value</t>
  </si>
  <si>
    <t>avg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</si>
</sst>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 * #,##0.00_ ;_ * \-#,##0.00_ ;_ * &quot;-&quot;??_ ;_ @_ "/>
    <numFmt numFmtId="164" formatCode="0.000%"/>
    <numFmt numFmtId="165" formatCode="_ * #,##0_ ;_ * \-#,##0_ ;_ * &quot;-&quot;??_ ;_ @_ "/>
    <numFmt numFmtId="166" formatCode="0.0000%"/>
    <numFmt numFmtId="167" formatCode="#,##0.0"/>
    <numFmt numFmtId="168" formatCode="_-[$$-409]* #,##0.00_ ;_-[$$-409]* \-#,##0.00\ ;_-[$$-409]* &quot;-&quot;??_ ;_-@_ "/>
    <numFmt numFmtId="169" formatCode="0.00000%"/>
    <numFmt numFmtId="170" formatCode="_-[$$-409]* #,##0_ ;_-[$$-409]* \-#,##0\ ;_-[$$-409]* &quot;-&quot;??_ ;_-@_ "/>
    <numFmt numFmtId="171" formatCode="0.0%"/>
    <numFmt numFmtId="172" formatCode="_([$$-409]* #,##0.00_);_([$$-409]* \(#,##0.00\);_([$$-409]* &quot;-&quot;??_);_(@_)"/>
    <numFmt numFmtId="173" formatCode="&quot;$&quot;#,##0"/>
    <numFmt numFmtId="174" formatCode="_-[$$-409]* #,##0.0_ ;_-[$$-409]* \-#,##0.0\ ;_-[$$-409]* &quot;-&quot;??_ ;_-@_ "/>
    <numFmt numFmtId="175" formatCode="&quot;$&quot;#,##0_);[Red]\(&quot;$&quot;#,##0\)"/>
    <numFmt numFmtId="176" formatCode="&quot;$&quot;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444444"/>
      <name val="Times New Roman"/>
      <family val="1"/>
    </font>
    <font>
      <sz val="11"/>
      <color rgb="FF444444"/>
      <name val="Roboto"/>
    </font>
    <font>
      <sz val="11"/>
      <color theme="0"/>
      <name val="Roboto"/>
    </font>
    <font>
      <sz val="11"/>
      <name val="Times New Roman"/>
      <family val="1"/>
    </font>
    <font>
      <b/>
      <sz val="11"/>
      <color rgb="FF00B050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sz val="11"/>
      <color rgb="FF00B050"/>
      <name val="Calibri Light"/>
      <family val="1"/>
      <scheme val="major"/>
    </font>
    <font>
      <sz val="11"/>
      <color rgb="FFFF0000"/>
      <name val="Calibri Light"/>
      <family val="1"/>
      <scheme val="major"/>
    </font>
    <font>
      <b/>
      <sz val="11"/>
      <color theme="0"/>
      <name val="Calibri Light"/>
      <family val="1"/>
      <scheme val="major"/>
    </font>
    <font>
      <sz val="1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rgb="FF00B050"/>
      <name val="Times New Roman"/>
      <family val="1"/>
    </font>
    <font>
      <b/>
      <sz val="11"/>
      <color theme="0"/>
      <name val="Times New Roman"/>
      <family val="1"/>
    </font>
    <font>
      <sz val="11"/>
      <color rgb="FF7030A0"/>
      <name val="Times New Roman"/>
      <family val="1"/>
    </font>
    <font>
      <i/>
      <sz val="11"/>
      <color theme="1"/>
      <name val="Times New Roman"/>
      <family val="1"/>
    </font>
    <font>
      <sz val="11"/>
      <color rgb="FF00B050"/>
      <name val="Times New Roman"/>
      <family val="1"/>
    </font>
    <font>
      <i/>
      <sz val="11"/>
      <color rgb="FF00B050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4" fontId="4" fillId="0" borderId="0" xfId="2" applyNumberFormat="1" applyFont="1"/>
    <xf numFmtId="0" fontId="4" fillId="0" borderId="1" xfId="0" applyFont="1" applyBorder="1"/>
    <xf numFmtId="164" fontId="4" fillId="0" borderId="1" xfId="2" applyNumberFormat="1" applyFont="1" applyBorder="1"/>
    <xf numFmtId="0" fontId="4" fillId="0" borderId="1" xfId="0" applyFont="1" applyBorder="1" applyAlignment="1">
      <alignment horizontal="center"/>
    </xf>
    <xf numFmtId="165" fontId="4" fillId="0" borderId="1" xfId="1" applyNumberFormat="1" applyFont="1" applyBorder="1"/>
    <xf numFmtId="10" fontId="4" fillId="0" borderId="1" xfId="2" applyNumberFormat="1" applyFont="1" applyBorder="1"/>
    <xf numFmtId="165" fontId="4" fillId="0" borderId="1" xfId="0" applyNumberFormat="1" applyFont="1" applyBorder="1"/>
    <xf numFmtId="10" fontId="4" fillId="0" borderId="1" xfId="0" applyNumberFormat="1" applyFont="1" applyBorder="1"/>
    <xf numFmtId="9" fontId="4" fillId="0" borderId="1" xfId="0" applyNumberFormat="1" applyFont="1" applyBorder="1"/>
    <xf numFmtId="10" fontId="4" fillId="2" borderId="1" xfId="0" applyNumberFormat="1" applyFont="1" applyFill="1" applyBorder="1"/>
    <xf numFmtId="164" fontId="4" fillId="0" borderId="1" xfId="0" applyNumberFormat="1" applyFont="1" applyBorder="1"/>
    <xf numFmtId="168" fontId="4" fillId="0" borderId="0" xfId="0" applyNumberFormat="1" applyFont="1"/>
    <xf numFmtId="167" fontId="4" fillId="0" borderId="0" xfId="0" applyNumberFormat="1" applyFont="1"/>
    <xf numFmtId="0" fontId="6" fillId="0" borderId="0" xfId="0" applyFont="1"/>
    <xf numFmtId="166" fontId="4" fillId="0" borderId="1" xfId="0" applyNumberFormat="1" applyFont="1" applyBorder="1"/>
    <xf numFmtId="9" fontId="4" fillId="0" borderId="0" xfId="2" applyFont="1"/>
    <xf numFmtId="0" fontId="4" fillId="3" borderId="0" xfId="0" applyFont="1" applyFill="1"/>
    <xf numFmtId="168" fontId="4" fillId="3" borderId="0" xfId="0" applyNumberFormat="1" applyFont="1" applyFill="1"/>
    <xf numFmtId="0" fontId="4" fillId="0" borderId="0" xfId="0" applyFont="1" applyAlignment="1">
      <alignment horizontal="center"/>
    </xf>
    <xf numFmtId="166" fontId="4" fillId="0" borderId="1" xfId="2" applyNumberFormat="1" applyFont="1" applyBorder="1"/>
    <xf numFmtId="168" fontId="4" fillId="0" borderId="1" xfId="0" applyNumberFormat="1" applyFont="1" applyBorder="1"/>
    <xf numFmtId="9" fontId="4" fillId="0" borderId="1" xfId="2" applyFont="1" applyBorder="1"/>
    <xf numFmtId="0" fontId="4" fillId="0" borderId="3" xfId="0" applyFont="1" applyBorder="1" applyAlignment="1">
      <alignment horizontal="center"/>
    </xf>
    <xf numFmtId="10" fontId="4" fillId="0" borderId="3" xfId="2" applyNumberFormat="1" applyFont="1" applyBorder="1"/>
    <xf numFmtId="0" fontId="4" fillId="0" borderId="7" xfId="0" applyFont="1" applyBorder="1"/>
    <xf numFmtId="0" fontId="4" fillId="4" borderId="2" xfId="0" applyFont="1" applyFill="1" applyBorder="1" applyAlignment="1">
      <alignment horizontal="center"/>
    </xf>
    <xf numFmtId="169" fontId="4" fillId="2" borderId="6" xfId="0" applyNumberFormat="1" applyFont="1" applyFill="1" applyBorder="1"/>
    <xf numFmtId="169" fontId="4" fillId="2" borderId="4" xfId="0" applyNumberFormat="1" applyFont="1" applyFill="1" applyBorder="1"/>
    <xf numFmtId="169" fontId="4" fillId="2" borderId="5" xfId="0" applyNumberFormat="1" applyFont="1" applyFill="1" applyBorder="1"/>
    <xf numFmtId="0" fontId="7" fillId="5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/>
    <xf numFmtId="0" fontId="4" fillId="2" borderId="1" xfId="0" applyFont="1" applyFill="1" applyBorder="1"/>
    <xf numFmtId="0" fontId="4" fillId="5" borderId="1" xfId="0" applyFont="1" applyFill="1" applyBorder="1"/>
    <xf numFmtId="164" fontId="4" fillId="2" borderId="6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6" fontId="4" fillId="2" borderId="1" xfId="0" applyNumberFormat="1" applyFont="1" applyFill="1" applyBorder="1"/>
    <xf numFmtId="168" fontId="4" fillId="2" borderId="0" xfId="0" applyNumberFormat="1" applyFont="1" applyFill="1"/>
    <xf numFmtId="170" fontId="4" fillId="0" borderId="0" xfId="0" applyNumberFormat="1" applyFont="1"/>
    <xf numFmtId="14" fontId="4" fillId="0" borderId="0" xfId="0" applyNumberFormat="1" applyFont="1"/>
    <xf numFmtId="170" fontId="0" fillId="0" borderId="0" xfId="0" applyNumberFormat="1"/>
    <xf numFmtId="14" fontId="0" fillId="0" borderId="0" xfId="0" applyNumberFormat="1"/>
    <xf numFmtId="14" fontId="8" fillId="6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10" fontId="4" fillId="0" borderId="0" xfId="2" applyNumberFormat="1" applyFont="1"/>
    <xf numFmtId="10" fontId="8" fillId="6" borderId="0" xfId="0" applyNumberFormat="1" applyFont="1" applyFill="1" applyAlignment="1">
      <alignment horizontal="center" vertical="center" wrapText="1"/>
    </xf>
    <xf numFmtId="10" fontId="4" fillId="0" borderId="0" xfId="0" applyNumberFormat="1" applyFont="1"/>
    <xf numFmtId="9" fontId="4" fillId="0" borderId="0" xfId="0" applyNumberFormat="1" applyFont="1"/>
    <xf numFmtId="10" fontId="9" fillId="6" borderId="0" xfId="0" applyNumberFormat="1" applyFont="1" applyFill="1" applyAlignment="1">
      <alignment horizontal="center" vertical="center" wrapText="1"/>
    </xf>
    <xf numFmtId="0" fontId="10" fillId="0" borderId="0" xfId="0" applyFont="1"/>
    <xf numFmtId="2" fontId="4" fillId="0" borderId="0" xfId="0" applyNumberFormat="1" applyFont="1"/>
    <xf numFmtId="2" fontId="4" fillId="0" borderId="1" xfId="0" applyNumberFormat="1" applyFont="1" applyBorder="1"/>
    <xf numFmtId="171" fontId="4" fillId="0" borderId="0" xfId="2" applyNumberFormat="1" applyFont="1"/>
    <xf numFmtId="171" fontId="0" fillId="0" borderId="0" xfId="2" applyNumberFormat="1" applyFont="1"/>
    <xf numFmtId="10" fontId="0" fillId="0" borderId="0" xfId="2" applyNumberFormat="1" applyFont="1"/>
    <xf numFmtId="10" fontId="4" fillId="2" borderId="0" xfId="0" applyNumberFormat="1" applyFont="1" applyFill="1"/>
    <xf numFmtId="165" fontId="4" fillId="0" borderId="0" xfId="1" applyNumberFormat="1" applyFont="1"/>
    <xf numFmtId="165" fontId="0" fillId="0" borderId="0" xfId="0" applyNumberFormat="1"/>
    <xf numFmtId="0" fontId="0" fillId="5" borderId="0" xfId="0" applyFill="1"/>
    <xf numFmtId="0" fontId="2" fillId="5" borderId="0" xfId="0" applyFont="1" applyFill="1"/>
    <xf numFmtId="10" fontId="11" fillId="5" borderId="0" xfId="2" applyNumberFormat="1" applyFont="1" applyFill="1" applyBorder="1"/>
    <xf numFmtId="0" fontId="12" fillId="5" borderId="0" xfId="0" applyFont="1" applyFill="1"/>
    <xf numFmtId="0" fontId="16" fillId="5" borderId="0" xfId="0" applyFont="1" applyFill="1" applyAlignment="1">
      <alignment horizontal="center" vertical="center"/>
    </xf>
    <xf numFmtId="168" fontId="14" fillId="0" borderId="0" xfId="0" applyNumberFormat="1" applyFont="1"/>
    <xf numFmtId="0" fontId="13" fillId="0" borderId="0" xfId="0" applyFont="1" applyAlignment="1">
      <alignment horizontal="center" vertical="center"/>
    </xf>
    <xf numFmtId="168" fontId="15" fillId="0" borderId="0" xfId="0" applyNumberFormat="1" applyFont="1"/>
    <xf numFmtId="10" fontId="2" fillId="5" borderId="0" xfId="0" applyNumberFormat="1" applyFont="1" applyFill="1"/>
    <xf numFmtId="9" fontId="12" fillId="5" borderId="0" xfId="0" applyNumberFormat="1" applyFont="1" applyFill="1" applyAlignment="1">
      <alignment horizontal="center"/>
    </xf>
    <xf numFmtId="10" fontId="14" fillId="0" borderId="0" xfId="2" applyNumberFormat="1" applyFont="1" applyBorder="1"/>
    <xf numFmtId="9" fontId="2" fillId="5" borderId="0" xfId="2" applyFont="1" applyFill="1"/>
    <xf numFmtId="171" fontId="0" fillId="0" borderId="0" xfId="0" applyNumberFormat="1"/>
    <xf numFmtId="0" fontId="17" fillId="5" borderId="0" xfId="0" applyFont="1" applyFill="1"/>
    <xf numFmtId="171" fontId="17" fillId="5" borderId="0" xfId="2" applyNumberFormat="1" applyFont="1" applyFill="1"/>
    <xf numFmtId="175" fontId="17" fillId="5" borderId="0" xfId="0" applyNumberFormat="1" applyFont="1" applyFill="1"/>
    <xf numFmtId="3" fontId="17" fillId="5" borderId="0" xfId="0" applyNumberFormat="1" applyFont="1" applyFill="1"/>
    <xf numFmtId="3" fontId="0" fillId="0" borderId="0" xfId="0" applyNumberFormat="1"/>
    <xf numFmtId="1" fontId="0" fillId="0" borderId="0" xfId="0" applyNumberFormat="1"/>
    <xf numFmtId="0" fontId="0" fillId="0" borderId="9" xfId="0" applyBorder="1"/>
    <xf numFmtId="0" fontId="4" fillId="0" borderId="9" xfId="0" applyFont="1" applyBorder="1"/>
    <xf numFmtId="0" fontId="18" fillId="0" borderId="9" xfId="0" applyFont="1" applyBorder="1"/>
    <xf numFmtId="0" fontId="6" fillId="8" borderId="0" xfId="0" applyFont="1" applyFill="1"/>
    <xf numFmtId="0" fontId="4" fillId="8" borderId="0" xfId="0" applyFont="1" applyFill="1"/>
    <xf numFmtId="0" fontId="4" fillId="9" borderId="17" xfId="0" applyFont="1" applyFill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0" fontId="4" fillId="0" borderId="18" xfId="0" applyFont="1" applyBorder="1" applyAlignment="1">
      <alignment horizontal="center"/>
    </xf>
    <xf numFmtId="172" fontId="4" fillId="0" borderId="0" xfId="0" applyNumberFormat="1" applyFont="1"/>
    <xf numFmtId="14" fontId="4" fillId="9" borderId="17" xfId="0" applyNumberFormat="1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20" fillId="7" borderId="0" xfId="0" applyFont="1" applyFill="1"/>
    <xf numFmtId="0" fontId="4" fillId="7" borderId="0" xfId="0" applyFont="1" applyFill="1"/>
    <xf numFmtId="0" fontId="4" fillId="5" borderId="0" xfId="0" applyFont="1" applyFill="1"/>
    <xf numFmtId="171" fontId="4" fillId="5" borderId="0" xfId="0" applyNumberFormat="1" applyFont="1" applyFill="1" applyAlignment="1">
      <alignment horizontal="center"/>
    </xf>
    <xf numFmtId="0" fontId="20" fillId="7" borderId="0" xfId="0" applyFont="1" applyFill="1" applyAlignment="1">
      <alignment horizontal="center" vertical="center"/>
    </xf>
    <xf numFmtId="3" fontId="21" fillId="0" borderId="0" xfId="0" applyNumberFormat="1" applyFont="1"/>
    <xf numFmtId="3" fontId="21" fillId="0" borderId="13" xfId="0" applyNumberFormat="1" applyFont="1" applyBorder="1"/>
    <xf numFmtId="3" fontId="10" fillId="0" borderId="0" xfId="0" applyNumberFormat="1" applyFont="1"/>
    <xf numFmtId="0" fontId="22" fillId="0" borderId="0" xfId="0" applyFont="1"/>
    <xf numFmtId="171" fontId="22" fillId="0" borderId="0" xfId="2" applyNumberFormat="1" applyFont="1"/>
    <xf numFmtId="10" fontId="22" fillId="0" borderId="13" xfId="2" applyNumberFormat="1" applyFont="1" applyBorder="1"/>
    <xf numFmtId="10" fontId="22" fillId="0" borderId="0" xfId="2" applyNumberFormat="1" applyFont="1" applyFill="1" applyBorder="1"/>
    <xf numFmtId="0" fontId="10" fillId="5" borderId="0" xfId="0" applyFont="1" applyFill="1"/>
    <xf numFmtId="0" fontId="4" fillId="0" borderId="13" xfId="0" applyFont="1" applyBorder="1"/>
    <xf numFmtId="0" fontId="23" fillId="0" borderId="0" xfId="0" applyFont="1"/>
    <xf numFmtId="168" fontId="23" fillId="0" borderId="13" xfId="0" applyNumberFormat="1" applyFont="1" applyBorder="1"/>
    <xf numFmtId="174" fontId="23" fillId="0" borderId="0" xfId="0" applyNumberFormat="1" applyFont="1"/>
    <xf numFmtId="3" fontId="4" fillId="0" borderId="0" xfId="0" applyNumberFormat="1" applyFont="1"/>
    <xf numFmtId="168" fontId="24" fillId="0" borderId="13" xfId="2" applyNumberFormat="1" applyFont="1" applyBorder="1"/>
    <xf numFmtId="168" fontId="24" fillId="0" borderId="0" xfId="2" applyNumberFormat="1" applyFont="1" applyFill="1" applyBorder="1"/>
    <xf numFmtId="168" fontId="23" fillId="5" borderId="0" xfId="0" applyNumberFormat="1" applyFont="1" applyFill="1"/>
    <xf numFmtId="10" fontId="23" fillId="0" borderId="13" xfId="2" applyNumberFormat="1" applyFont="1" applyBorder="1"/>
    <xf numFmtId="10" fontId="23" fillId="0" borderId="0" xfId="2" applyNumberFormat="1" applyFont="1"/>
    <xf numFmtId="168" fontId="23" fillId="0" borderId="0" xfId="0" applyNumberFormat="1" applyFont="1"/>
    <xf numFmtId="168" fontId="23" fillId="0" borderId="14" xfId="0" applyNumberFormat="1" applyFont="1" applyBorder="1"/>
    <xf numFmtId="9" fontId="4" fillId="0" borderId="13" xfId="0" applyNumberFormat="1" applyFont="1" applyBorder="1"/>
    <xf numFmtId="10" fontId="4" fillId="5" borderId="0" xfId="0" applyNumberFormat="1" applyFont="1" applyFill="1"/>
    <xf numFmtId="168" fontId="6" fillId="0" borderId="0" xfId="0" applyNumberFormat="1" applyFont="1"/>
    <xf numFmtId="168" fontId="22" fillId="0" borderId="0" xfId="0" applyNumberFormat="1" applyFont="1"/>
    <xf numFmtId="168" fontId="4" fillId="0" borderId="13" xfId="0" applyNumberFormat="1" applyFont="1" applyBorder="1"/>
    <xf numFmtId="168" fontId="4" fillId="5" borderId="0" xfId="0" applyNumberFormat="1" applyFont="1" applyFill="1"/>
    <xf numFmtId="168" fontId="25" fillId="0" borderId="0" xfId="0" applyNumberFormat="1" applyFont="1"/>
    <xf numFmtId="168" fontId="21" fillId="0" borderId="0" xfId="0" applyNumberFormat="1" applyFont="1"/>
    <xf numFmtId="168" fontId="21" fillId="0" borderId="13" xfId="0" applyNumberFormat="1" applyFont="1" applyBorder="1"/>
    <xf numFmtId="168" fontId="26" fillId="0" borderId="0" xfId="0" applyNumberFormat="1" applyFont="1"/>
    <xf numFmtId="0" fontId="10" fillId="0" borderId="0" xfId="0" applyFont="1" applyAlignment="1">
      <alignment horizontal="center" vertical="center"/>
    </xf>
    <xf numFmtId="0" fontId="6" fillId="0" borderId="1" xfId="0" applyFont="1" applyBorder="1"/>
    <xf numFmtId="168" fontId="23" fillId="0" borderId="1" xfId="0" applyNumberFormat="1" applyFont="1" applyBorder="1"/>
    <xf numFmtId="164" fontId="6" fillId="5" borderId="1" xfId="2" applyNumberFormat="1" applyFont="1" applyFill="1" applyBorder="1" applyAlignment="1"/>
    <xf numFmtId="164" fontId="6" fillId="5" borderId="1" xfId="0" applyNumberFormat="1" applyFont="1" applyFill="1" applyBorder="1" applyAlignment="1">
      <alignment horizontal="center"/>
    </xf>
    <xf numFmtId="9" fontId="6" fillId="5" borderId="1" xfId="0" applyNumberFormat="1" applyFont="1" applyFill="1" applyBorder="1" applyAlignment="1">
      <alignment horizontal="center"/>
    </xf>
    <xf numFmtId="0" fontId="6" fillId="0" borderId="11" xfId="0" applyFont="1" applyBorder="1"/>
    <xf numFmtId="168" fontId="4" fillId="0" borderId="10" xfId="0" applyNumberFormat="1" applyFont="1" applyBorder="1"/>
    <xf numFmtId="10" fontId="27" fillId="0" borderId="0" xfId="0" applyNumberFormat="1" applyFont="1"/>
    <xf numFmtId="168" fontId="10" fillId="0" borderId="0" xfId="0" applyNumberFormat="1" applyFont="1"/>
    <xf numFmtId="168" fontId="10" fillId="0" borderId="9" xfId="0" applyNumberFormat="1" applyFont="1" applyBorder="1"/>
    <xf numFmtId="168" fontId="28" fillId="0" borderId="0" xfId="0" applyNumberFormat="1" applyFont="1"/>
    <xf numFmtId="0" fontId="4" fillId="0" borderId="0" xfId="0" quotePrefix="1" applyFont="1"/>
    <xf numFmtId="0" fontId="4" fillId="0" borderId="9" xfId="0" quotePrefix="1" applyFont="1" applyBorder="1"/>
    <xf numFmtId="37" fontId="28" fillId="0" borderId="0" xfId="0" applyNumberFormat="1" applyFont="1"/>
    <xf numFmtId="172" fontId="27" fillId="0" borderId="0" xfId="0" applyNumberFormat="1" applyFont="1"/>
    <xf numFmtId="0" fontId="4" fillId="0" borderId="15" xfId="0" applyFont="1" applyBorder="1"/>
    <xf numFmtId="0" fontId="20" fillId="5" borderId="0" xfId="0" applyFont="1" applyFill="1" applyAlignment="1">
      <alignment horizontal="center" vertical="center"/>
    </xf>
    <xf numFmtId="9" fontId="4" fillId="5" borderId="0" xfId="2" applyFont="1" applyFill="1"/>
    <xf numFmtId="10" fontId="23" fillId="0" borderId="0" xfId="2" applyNumberFormat="1" applyFont="1" applyBorder="1"/>
    <xf numFmtId="9" fontId="6" fillId="5" borderId="0" xfId="0" applyNumberFormat="1" applyFont="1" applyFill="1" applyAlignment="1">
      <alignment horizontal="center"/>
    </xf>
    <xf numFmtId="0" fontId="4" fillId="5" borderId="15" xfId="0" applyFont="1" applyFill="1" applyBorder="1"/>
    <xf numFmtId="0" fontId="6" fillId="5" borderId="0" xfId="0" applyFont="1" applyFill="1"/>
    <xf numFmtId="0" fontId="20" fillId="5" borderId="0" xfId="0" applyFont="1" applyFill="1"/>
    <xf numFmtId="3" fontId="21" fillId="5" borderId="0" xfId="0" applyNumberFormat="1" applyFont="1" applyFill="1"/>
    <xf numFmtId="3" fontId="10" fillId="5" borderId="0" xfId="0" applyNumberFormat="1" applyFont="1" applyFill="1"/>
    <xf numFmtId="0" fontId="22" fillId="5" borderId="0" xfId="0" applyFont="1" applyFill="1"/>
    <xf numFmtId="171" fontId="22" fillId="5" borderId="0" xfId="2" applyNumberFormat="1" applyFont="1" applyFill="1" applyBorder="1"/>
    <xf numFmtId="10" fontId="22" fillId="5" borderId="0" xfId="2" applyNumberFormat="1" applyFont="1" applyFill="1" applyBorder="1"/>
    <xf numFmtId="0" fontId="23" fillId="5" borderId="0" xfId="0" applyFont="1" applyFill="1"/>
    <xf numFmtId="174" fontId="23" fillId="5" borderId="0" xfId="0" applyNumberFormat="1" applyFont="1" applyFill="1"/>
    <xf numFmtId="168" fontId="24" fillId="5" borderId="0" xfId="2" applyNumberFormat="1" applyFont="1" applyFill="1" applyBorder="1"/>
    <xf numFmtId="10" fontId="23" fillId="5" borderId="0" xfId="2" applyNumberFormat="1" applyFont="1" applyFill="1" applyBorder="1"/>
    <xf numFmtId="9" fontId="4" fillId="5" borderId="0" xfId="0" applyNumberFormat="1" applyFont="1" applyFill="1"/>
    <xf numFmtId="168" fontId="6" fillId="5" borderId="0" xfId="0" applyNumberFormat="1" applyFont="1" applyFill="1"/>
    <xf numFmtId="168" fontId="22" fillId="5" borderId="0" xfId="0" applyNumberFormat="1" applyFont="1" applyFill="1"/>
    <xf numFmtId="168" fontId="21" fillId="5" borderId="0" xfId="0" applyNumberFormat="1" applyFont="1" applyFill="1"/>
    <xf numFmtId="168" fontId="26" fillId="5" borderId="0" xfId="0" applyNumberFormat="1" applyFont="1" applyFill="1"/>
    <xf numFmtId="0" fontId="10" fillId="5" borderId="0" xfId="0" applyFont="1" applyFill="1" applyAlignment="1">
      <alignment horizontal="center" vertical="center"/>
    </xf>
    <xf numFmtId="10" fontId="6" fillId="5" borderId="0" xfId="2" applyNumberFormat="1" applyFont="1" applyFill="1" applyBorder="1" applyAlignment="1"/>
    <xf numFmtId="10" fontId="27" fillId="5" borderId="0" xfId="0" applyNumberFormat="1" applyFont="1" applyFill="1"/>
    <xf numFmtId="14" fontId="4" fillId="5" borderId="0" xfId="0" applyNumberFormat="1" applyFont="1" applyFill="1"/>
    <xf numFmtId="168" fontId="10" fillId="5" borderId="0" xfId="0" applyNumberFormat="1" applyFont="1" applyFill="1"/>
    <xf numFmtId="168" fontId="28" fillId="5" borderId="0" xfId="0" applyNumberFormat="1" applyFont="1" applyFill="1"/>
    <xf numFmtId="0" fontId="4" fillId="5" borderId="0" xfId="0" quotePrefix="1" applyFont="1" applyFill="1"/>
    <xf numFmtId="173" fontId="4" fillId="5" borderId="0" xfId="0" applyNumberFormat="1" applyFont="1" applyFill="1" applyAlignment="1">
      <alignment horizontal="right"/>
    </xf>
    <xf numFmtId="37" fontId="28" fillId="5" borderId="0" xfId="0" applyNumberFormat="1" applyFont="1" applyFill="1"/>
    <xf numFmtId="3" fontId="4" fillId="5" borderId="0" xfId="0" applyNumberFormat="1" applyFont="1" applyFill="1" applyAlignment="1">
      <alignment horizontal="right"/>
    </xf>
    <xf numFmtId="172" fontId="27" fillId="5" borderId="0" xfId="0" applyNumberFormat="1" applyFont="1" applyFill="1"/>
    <xf numFmtId="0" fontId="19" fillId="0" borderId="0" xfId="0" applyFont="1" applyAlignment="1">
      <alignment vertical="center"/>
    </xf>
    <xf numFmtId="0" fontId="4" fillId="5" borderId="0" xfId="0" applyFont="1" applyFill="1" applyAlignment="1">
      <alignment horizontal="center"/>
    </xf>
    <xf numFmtId="169" fontId="4" fillId="5" borderId="0" xfId="0" applyNumberFormat="1" applyFont="1" applyFill="1"/>
    <xf numFmtId="4" fontId="4" fillId="0" borderId="0" xfId="0" applyNumberFormat="1" applyFont="1"/>
    <xf numFmtId="10" fontId="29" fillId="0" borderId="2" xfId="2" applyNumberFormat="1" applyFont="1" applyBorder="1"/>
    <xf numFmtId="0" fontId="8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right" vertical="center" wrapText="1"/>
    </xf>
    <xf numFmtId="168" fontId="0" fillId="0" borderId="0" xfId="0" applyNumberFormat="1"/>
    <xf numFmtId="9" fontId="0" fillId="0" borderId="0" xfId="2" applyFont="1"/>
    <xf numFmtId="170" fontId="26" fillId="0" borderId="0" xfId="0" applyNumberFormat="1" applyFont="1"/>
    <xf numFmtId="9" fontId="0" fillId="0" borderId="0" xfId="0" applyNumberFormat="1"/>
    <xf numFmtId="0" fontId="30" fillId="0" borderId="0" xfId="0" applyFont="1"/>
    <xf numFmtId="9" fontId="30" fillId="0" borderId="0" xfId="0" applyNumberFormat="1" applyFont="1"/>
    <xf numFmtId="172" fontId="0" fillId="0" borderId="0" xfId="0" applyNumberFormat="1"/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70" fontId="4" fillId="0" borderId="1" xfId="0" applyNumberFormat="1" applyFont="1" applyBorder="1"/>
    <xf numFmtId="170" fontId="10" fillId="6" borderId="1" xfId="0" applyNumberFormat="1" applyFont="1" applyFill="1" applyBorder="1" applyAlignment="1">
      <alignment horizontal="center" vertical="center" wrapText="1"/>
    </xf>
    <xf numFmtId="170" fontId="0" fillId="0" borderId="1" xfId="0" applyNumberFormat="1" applyBorder="1"/>
    <xf numFmtId="170" fontId="0" fillId="0" borderId="3" xfId="0" applyNumberFormat="1" applyBorder="1"/>
    <xf numFmtId="0" fontId="6" fillId="0" borderId="19" xfId="0" applyFont="1" applyBorder="1"/>
    <xf numFmtId="2" fontId="4" fillId="0" borderId="4" xfId="0" applyNumberFormat="1" applyFont="1" applyBorder="1"/>
    <xf numFmtId="2" fontId="4" fillId="0" borderId="5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equity!$F$62</c:f>
              <c:strCache>
                <c:ptCount val="1"/>
                <c:pt idx="0">
                  <c:v>cost of equity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equity!$B$63:$B$70</c:f>
              <c:strCache>
                <c:ptCount val="8"/>
                <c:pt idx="0">
                  <c:v>current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terminal</c:v>
                </c:pt>
              </c:strCache>
            </c:strRef>
          </c:cat>
          <c:val>
            <c:numRef>
              <c:f>equity!$F$63:$F$70</c:f>
              <c:numCache>
                <c:formatCode>0.000%</c:formatCode>
                <c:ptCount val="8"/>
                <c:pt idx="0">
                  <c:v>0.10456562624883987</c:v>
                </c:pt>
                <c:pt idx="1">
                  <c:v>0.11086415404633218</c:v>
                </c:pt>
                <c:pt idx="2">
                  <c:v>0.10697249564157157</c:v>
                </c:pt>
                <c:pt idx="3">
                  <c:v>0.10309065103455806</c:v>
                </c:pt>
                <c:pt idx="4">
                  <c:v>9.921862022529164E-2</c:v>
                </c:pt>
                <c:pt idx="5">
                  <c:v>9.4709310112645828E-2</c:v>
                </c:pt>
                <c:pt idx="6">
                  <c:v>9.5200000000000021E-2</c:v>
                </c:pt>
                <c:pt idx="7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5-47E1-A772-1961F8925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350095"/>
        <c:axId val="502333775"/>
      </c:barChart>
      <c:catAx>
        <c:axId val="50235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33775"/>
        <c:crosses val="autoZero"/>
        <c:auto val="1"/>
        <c:lblAlgn val="ctr"/>
        <c:lblOffset val="100"/>
        <c:noMultiLvlLbl val="0"/>
      </c:catAx>
      <c:valAx>
        <c:axId val="5023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5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debt!$F$9</c:f>
              <c:strCache>
                <c:ptCount val="1"/>
                <c:pt idx="0">
                  <c:v>cost of debt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debt!$B$10:$B$17</c:f>
              <c:strCache>
                <c:ptCount val="8"/>
                <c:pt idx="0">
                  <c:v>current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terminal</c:v>
                </c:pt>
              </c:strCache>
            </c:strRef>
          </c:cat>
          <c:val>
            <c:numRef>
              <c:f>debt!$F$10:$F$17</c:f>
              <c:numCache>
                <c:formatCode>0.0000%</c:formatCode>
                <c:ptCount val="8"/>
                <c:pt idx="0">
                  <c:v>5.9499999999999997E-2</c:v>
                </c:pt>
                <c:pt idx="1">
                  <c:v>6.4700000000000008E-2</c:v>
                </c:pt>
                <c:pt idx="2">
                  <c:v>5.9699999999999996E-2</c:v>
                </c:pt>
                <c:pt idx="3">
                  <c:v>5.4699999999999999E-2</c:v>
                </c:pt>
                <c:pt idx="4">
                  <c:v>4.9700000000000001E-2</c:v>
                </c:pt>
                <c:pt idx="5">
                  <c:v>4.4699999999999997E-2</c:v>
                </c:pt>
                <c:pt idx="6">
                  <c:v>4.4699999999999997E-2</c:v>
                </c:pt>
                <c:pt idx="7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1-408B-A318-99EBC4837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558143"/>
        <c:axId val="1243550463"/>
      </c:barChart>
      <c:catAx>
        <c:axId val="124355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50463"/>
        <c:crosses val="autoZero"/>
        <c:auto val="1"/>
        <c:lblAlgn val="ctr"/>
        <c:lblOffset val="100"/>
        <c:noMultiLvlLbl val="0"/>
      </c:catAx>
      <c:valAx>
        <c:axId val="124355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5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424901629457801E-2"/>
          <c:y val="0.10573256749469075"/>
          <c:w val="0.93524274380629802"/>
          <c:h val="0.81834045780916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wacc!$E$19</c:f>
              <c:strCache>
                <c:ptCount val="1"/>
                <c:pt idx="0">
                  <c:v>tax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wacc!$B$20:$B$34</c15:sqref>
                  </c15:fullRef>
                </c:ext>
              </c:extLst>
              <c:f>wacc!$B$21:$B$34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wacc!$E$20:$E$34</c15:sqref>
                  </c15:fullRef>
                </c:ext>
              </c:extLst>
              <c:f>wacc!$E$21:$E$34</c:f>
              <c:numCache>
                <c:formatCode>0%</c:formatCode>
                <c:ptCount val="14"/>
                <c:pt idx="0">
                  <c:v>0.23513694054776219</c:v>
                </c:pt>
                <c:pt idx="1">
                  <c:v>0.41862955032119914</c:v>
                </c:pt>
                <c:pt idx="2">
                  <c:v>0.78676470588235292</c:v>
                </c:pt>
                <c:pt idx="3">
                  <c:v>0.31818181818181818</c:v>
                </c:pt>
                <c:pt idx="4">
                  <c:v>0</c:v>
                </c:pt>
                <c:pt idx="5">
                  <c:v>0.60586734693877553</c:v>
                </c:pt>
                <c:pt idx="6">
                  <c:v>0.36613566289825283</c:v>
                </c:pt>
                <c:pt idx="7">
                  <c:v>0.20204939569101418</c:v>
                </c:pt>
                <c:pt idx="8">
                  <c:v>0.10629606606873279</c:v>
                </c:pt>
                <c:pt idx="9">
                  <c:v>0.16986262163709215</c:v>
                </c:pt>
                <c:pt idx="10">
                  <c:v>0.1184134337000579</c:v>
                </c:pt>
                <c:pt idx="11">
                  <c:v>0.12557993237398757</c:v>
                </c:pt>
                <c:pt idx="12">
                  <c:v>0</c:v>
                </c:pt>
                <c:pt idx="13">
                  <c:v>0.18947760598238284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F-4898-BAEC-3CF3A4E37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54032"/>
        <c:axId val="138655472"/>
      </c:barChart>
      <c:catAx>
        <c:axId val="13865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55472"/>
        <c:crosses val="autoZero"/>
        <c:auto val="1"/>
        <c:lblAlgn val="ctr"/>
        <c:lblOffset val="100"/>
        <c:noMultiLvlLbl val="0"/>
      </c:catAx>
      <c:valAx>
        <c:axId val="13865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5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wacc!$J$5</c:f>
              <c:strCache>
                <c:ptCount val="1"/>
                <c:pt idx="0">
                  <c:v>wacc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wacc!$J$6:$J$13</c:f>
              <c:numCache>
                <c:formatCode>0.00000%</c:formatCode>
                <c:ptCount val="8"/>
                <c:pt idx="0">
                  <c:v>9.0638433013468939E-2</c:v>
                </c:pt>
                <c:pt idx="1">
                  <c:v>9.6261602519182157E-2</c:v>
                </c:pt>
                <c:pt idx="2">
                  <c:v>9.2195679087624077E-2</c:v>
                </c:pt>
                <c:pt idx="3">
                  <c:v>8.8161851283012516E-2</c:v>
                </c:pt>
                <c:pt idx="4">
                  <c:v>8.4160119105347458E-2</c:v>
                </c:pt>
                <c:pt idx="5">
                  <c:v>7.9703263332158311E-2</c:v>
                </c:pt>
                <c:pt idx="6">
                  <c:v>8.0072721057754065E-2</c:v>
                </c:pt>
                <c:pt idx="7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9-4591-B7B3-9B45693CF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173583"/>
        <c:axId val="449171663"/>
      </c:barChart>
      <c:catAx>
        <c:axId val="44917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71663"/>
        <c:crosses val="autoZero"/>
        <c:auto val="1"/>
        <c:lblAlgn val="ctr"/>
        <c:lblOffset val="100"/>
        <c:noMultiLvlLbl val="0"/>
      </c:catAx>
      <c:valAx>
        <c:axId val="44917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7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69156904167469"/>
          <c:y val="0.15077235772357725"/>
          <c:w val="0.87901574803149607"/>
          <c:h val="0.754925740989693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'story&amp;estimations'!$C$5</c:f>
              <c:strCache>
                <c:ptCount val="1"/>
                <c:pt idx="0">
                  <c:v>revenues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'story&amp;estimations'!$B$6:$B$20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'story&amp;estimations'!$C$6:$C$20</c:f>
              <c:numCache>
                <c:formatCode>_-[$$-409]* #,##0_ ;_-[$$-409]* \-#,##0\ ;_-[$$-409]* "-"??_ ;_-@_ </c:formatCode>
                <c:ptCount val="15"/>
                <c:pt idx="0">
                  <c:v>9775</c:v>
                </c:pt>
                <c:pt idx="1">
                  <c:v>10707</c:v>
                </c:pt>
                <c:pt idx="2">
                  <c:v>11700</c:v>
                </c:pt>
                <c:pt idx="3">
                  <c:v>13277</c:v>
                </c:pt>
                <c:pt idx="4">
                  <c:v>14867</c:v>
                </c:pt>
                <c:pt idx="5">
                  <c:v>16448</c:v>
                </c:pt>
                <c:pt idx="6">
                  <c:v>19163</c:v>
                </c:pt>
                <c:pt idx="7">
                  <c:v>21316</c:v>
                </c:pt>
                <c:pt idx="8">
                  <c:v>22387</c:v>
                </c:pt>
                <c:pt idx="9">
                  <c:v>24720</c:v>
                </c:pt>
                <c:pt idx="10">
                  <c:v>26509</c:v>
                </c:pt>
                <c:pt idx="11">
                  <c:v>23518</c:v>
                </c:pt>
                <c:pt idx="12">
                  <c:v>29061</c:v>
                </c:pt>
                <c:pt idx="13">
                  <c:v>32250</c:v>
                </c:pt>
                <c:pt idx="14">
                  <c:v>35976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7-4B6C-ABEA-DBC09367B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765199"/>
        <c:axId val="1695227679"/>
      </c:barChart>
      <c:catAx>
        <c:axId val="169276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27679"/>
        <c:crosses val="autoZero"/>
        <c:auto val="1"/>
        <c:lblAlgn val="ctr"/>
        <c:lblOffset val="100"/>
        <c:noMultiLvlLbl val="0"/>
      </c:catAx>
      <c:valAx>
        <c:axId val="16952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6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revenues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8059026023962234"/>
          <c:y val="1.7543859649122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2909047510998"/>
          <c:y val="0.12343859649122807"/>
          <c:w val="0.87452069137628741"/>
          <c:h val="0.68132172952065206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'story&amp;estimations'!$L$6:$L$38</c:f>
              <c:numCache>
                <c:formatCode>m/d/yyyy</c:formatCode>
                <c:ptCount val="33"/>
                <c:pt idx="0">
                  <c:v>42460</c:v>
                </c:pt>
                <c:pt idx="1">
                  <c:v>42551</c:v>
                </c:pt>
                <c:pt idx="2">
                  <c:v>42643</c:v>
                </c:pt>
                <c:pt idx="3">
                  <c:v>42735</c:v>
                </c:pt>
                <c:pt idx="4">
                  <c:v>42825</c:v>
                </c:pt>
                <c:pt idx="5">
                  <c:v>42916</c:v>
                </c:pt>
                <c:pt idx="6">
                  <c:v>43008</c:v>
                </c:pt>
                <c:pt idx="7">
                  <c:v>43100</c:v>
                </c:pt>
                <c:pt idx="8">
                  <c:v>43190</c:v>
                </c:pt>
                <c:pt idx="9">
                  <c:v>43281</c:v>
                </c:pt>
                <c:pt idx="10">
                  <c:v>43373</c:v>
                </c:pt>
                <c:pt idx="11">
                  <c:v>43465</c:v>
                </c:pt>
                <c:pt idx="12">
                  <c:v>43555</c:v>
                </c:pt>
                <c:pt idx="13">
                  <c:v>43646</c:v>
                </c:pt>
                <c:pt idx="14">
                  <c:v>43738</c:v>
                </c:pt>
                <c:pt idx="15">
                  <c:v>43830</c:v>
                </c:pt>
                <c:pt idx="16">
                  <c:v>43921</c:v>
                </c:pt>
                <c:pt idx="17">
                  <c:v>44012</c:v>
                </c:pt>
                <c:pt idx="18">
                  <c:v>44104</c:v>
                </c:pt>
                <c:pt idx="19">
                  <c:v>44196</c:v>
                </c:pt>
                <c:pt idx="20">
                  <c:v>44286</c:v>
                </c:pt>
                <c:pt idx="21">
                  <c:v>44377</c:v>
                </c:pt>
                <c:pt idx="22">
                  <c:v>44469</c:v>
                </c:pt>
                <c:pt idx="23">
                  <c:v>44561</c:v>
                </c:pt>
                <c:pt idx="24">
                  <c:v>44651</c:v>
                </c:pt>
                <c:pt idx="25">
                  <c:v>44742</c:v>
                </c:pt>
                <c:pt idx="26">
                  <c:v>44834</c:v>
                </c:pt>
                <c:pt idx="27">
                  <c:v>44926</c:v>
                </c:pt>
                <c:pt idx="28">
                  <c:v>45016</c:v>
                </c:pt>
                <c:pt idx="29">
                  <c:v>45107</c:v>
                </c:pt>
                <c:pt idx="30">
                  <c:v>45199</c:v>
                </c:pt>
                <c:pt idx="31">
                  <c:v>45291</c:v>
                </c:pt>
                <c:pt idx="32">
                  <c:v>45382</c:v>
                </c:pt>
              </c:numCache>
            </c:numRef>
          </c:cat>
          <c:val>
            <c:numRef>
              <c:f>'story&amp;estimations'!$M$6:$M$38</c:f>
              <c:numCache>
                <c:formatCode>_-[$$-409]* #,##0_ ;_-[$$-409]* \-#,##0\ ;_-[$$-409]* "-"??_ ;_-@_ </c:formatCode>
                <c:ptCount val="33"/>
                <c:pt idx="0">
                  <c:v>4993</c:v>
                </c:pt>
                <c:pt idx="1">
                  <c:v>5238</c:v>
                </c:pt>
                <c:pt idx="2">
                  <c:v>5711</c:v>
                </c:pt>
                <c:pt idx="3">
                  <c:v>5733</c:v>
                </c:pt>
                <c:pt idx="4">
                  <c:v>5294</c:v>
                </c:pt>
                <c:pt idx="5">
                  <c:v>5662</c:v>
                </c:pt>
                <c:pt idx="6">
                  <c:v>5698</c:v>
                </c:pt>
                <c:pt idx="7">
                  <c:v>6074</c:v>
                </c:pt>
                <c:pt idx="8">
                  <c:v>6032</c:v>
                </c:pt>
                <c:pt idx="9">
                  <c:v>6310</c:v>
                </c:pt>
                <c:pt idx="10">
                  <c:v>6304</c:v>
                </c:pt>
                <c:pt idx="11">
                  <c:v>6633</c:v>
                </c:pt>
                <c:pt idx="12">
                  <c:v>6306</c:v>
                </c:pt>
                <c:pt idx="13">
                  <c:v>6823</c:v>
                </c:pt>
                <c:pt idx="14">
                  <c:v>6747</c:v>
                </c:pt>
                <c:pt idx="15">
                  <c:v>7097</c:v>
                </c:pt>
                <c:pt idx="16">
                  <c:v>5996</c:v>
                </c:pt>
                <c:pt idx="17">
                  <c:v>4222</c:v>
                </c:pt>
                <c:pt idx="18">
                  <c:v>6203</c:v>
                </c:pt>
                <c:pt idx="19">
                  <c:v>6749</c:v>
                </c:pt>
                <c:pt idx="20">
                  <c:v>6668</c:v>
                </c:pt>
                <c:pt idx="21">
                  <c:v>7497</c:v>
                </c:pt>
                <c:pt idx="22">
                  <c:v>8147</c:v>
                </c:pt>
                <c:pt idx="23">
                  <c:v>8050</c:v>
                </c:pt>
                <c:pt idx="24">
                  <c:v>7636</c:v>
                </c:pt>
                <c:pt idx="25">
                  <c:v>8150</c:v>
                </c:pt>
                <c:pt idx="26">
                  <c:v>8414</c:v>
                </c:pt>
                <c:pt idx="27">
                  <c:v>8714</c:v>
                </c:pt>
                <c:pt idx="28">
                  <c:v>8720</c:v>
                </c:pt>
                <c:pt idx="29">
                  <c:v>9168</c:v>
                </c:pt>
                <c:pt idx="30">
                  <c:v>9374</c:v>
                </c:pt>
                <c:pt idx="31">
                  <c:v>9425</c:v>
                </c:pt>
                <c:pt idx="32">
                  <c:v>8563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7-45F6-BA81-8EAF1236C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315167"/>
        <c:axId val="2093309887"/>
      </c:areaChart>
      <c:dateAx>
        <c:axId val="2093315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309887"/>
        <c:crosses val="autoZero"/>
        <c:auto val="1"/>
        <c:lblOffset val="100"/>
        <c:baseTimeUnit val="months"/>
      </c:dateAx>
      <c:valAx>
        <c:axId val="20933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31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'story&amp;estimations'!$E$67</c:f>
              <c:strCache>
                <c:ptCount val="1"/>
                <c:pt idx="0">
                  <c:v>operating margins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'story&amp;estimations'!$B$68:$B$82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'story&amp;estimations'!$E$68:$E$82</c:f>
              <c:numCache>
                <c:formatCode>0.00%</c:formatCode>
                <c:ptCount val="15"/>
                <c:pt idx="0">
                  <c:v>5.7493606138107417E-2</c:v>
                </c:pt>
                <c:pt idx="1">
                  <c:v>0.13253012048192772</c:v>
                </c:pt>
                <c:pt idx="2">
                  <c:v>0.14777777777777779</c:v>
                </c:pt>
                <c:pt idx="3">
                  <c:v>0.15041048429615123</c:v>
                </c:pt>
                <c:pt idx="4">
                  <c:v>-2.1860496401425976E-2</c:v>
                </c:pt>
                <c:pt idx="5">
                  <c:v>0.18731760700389105</c:v>
                </c:pt>
                <c:pt idx="6">
                  <c:v>0.18791420967489433</c:v>
                </c:pt>
                <c:pt idx="7">
                  <c:v>0.19572152373803717</c:v>
                </c:pt>
                <c:pt idx="8">
                  <c:v>0.18470540938937777</c:v>
                </c:pt>
                <c:pt idx="9">
                  <c:v>0.15707928802588997</c:v>
                </c:pt>
                <c:pt idx="10">
                  <c:v>0.15383454675770494</c:v>
                </c:pt>
                <c:pt idx="11">
                  <c:v>6.641721234798878E-2</c:v>
                </c:pt>
                <c:pt idx="12">
                  <c:v>0.16764736244451325</c:v>
                </c:pt>
                <c:pt idx="13">
                  <c:v>0.14319379844961241</c:v>
                </c:pt>
                <c:pt idx="14">
                  <c:v>0.16319212808539027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3-44A0-A54D-4F2AF50C7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4632895"/>
        <c:axId val="2104633375"/>
      </c:barChart>
      <c:catAx>
        <c:axId val="210463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33375"/>
        <c:crosses val="autoZero"/>
        <c:auto val="1"/>
        <c:lblAlgn val="ctr"/>
        <c:lblOffset val="100"/>
        <c:noMultiLvlLbl val="0"/>
      </c:catAx>
      <c:valAx>
        <c:axId val="210463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3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'story&amp;estimations'!$H$105</c:f>
              <c:strCache>
                <c:ptCount val="1"/>
                <c:pt idx="0">
                  <c:v>sales to capital ratio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'story&amp;estimations'!$B$106:$B$120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'story&amp;estimations'!$H$106:$H$120</c:f>
              <c:numCache>
                <c:formatCode>0.00</c:formatCode>
                <c:ptCount val="15"/>
                <c:pt idx="0">
                  <c:v>2.9354354354354353</c:v>
                </c:pt>
                <c:pt idx="1">
                  <c:v>3.3915109280962938</c:v>
                </c:pt>
                <c:pt idx="2">
                  <c:v>3.6189297865759356</c:v>
                </c:pt>
                <c:pt idx="3">
                  <c:v>3.3418071985904856</c:v>
                </c:pt>
                <c:pt idx="4">
                  <c:v>5.1177280550774524</c:v>
                </c:pt>
                <c:pt idx="5">
                  <c:v>2.8015670243570092</c:v>
                </c:pt>
                <c:pt idx="6">
                  <c:v>2.6775185133435797</c:v>
                </c:pt>
                <c:pt idx="7">
                  <c:v>2.8409969345595094</c:v>
                </c:pt>
                <c:pt idx="8">
                  <c:v>3.0033539039441912</c:v>
                </c:pt>
                <c:pt idx="9">
                  <c:v>2.5928256765261168</c:v>
                </c:pt>
                <c:pt idx="10">
                  <c:v>2.5751894307363514</c:v>
                </c:pt>
                <c:pt idx="11">
                  <c:v>1.3519199816049667</c:v>
                </c:pt>
                <c:pt idx="12">
                  <c:v>1.7482403898213319</c:v>
                </c:pt>
                <c:pt idx="13">
                  <c:v>2.0616250079907945</c:v>
                </c:pt>
                <c:pt idx="14">
                  <c:v>2.2280299746082863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9-43CE-83C1-BA2CD7AD7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4633855"/>
        <c:axId val="2104632415"/>
      </c:barChart>
      <c:catAx>
        <c:axId val="210463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32415"/>
        <c:crosses val="autoZero"/>
        <c:auto val="1"/>
        <c:lblAlgn val="ctr"/>
        <c:lblOffset val="100"/>
        <c:noMultiLvlLbl val="0"/>
      </c:catAx>
      <c:valAx>
        <c:axId val="21046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3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'story&amp;estimations'!$G$105</c:f>
              <c:strCache>
                <c:ptCount val="1"/>
                <c:pt idx="0">
                  <c:v>invested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'story&amp;estimations'!$B$106:$B$120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'story&amp;estimations'!$G$106:$G$120</c:f>
              <c:numCache>
                <c:formatCode>_-[$$-409]* #,##0_ ;_-[$$-409]* \-#,##0\ ;_-[$$-409]* "-"??_ ;_-@_ </c:formatCode>
                <c:ptCount val="15"/>
                <c:pt idx="0">
                  <c:v>3330</c:v>
                </c:pt>
                <c:pt idx="1">
                  <c:v>3157</c:v>
                </c:pt>
                <c:pt idx="2">
                  <c:v>3233</c:v>
                </c:pt>
                <c:pt idx="3">
                  <c:v>3973</c:v>
                </c:pt>
                <c:pt idx="4">
                  <c:v>2905</c:v>
                </c:pt>
                <c:pt idx="5">
                  <c:v>5871</c:v>
                </c:pt>
                <c:pt idx="6">
                  <c:v>7157</c:v>
                </c:pt>
                <c:pt idx="7">
                  <c:v>7503</c:v>
                </c:pt>
                <c:pt idx="8">
                  <c:v>7454</c:v>
                </c:pt>
                <c:pt idx="9">
                  <c:v>9534</c:v>
                </c:pt>
                <c:pt idx="10">
                  <c:v>10294</c:v>
                </c:pt>
                <c:pt idx="11">
                  <c:v>17396</c:v>
                </c:pt>
                <c:pt idx="12">
                  <c:v>16623</c:v>
                </c:pt>
                <c:pt idx="13">
                  <c:v>15643</c:v>
                </c:pt>
                <c:pt idx="14">
                  <c:v>16147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8-4ECB-9088-6CC5ECF98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611855"/>
        <c:axId val="2028618575"/>
      </c:barChart>
      <c:catAx>
        <c:axId val="20286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18575"/>
        <c:crosses val="autoZero"/>
        <c:auto val="1"/>
        <c:lblAlgn val="ctr"/>
        <c:lblOffset val="100"/>
        <c:noMultiLvlLbl val="0"/>
      </c:catAx>
      <c:valAx>
        <c:axId val="202861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1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'story&amp;estimations'!$D$105</c:f>
              <c:strCache>
                <c:ptCount val="1"/>
                <c:pt idx="0">
                  <c:v>bv of equity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'story&amp;estimations'!$B$106:$B$120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'story&amp;estimations'!$D$106:$D$120</c:f>
              <c:numCache>
                <c:formatCode>_-[$$-409]* #,##0_ ;_-[$$-409]* \-#,##0\ ;_-[$$-409]* "-"??_ ;_-@_ </c:formatCode>
                <c:ptCount val="15"/>
                <c:pt idx="0">
                  <c:v>3057</c:v>
                </c:pt>
                <c:pt idx="1">
                  <c:v>3682</c:v>
                </c:pt>
                <c:pt idx="2">
                  <c:v>4387</c:v>
                </c:pt>
                <c:pt idx="3">
                  <c:v>5115</c:v>
                </c:pt>
                <c:pt idx="4">
                  <c:v>4482</c:v>
                </c:pt>
                <c:pt idx="5">
                  <c:v>5274</c:v>
                </c:pt>
                <c:pt idx="6">
                  <c:v>5820</c:v>
                </c:pt>
                <c:pt idx="7">
                  <c:v>5891</c:v>
                </c:pt>
                <c:pt idx="8">
                  <c:v>5457</c:v>
                </c:pt>
                <c:pt idx="9">
                  <c:v>1176</c:v>
                </c:pt>
                <c:pt idx="10">
                  <c:v>-6231</c:v>
                </c:pt>
                <c:pt idx="11">
                  <c:v>-7799</c:v>
                </c:pt>
                <c:pt idx="12">
                  <c:v>-5315</c:v>
                </c:pt>
                <c:pt idx="13">
                  <c:v>-8699</c:v>
                </c:pt>
                <c:pt idx="14">
                  <c:v>-7988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B-4922-A383-B041492A5844}"/>
            </c:ext>
          </c:extLst>
        </c:ser>
        <c:ser>
          <c:idx val="1"/>
          <c:order val="1"/>
          <c:tx>
            <c:strRef>
              <c:f>'story&amp;estimations'!$E$105</c:f>
              <c:strCache>
                <c:ptCount val="1"/>
                <c:pt idx="0">
                  <c:v>bv of debt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'story&amp;estimations'!$B$106:$B$120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'story&amp;estimations'!$E$106:$E$120</c:f>
              <c:numCache>
                <c:formatCode>_-[$$-409]* #,##0_ ;_-[$$-409]* \-#,##0\ ;_-[$$-409]* "-"??_ ;_-@_ </c:formatCode>
                <c:ptCount val="15"/>
                <c:pt idx="0">
                  <c:v>939</c:v>
                </c:pt>
                <c:pt idx="1">
                  <c:v>925</c:v>
                </c:pt>
                <c:pt idx="2">
                  <c:v>897</c:v>
                </c:pt>
                <c:pt idx="3">
                  <c:v>895</c:v>
                </c:pt>
                <c:pt idx="4">
                  <c:v>1657</c:v>
                </c:pt>
                <c:pt idx="5">
                  <c:v>2441</c:v>
                </c:pt>
                <c:pt idx="6">
                  <c:v>2948</c:v>
                </c:pt>
                <c:pt idx="7">
                  <c:v>3875</c:v>
                </c:pt>
                <c:pt idx="8">
                  <c:v>4688</c:v>
                </c:pt>
                <c:pt idx="9">
                  <c:v>17296</c:v>
                </c:pt>
                <c:pt idx="10">
                  <c:v>19282</c:v>
                </c:pt>
                <c:pt idx="11">
                  <c:v>29827</c:v>
                </c:pt>
                <c:pt idx="12">
                  <c:v>28556</c:v>
                </c:pt>
                <c:pt idx="13">
                  <c:v>27525</c:v>
                </c:pt>
                <c:pt idx="14">
                  <c:v>28088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B-4922-A383-B041492A5844}"/>
            </c:ext>
          </c:extLst>
        </c:ser>
        <c:ser>
          <c:idx val="2"/>
          <c:order val="2"/>
          <c:tx>
            <c:strRef>
              <c:f>'story&amp;estimations'!$F$105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'story&amp;estimations'!$B$106:$B$120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'story&amp;estimations'!$F$106:$F$120</c:f>
              <c:numCache>
                <c:formatCode>_-[$$-409]* #,##0_ ;_-[$$-409]* \-#,##0\ ;_-[$$-409]* "-"??_ ;_-@_ </c:formatCode>
                <c:ptCount val="15"/>
                <c:pt idx="0">
                  <c:v>666</c:v>
                </c:pt>
                <c:pt idx="1">
                  <c:v>1450</c:v>
                </c:pt>
                <c:pt idx="2">
                  <c:v>2051</c:v>
                </c:pt>
                <c:pt idx="3">
                  <c:v>2037</c:v>
                </c:pt>
                <c:pt idx="4">
                  <c:v>3234</c:v>
                </c:pt>
                <c:pt idx="5">
                  <c:v>1844</c:v>
                </c:pt>
                <c:pt idx="6">
                  <c:v>1611</c:v>
                </c:pt>
                <c:pt idx="7">
                  <c:v>2263</c:v>
                </c:pt>
                <c:pt idx="8">
                  <c:v>2691</c:v>
                </c:pt>
                <c:pt idx="9">
                  <c:v>8938</c:v>
                </c:pt>
                <c:pt idx="10">
                  <c:v>2757</c:v>
                </c:pt>
                <c:pt idx="11">
                  <c:v>4632</c:v>
                </c:pt>
                <c:pt idx="12">
                  <c:v>6618</c:v>
                </c:pt>
                <c:pt idx="13">
                  <c:v>3183</c:v>
                </c:pt>
                <c:pt idx="14">
                  <c:v>3953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6B-4922-A383-B041492A5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235807"/>
        <c:axId val="1665232927"/>
      </c:barChart>
      <c:catAx>
        <c:axId val="166523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232927"/>
        <c:crosses val="autoZero"/>
        <c:auto val="1"/>
        <c:lblAlgn val="ctr"/>
        <c:lblOffset val="100"/>
        <c:noMultiLvlLbl val="0"/>
      </c:catAx>
      <c:valAx>
        <c:axId val="166523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23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year's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8097222222222226"/>
          <c:w val="0.858557961504811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8.4234470691163608E-3"/>
                  <c:y val="-0.13347440944881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'story&amp;estimations'!$AA$5:$AA$17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2022</c:v>
                </c:pt>
                <c:pt idx="12">
                  <c:v>2023</c:v>
                </c:pt>
              </c:numCache>
            </c:numRef>
          </c:xVal>
          <c:yVal>
            <c:numRef>
              <c:f>'story&amp;estimations'!$AB$5:$AB$17</c:f>
              <c:numCache>
                <c:formatCode>0.00%</c:formatCode>
                <c:ptCount val="13"/>
                <c:pt idx="1">
                  <c:v>9.5345268542199491E-2</c:v>
                </c:pt>
                <c:pt idx="2">
                  <c:v>9.2743065284393383E-2</c:v>
                </c:pt>
                <c:pt idx="3">
                  <c:v>0.1347863247863248</c:v>
                </c:pt>
                <c:pt idx="4">
                  <c:v>0.11975596896889358</c:v>
                </c:pt>
                <c:pt idx="5">
                  <c:v>0.10634290710970606</c:v>
                </c:pt>
                <c:pt idx="6">
                  <c:v>0.16506566147859922</c:v>
                </c:pt>
                <c:pt idx="7">
                  <c:v>0.11235192819495904</c:v>
                </c:pt>
                <c:pt idx="8">
                  <c:v>5.0243948207918936E-2</c:v>
                </c:pt>
                <c:pt idx="9">
                  <c:v>0.10421226604725957</c:v>
                </c:pt>
                <c:pt idx="10">
                  <c:v>7.2370550161812292E-2</c:v>
                </c:pt>
                <c:pt idx="11">
                  <c:v>0.10973469598430886</c:v>
                </c:pt>
                <c:pt idx="12">
                  <c:v>0.11553488372093024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34-4DEA-931B-CDF67E7AE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310832"/>
        <c:axId val="1228314672"/>
      </c:scatterChart>
      <c:valAx>
        <c:axId val="122831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314672"/>
        <c:crosses val="autoZero"/>
        <c:crossBetween val="midCat"/>
      </c:valAx>
      <c:valAx>
        <c:axId val="12283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31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'story&amp;estimations'!$G$5</c:f>
              <c:strCache>
                <c:ptCount val="1"/>
                <c:pt idx="0">
                  <c:v>chg rev/chg stores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'story&amp;estimations'!$B$6:$B$20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'story&amp;estimations'!$G$6:$G$20</c:f>
              <c:numCache>
                <c:formatCode>General</c:formatCode>
                <c:ptCount val="15"/>
                <c:pt idx="0">
                  <c:v>0</c:v>
                </c:pt>
                <c:pt idx="1">
                  <c:v>4.1793721973094167</c:v>
                </c:pt>
                <c:pt idx="2">
                  <c:v>6.8482758620689657</c:v>
                </c:pt>
                <c:pt idx="3">
                  <c:v>1.4835371589840076</c:v>
                </c:pt>
                <c:pt idx="4">
                  <c:v>0.93474426807760136</c:v>
                </c:pt>
                <c:pt idx="5">
                  <c:v>0.98874296435272047</c:v>
                </c:pt>
                <c:pt idx="6">
                  <c:v>1.6189624329159213</c:v>
                </c:pt>
                <c:pt idx="7">
                  <c:v>1.05435847208619</c:v>
                </c:pt>
                <c:pt idx="8">
                  <c:v>0.4751552795031056</c:v>
                </c:pt>
                <c:pt idx="9">
                  <c:v>1.1753148614609572</c:v>
                </c:pt>
                <c:pt idx="10">
                  <c:v>0.92598343685300211</c:v>
                </c:pt>
                <c:pt idx="11">
                  <c:v>-2.1303418803418803</c:v>
                </c:pt>
                <c:pt idx="12">
                  <c:v>4.7254901960784315</c:v>
                </c:pt>
                <c:pt idx="13">
                  <c:v>1.6980830670926517</c:v>
                </c:pt>
                <c:pt idx="14">
                  <c:v>1.6012032660077353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8-44B4-9FF3-F5899F66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653519"/>
        <c:axId val="1314663119"/>
      </c:barChart>
      <c:catAx>
        <c:axId val="131465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663119"/>
        <c:crosses val="autoZero"/>
        <c:auto val="1"/>
        <c:lblAlgn val="ctr"/>
        <c:lblOffset val="100"/>
        <c:noMultiLvlLbl val="0"/>
      </c:catAx>
      <c:valAx>
        <c:axId val="13146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65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'story&amp;estimations'!$O$158</c:f>
              <c:strCache>
                <c:ptCount val="1"/>
                <c:pt idx="0">
                  <c:v>reinvestment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'story&amp;estimations'!$B$159:$B$173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'story&amp;estimations'!$O$159:$O$173</c:f>
              <c:numCache>
                <c:formatCode>0.0%</c:formatCode>
                <c:ptCount val="15"/>
                <c:pt idx="1">
                  <c:v>0.1649251733338257</c:v>
                </c:pt>
                <c:pt idx="2">
                  <c:v>0.55312953015773603</c:v>
                </c:pt>
                <c:pt idx="6">
                  <c:v>0.50800703508284739</c:v>
                </c:pt>
                <c:pt idx="7">
                  <c:v>0.25562662038233541</c:v>
                </c:pt>
                <c:pt idx="8">
                  <c:v>0.5885694332574587</c:v>
                </c:pt>
                <c:pt idx="9">
                  <c:v>0.4256174595388893</c:v>
                </c:pt>
                <c:pt idx="10">
                  <c:v>0.19584673593423332</c:v>
                </c:pt>
                <c:pt idx="11">
                  <c:v>0.42337241841855727</c:v>
                </c:pt>
                <c:pt idx="12">
                  <c:v>0.14788126395435375</c:v>
                </c:pt>
                <c:pt idx="13">
                  <c:v>0.33304460805543523</c:v>
                </c:pt>
                <c:pt idx="14">
                  <c:v>0.32467689564061841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F-40C7-AA45-FB79D9D68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8581487"/>
        <c:axId val="1468576207"/>
      </c:barChart>
      <c:catAx>
        <c:axId val="146858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76207"/>
        <c:crosses val="autoZero"/>
        <c:auto val="1"/>
        <c:lblAlgn val="ctr"/>
        <c:lblOffset val="100"/>
        <c:noMultiLvlLbl val="0"/>
      </c:catAx>
      <c:valAx>
        <c:axId val="146857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8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spread!$D$45:$D$52</c:f>
              <c:numCache>
                <c:formatCode>0%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  <c:pt idx="6">
                  <c:v>0.25</c:v>
                </c:pt>
                <c:pt idx="7">
                  <c:v>0.35</c:v>
                </c:pt>
              </c:numCache>
            </c:numRef>
          </c:xVal>
          <c:yVal>
            <c:numRef>
              <c:f>spread!$E$45:$E$52</c:f>
              <c:numCache>
                <c:formatCode>_-[$$-409]* #,##0.00_ ;_-[$$-409]* \-#,##0.00\ ;_-[$$-409]* "-"??_ ;_-@_ </c:formatCode>
                <c:ptCount val="8"/>
                <c:pt idx="0">
                  <c:v>24.57</c:v>
                </c:pt>
                <c:pt idx="1">
                  <c:v>25</c:v>
                </c:pt>
                <c:pt idx="2">
                  <c:v>26.54</c:v>
                </c:pt>
                <c:pt idx="3">
                  <c:v>27.16</c:v>
                </c:pt>
                <c:pt idx="4" formatCode="_([$$-409]* #,##0.00_);_([$$-409]* \(#,##0.00\);_([$$-409]* &quot;-&quot;??_);_(@_)">
                  <c:v>27.828897765251966</c:v>
                </c:pt>
                <c:pt idx="5" formatCode="_([$$-409]* #,##0.00_);_([$$-409]* \(#,##0.00\);_([$$-409]* &quot;-&quot;??_);_(@_)">
                  <c:v>27.946939809872685</c:v>
                </c:pt>
                <c:pt idx="6" formatCode="_([$$-409]* #,##0.00_);_([$$-409]* \(#,##0.00\);_([$$-409]* &quot;-&quot;??_);_(@_)">
                  <c:v>21.904491981873576</c:v>
                </c:pt>
                <c:pt idx="7" formatCode="_([$$-409]* #,##0.00_);_([$$-409]* \(#,##0.00\);_([$$-409]* &quot;-&quot;??_);_(@_)">
                  <c:v>0.83865697327149946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E-47F5-8A54-22225BD03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363535"/>
        <c:axId val="1561367855"/>
      </c:scatterChart>
      <c:valAx>
        <c:axId val="156136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367855"/>
        <c:crosses val="autoZero"/>
        <c:crossBetween val="midCat"/>
      </c:valAx>
      <c:valAx>
        <c:axId val="156136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36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chart" Target="../charts/chart2.xml"/><Relationship Id="rId1" Type="http://schemas.openxmlformats.org/officeDocument/2006/relationships/image" Target="../media/image7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7.xml"/><Relationship Id="rId7" Type="http://schemas.openxmlformats.org/officeDocument/2006/relationships/chart" Target="../charts/chart10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image" Target="../media/image10.png"/><Relationship Id="rId9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180975</xdr:rowOff>
    </xdr:from>
    <xdr:to>
      <xdr:col>23</xdr:col>
      <xdr:colOff>152200</xdr:colOff>
      <xdr:row>20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4C19E-CBD3-3C8F-7A54-14D09B444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180975"/>
          <a:ext cx="10686850" cy="3648075"/>
        </a:xfrm>
        <a:prstGeom prst="rect">
          <a:avLst/>
        </a:prstGeom>
      </xdr:spPr>
    </xdr:pic>
    <xdr:clientData/>
  </xdr:twoCellAnchor>
  <xdr:twoCellAnchor editAs="oneCell">
    <xdr:from>
      <xdr:col>4</xdr:col>
      <xdr:colOff>781050</xdr:colOff>
      <xdr:row>45</xdr:row>
      <xdr:rowOff>47625</xdr:rowOff>
    </xdr:from>
    <xdr:to>
      <xdr:col>21</xdr:col>
      <xdr:colOff>7726</xdr:colOff>
      <xdr:row>48</xdr:row>
      <xdr:rowOff>147492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C51094-AD67-40E9-8C4D-58952B08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0575" y="7467600"/>
          <a:ext cx="12371176" cy="671367"/>
        </a:xfrm>
        <a:prstGeom prst="rect">
          <a:avLst/>
        </a:prstGeom>
      </xdr:spPr>
    </xdr:pic>
    <xdr:clientData/>
  </xdr:twoCellAnchor>
  <xdr:twoCellAnchor editAs="oneCell">
    <xdr:from>
      <xdr:col>4</xdr:col>
      <xdr:colOff>733425</xdr:colOff>
      <xdr:row>49</xdr:row>
      <xdr:rowOff>0</xdr:rowOff>
    </xdr:from>
    <xdr:to>
      <xdr:col>21</xdr:col>
      <xdr:colOff>150830</xdr:colOff>
      <xdr:row>50</xdr:row>
      <xdr:rowOff>123786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339ACE-C031-4FC3-AD05-A4BF68067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52950" y="8181975"/>
          <a:ext cx="12561905" cy="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714375</xdr:colOff>
      <xdr:row>50</xdr:row>
      <xdr:rowOff>123825</xdr:rowOff>
    </xdr:from>
    <xdr:to>
      <xdr:col>21</xdr:col>
      <xdr:colOff>122256</xdr:colOff>
      <xdr:row>51</xdr:row>
      <xdr:rowOff>180944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957C7E-031E-4048-B4FE-33002A6D8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8496300"/>
          <a:ext cx="12552381" cy="2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20</xdr:row>
      <xdr:rowOff>0</xdr:rowOff>
    </xdr:from>
    <xdr:to>
      <xdr:col>13</xdr:col>
      <xdr:colOff>590202</xdr:colOff>
      <xdr:row>37</xdr:row>
      <xdr:rowOff>171024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7D4955-33AE-8666-8185-1B94D2570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6725" y="3810000"/>
          <a:ext cx="2780952" cy="34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22</xdr:row>
      <xdr:rowOff>142875</xdr:rowOff>
    </xdr:from>
    <xdr:to>
      <xdr:col>18</xdr:col>
      <xdr:colOff>180645</xdr:colOff>
      <xdr:row>37</xdr:row>
      <xdr:rowOff>180613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9A3DE5-0420-F628-56BB-14FC891F1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68025" y="4333875"/>
          <a:ext cx="2638095" cy="2895238"/>
        </a:xfrm>
        <a:prstGeom prst="rect">
          <a:avLst/>
        </a:prstGeom>
      </xdr:spPr>
    </xdr:pic>
    <xdr:clientData/>
  </xdr:twoCellAnchor>
  <xdr:twoCellAnchor>
    <xdr:from>
      <xdr:col>7</xdr:col>
      <xdr:colOff>628650</xdr:colOff>
      <xdr:row>57</xdr:row>
      <xdr:rowOff>95250</xdr:rowOff>
    </xdr:from>
    <xdr:to>
      <xdr:col>14</xdr:col>
      <xdr:colOff>314325</xdr:colOff>
      <xdr:row>71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425A21-9FB3-0A12-B536-DD6833F5B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18</xdr:row>
      <xdr:rowOff>171451</xdr:rowOff>
    </xdr:from>
    <xdr:to>
      <xdr:col>23</xdr:col>
      <xdr:colOff>73980</xdr:colOff>
      <xdr:row>29</xdr:row>
      <xdr:rowOff>8191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06E7C-DD90-9251-3D90-4B46E2BD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0" y="3600451"/>
          <a:ext cx="10208580" cy="193224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76200</xdr:rowOff>
    </xdr:from>
    <xdr:to>
      <xdr:col>16</xdr:col>
      <xdr:colOff>161925</xdr:colOff>
      <xdr:row>16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047323-14B8-84A8-A609-6B026BFCD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409575</xdr:colOff>
      <xdr:row>31</xdr:row>
      <xdr:rowOff>152400</xdr:rowOff>
    </xdr:from>
    <xdr:to>
      <xdr:col>23</xdr:col>
      <xdr:colOff>123175</xdr:colOff>
      <xdr:row>42</xdr:row>
      <xdr:rowOff>18805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A9DA80-0DFF-3896-1E46-AB7A3467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29900" y="6057900"/>
          <a:ext cx="5200000" cy="1961905"/>
        </a:xfrm>
        <a:prstGeom prst="rect">
          <a:avLst/>
        </a:prstGeom>
      </xdr:spPr>
    </xdr:pic>
    <xdr:clientData/>
  </xdr:twoCellAnchor>
  <xdr:twoCellAnchor editAs="oneCell">
    <xdr:from>
      <xdr:col>23</xdr:col>
      <xdr:colOff>85725</xdr:colOff>
      <xdr:row>32</xdr:row>
      <xdr:rowOff>95250</xdr:rowOff>
    </xdr:from>
    <xdr:to>
      <xdr:col>26</xdr:col>
      <xdr:colOff>66449</xdr:colOff>
      <xdr:row>42</xdr:row>
      <xdr:rowOff>37869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7AB1F8-94B5-8644-5BF0-B24A2D3E9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92450" y="6191250"/>
          <a:ext cx="1809524" cy="1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28</xdr:row>
      <xdr:rowOff>100011</xdr:rowOff>
    </xdr:from>
    <xdr:to>
      <xdr:col>8</xdr:col>
      <xdr:colOff>952499</xdr:colOff>
      <xdr:row>42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BE436B-0AE4-9841-5F90-0E3350638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438150</xdr:colOff>
      <xdr:row>15</xdr:row>
      <xdr:rowOff>9525</xdr:rowOff>
    </xdr:from>
    <xdr:to>
      <xdr:col>16</xdr:col>
      <xdr:colOff>381000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7B7FA-BCBF-9E66-A8C9-18823BD60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</xdr:row>
      <xdr:rowOff>0</xdr:rowOff>
    </xdr:from>
    <xdr:to>
      <xdr:col>24</xdr:col>
      <xdr:colOff>504825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6243A-730B-AD8F-9A4F-3C7A3F197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319086</xdr:colOff>
      <xdr:row>17</xdr:row>
      <xdr:rowOff>47625</xdr:rowOff>
    </xdr:from>
    <xdr:to>
      <xdr:col>24</xdr:col>
      <xdr:colOff>85724</xdr:colOff>
      <xdr:row>35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D03039-DB5D-D745-D625-745D8C423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342900</xdr:colOff>
      <xdr:row>66</xdr:row>
      <xdr:rowOff>57150</xdr:rowOff>
    </xdr:from>
    <xdr:to>
      <xdr:col>13</xdr:col>
      <xdr:colOff>228600</xdr:colOff>
      <xdr:row>81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76786F-F87B-8CA8-AFCE-F7DA15962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209550</xdr:colOff>
      <xdr:row>65</xdr:row>
      <xdr:rowOff>57150</xdr:rowOff>
    </xdr:from>
    <xdr:to>
      <xdr:col>12</xdr:col>
      <xdr:colOff>808787</xdr:colOff>
      <xdr:row>83</xdr:row>
      <xdr:rowOff>113864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5C45A0-F692-4DCE-E99F-9831A2F84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91225" y="12439650"/>
          <a:ext cx="6704762" cy="3485714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90</xdr:row>
      <xdr:rowOff>95250</xdr:rowOff>
    </xdr:from>
    <xdr:to>
      <xdr:col>3</xdr:col>
      <xdr:colOff>695325</xdr:colOff>
      <xdr:row>90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CFC8742-B1BA-A74F-01DF-C1AC3AB6282A}"/>
            </a:ext>
          </a:extLst>
        </xdr:cNvPr>
        <xdr:cNvCxnSpPr/>
      </xdr:nvCxnSpPr>
      <xdr:spPr>
        <a:xfrm>
          <a:off x="2809875" y="17383125"/>
          <a:ext cx="638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98</xdr:row>
      <xdr:rowOff>95250</xdr:rowOff>
    </xdr:from>
    <xdr:to>
      <xdr:col>4</xdr:col>
      <xdr:colOff>66675</xdr:colOff>
      <xdr:row>98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08B5E6F-7634-45D5-BD11-83C0EACDEA03}"/>
            </a:ext>
          </a:extLst>
        </xdr:cNvPr>
        <xdr:cNvCxnSpPr/>
      </xdr:nvCxnSpPr>
      <xdr:spPr>
        <a:xfrm>
          <a:off x="2905125" y="18907125"/>
          <a:ext cx="638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101</xdr:row>
      <xdr:rowOff>104775</xdr:rowOff>
    </xdr:from>
    <xdr:to>
      <xdr:col>20</xdr:col>
      <xdr:colOff>142875</xdr:colOff>
      <xdr:row>120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480D5C4-DC3E-8826-F053-BF6553DA0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390525</xdr:colOff>
      <xdr:row>121</xdr:row>
      <xdr:rowOff>9525</xdr:rowOff>
    </xdr:from>
    <xdr:to>
      <xdr:col>20</xdr:col>
      <xdr:colOff>85725</xdr:colOff>
      <xdr:row>136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7A57445-0C64-E541-F31E-40B151FED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600075</xdr:colOff>
      <xdr:row>121</xdr:row>
      <xdr:rowOff>57149</xdr:rowOff>
    </xdr:from>
    <xdr:to>
      <xdr:col>9</xdr:col>
      <xdr:colOff>200024</xdr:colOff>
      <xdr:row>136</xdr:row>
      <xdr:rowOff>123824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EEDD779-44C4-2CE2-A7DF-D0149CBF2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152400</xdr:colOff>
      <xdr:row>145</xdr:row>
      <xdr:rowOff>95250</xdr:rowOff>
    </xdr:from>
    <xdr:to>
      <xdr:col>4</xdr:col>
      <xdr:colOff>66675</xdr:colOff>
      <xdr:row>145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E9E8504-D9F1-4B58-A7F1-5079BD24C6E1}"/>
            </a:ext>
          </a:extLst>
        </xdr:cNvPr>
        <xdr:cNvCxnSpPr/>
      </xdr:nvCxnSpPr>
      <xdr:spPr>
        <a:xfrm>
          <a:off x="2905125" y="18907125"/>
          <a:ext cx="752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154</xdr:row>
      <xdr:rowOff>95250</xdr:rowOff>
    </xdr:from>
    <xdr:to>
      <xdr:col>4</xdr:col>
      <xdr:colOff>66675</xdr:colOff>
      <xdr:row>154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FEDF48-CCD2-4E15-A498-235AA68B75A0}"/>
            </a:ext>
          </a:extLst>
        </xdr:cNvPr>
        <xdr:cNvCxnSpPr/>
      </xdr:nvCxnSpPr>
      <xdr:spPr>
        <a:xfrm>
          <a:off x="2905125" y="28003500"/>
          <a:ext cx="752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36</xdr:row>
      <xdr:rowOff>38100</xdr:rowOff>
    </xdr:from>
    <xdr:to>
      <xdr:col>22</xdr:col>
      <xdr:colOff>466725</xdr:colOff>
      <xdr:row>50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8A5A52-219F-79C6-A112-A79DFAB36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409575</xdr:colOff>
      <xdr:row>24</xdr:row>
      <xdr:rowOff>19049</xdr:rowOff>
    </xdr:from>
    <xdr:to>
      <xdr:col>10</xdr:col>
      <xdr:colOff>104775</xdr:colOff>
      <xdr:row>40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30FD35-486C-9126-F5EA-A21F71717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285750</xdr:colOff>
      <xdr:row>174</xdr:row>
      <xdr:rowOff>57150</xdr:rowOff>
    </xdr:from>
    <xdr:to>
      <xdr:col>14</xdr:col>
      <xdr:colOff>257175</xdr:colOff>
      <xdr:row>189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12041B-492B-285D-3F9A-C2673887B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771524</xdr:colOff>
      <xdr:row>41</xdr:row>
      <xdr:rowOff>133349</xdr:rowOff>
    </xdr:from>
    <xdr:to>
      <xdr:col>12</xdr:col>
      <xdr:colOff>1085849</xdr:colOff>
      <xdr:row>57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DAE56-4609-0F98-AEA8-DE677FB4D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15"/>
  <sheetViews>
    <sheetView showGridLines="0" topLeftCell="A7" workbookViewId="0">
      <selection activeCell="D73" sqref="D73"/>
    </sheetView>
  </sheetViews>
  <sheetFormatPr defaultRowHeight="15" x14ac:dyDescent="0.25"/>
  <cols>
    <col min="2" max="2" width="14.28515625" customWidth="1"/>
    <col min="3" max="3" width="18.28515625" bestFit="1" customWidth="1"/>
    <col min="4" max="4" width="11" customWidth="1"/>
    <col min="5" max="6" width="14" customWidth="1"/>
    <col min="7" max="7" width="9.28515625" bestFit="1" customWidth="1"/>
    <col min="8" max="8" width="18.4257812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</row>
    <row r="3" spans="1:26" x14ac:dyDescent="0.25">
      <c r="A3" s="2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</row>
    <row r="5" spans="1:26" x14ac:dyDescent="0.25">
      <c r="A5" s="2"/>
      <c r="B5" s="22" t="s">
        <v>13</v>
      </c>
      <c r="C5" s="2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</row>
    <row r="6" spans="1:26" x14ac:dyDescent="0.25">
      <c r="A6" s="2"/>
      <c r="B6" s="5" t="s">
        <v>1</v>
      </c>
      <c r="C6" s="6">
        <v>4.48E-2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</row>
    <row r="7" spans="1:26" x14ac:dyDescent="0.25">
      <c r="A7" s="2"/>
      <c r="B7" s="5">
        <v>1</v>
      </c>
      <c r="C7" s="6">
        <v>0.05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</row>
    <row r="8" spans="1:26" x14ac:dyDescent="0.25">
      <c r="A8" s="2"/>
      <c r="B8" s="5">
        <v>2</v>
      </c>
      <c r="C8" s="6">
        <v>4.4999999999999998E-2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</row>
    <row r="9" spans="1:26" x14ac:dyDescent="0.25">
      <c r="A9" s="2"/>
      <c r="B9" s="5">
        <v>3</v>
      </c>
      <c r="C9" s="6">
        <v>0.04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</row>
    <row r="10" spans="1:26" x14ac:dyDescent="0.25">
      <c r="A10" s="2"/>
      <c r="B10" s="5">
        <v>4</v>
      </c>
      <c r="C10" s="6">
        <v>3.5000000000000003E-2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</row>
    <row r="11" spans="1:26" x14ac:dyDescent="0.25">
      <c r="A11" s="2"/>
      <c r="B11" s="5">
        <v>5</v>
      </c>
      <c r="C11" s="6">
        <v>0.03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</row>
    <row r="12" spans="1:26" x14ac:dyDescent="0.25">
      <c r="A12" s="2"/>
      <c r="B12" s="5">
        <v>6</v>
      </c>
      <c r="C12" s="6">
        <v>0.03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</row>
    <row r="13" spans="1:26" x14ac:dyDescent="0.25">
      <c r="A13" s="2"/>
      <c r="B13" s="5" t="s">
        <v>2</v>
      </c>
      <c r="C13" s="12">
        <v>0.03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</row>
    <row r="16" spans="1:26" x14ac:dyDescent="0.25">
      <c r="A16" s="2"/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</row>
    <row r="18" spans="1:26" x14ac:dyDescent="0.25">
      <c r="A18" s="2"/>
      <c r="B18" s="5" t="s">
        <v>4</v>
      </c>
      <c r="C18" s="5" t="s">
        <v>5</v>
      </c>
      <c r="D18" s="7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</row>
    <row r="19" spans="1:26" x14ac:dyDescent="0.25">
      <c r="A19" s="2"/>
      <c r="B19" s="5" t="s">
        <v>7</v>
      </c>
      <c r="C19" s="8">
        <v>17482</v>
      </c>
      <c r="D19" s="9">
        <f>C19/C21</f>
        <v>0.47720696620625647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</row>
    <row r="20" spans="1:26" x14ac:dyDescent="0.25">
      <c r="A20" s="2"/>
      <c r="B20" s="5" t="s">
        <v>8</v>
      </c>
      <c r="C20" s="8">
        <v>19152</v>
      </c>
      <c r="D20" s="9">
        <f>C20/C21</f>
        <v>0.52279303379374353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</row>
    <row r="21" spans="1:26" x14ac:dyDescent="0.25">
      <c r="A21" s="2"/>
      <c r="B21" s="5" t="s">
        <v>9</v>
      </c>
      <c r="C21" s="10">
        <f>SUM(C19:C20)</f>
        <v>36634</v>
      </c>
      <c r="D21" s="9">
        <f>C21/C21</f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</row>
    <row r="23" spans="1:26" x14ac:dyDescent="0.25">
      <c r="A23" s="2"/>
      <c r="B23" s="2" t="s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</row>
    <row r="24" spans="1:26" x14ac:dyDescent="0.25">
      <c r="A24" s="2"/>
      <c r="B24" s="5" t="s">
        <v>4</v>
      </c>
      <c r="C24" s="5" t="s">
        <v>5</v>
      </c>
      <c r="D24" s="5" t="s">
        <v>10</v>
      </c>
      <c r="E24" s="5" t="s">
        <v>11</v>
      </c>
      <c r="F24" s="5" t="s">
        <v>12</v>
      </c>
      <c r="G24" s="7" t="s">
        <v>6</v>
      </c>
      <c r="H24" s="34" t="s">
        <v>46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</row>
    <row r="25" spans="1:26" x14ac:dyDescent="0.25">
      <c r="A25" s="2"/>
      <c r="B25" s="5" t="s">
        <v>7</v>
      </c>
      <c r="C25" s="8">
        <v>17482</v>
      </c>
      <c r="D25" s="11">
        <v>4.1799999999999997E-2</v>
      </c>
      <c r="E25" s="12">
        <v>0.01</v>
      </c>
      <c r="F25" s="12">
        <f>D25+E25</f>
        <v>5.1799999999999999E-2</v>
      </c>
      <c r="G25" s="9">
        <f>C25/C27</f>
        <v>0.47720696620625647</v>
      </c>
      <c r="H25" s="14">
        <f>F25*G25</f>
        <v>2.4719320849484083E-2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</row>
    <row r="26" spans="1:26" x14ac:dyDescent="0.25">
      <c r="A26" s="2"/>
      <c r="B26" s="5" t="s">
        <v>8</v>
      </c>
      <c r="C26" s="8">
        <v>19152</v>
      </c>
      <c r="D26" s="11">
        <v>4.1799999999999997E-2</v>
      </c>
      <c r="E26" s="12">
        <v>0.03</v>
      </c>
      <c r="F26" s="11">
        <f>D26+E26</f>
        <v>7.1800000000000003E-2</v>
      </c>
      <c r="G26" s="9">
        <f>C26/C27</f>
        <v>0.52279303379374353</v>
      </c>
      <c r="H26" s="14">
        <f>F26*G26</f>
        <v>3.753653982639079E-2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</row>
    <row r="27" spans="1:26" x14ac:dyDescent="0.25">
      <c r="A27" s="2"/>
      <c r="B27" s="5" t="s">
        <v>9</v>
      </c>
      <c r="C27" s="10">
        <f>SUM(C25:C26)</f>
        <v>36634</v>
      </c>
      <c r="D27" s="5"/>
      <c r="E27" s="5"/>
      <c r="F27" s="5"/>
      <c r="G27" s="9">
        <f>C27/C27</f>
        <v>1</v>
      </c>
      <c r="H27" s="13">
        <f>SUM(H25:H26)</f>
        <v>6.2255860675874873E-2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</row>
    <row r="29" spans="1:26" x14ac:dyDescent="0.25">
      <c r="A29" s="2"/>
      <c r="B29" s="2" t="s">
        <v>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</row>
    <row r="30" spans="1:26" x14ac:dyDescent="0.25">
      <c r="A30" s="2"/>
      <c r="B30" s="5" t="s">
        <v>4</v>
      </c>
      <c r="C30" s="5" t="s">
        <v>5</v>
      </c>
      <c r="D30" s="5" t="s">
        <v>10</v>
      </c>
      <c r="E30" s="5" t="s">
        <v>11</v>
      </c>
      <c r="F30" s="5" t="s">
        <v>12</v>
      </c>
      <c r="G30" s="7" t="s">
        <v>6</v>
      </c>
      <c r="H30" s="34" t="s">
        <v>46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</row>
    <row r="31" spans="1:26" x14ac:dyDescent="0.25">
      <c r="A31" s="2"/>
      <c r="B31" s="5" t="s">
        <v>7</v>
      </c>
      <c r="C31" s="8">
        <v>17482</v>
      </c>
      <c r="D31" s="11">
        <v>4.1200000000000001E-2</v>
      </c>
      <c r="E31" s="12">
        <v>0.01</v>
      </c>
      <c r="F31" s="11">
        <f>D31+E31</f>
        <v>5.1200000000000002E-2</v>
      </c>
      <c r="G31" s="9">
        <v>0.3</v>
      </c>
      <c r="H31" s="18">
        <f>F31*G31</f>
        <v>1.536E-2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</row>
    <row r="32" spans="1:26" x14ac:dyDescent="0.25">
      <c r="A32" s="2"/>
      <c r="B32" s="5" t="s">
        <v>8</v>
      </c>
      <c r="C32" s="8">
        <v>19152</v>
      </c>
      <c r="D32" s="11">
        <v>4.1200000000000001E-2</v>
      </c>
      <c r="E32" s="12">
        <v>0.03</v>
      </c>
      <c r="F32" s="11">
        <f>D32+E32</f>
        <v>7.1199999999999999E-2</v>
      </c>
      <c r="G32" s="9">
        <v>0.7</v>
      </c>
      <c r="H32" s="18">
        <f>F32*G32</f>
        <v>4.9839999999999995E-2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</row>
    <row r="33" spans="1:26" x14ac:dyDescent="0.25">
      <c r="A33" s="2"/>
      <c r="B33" s="5" t="s">
        <v>9</v>
      </c>
      <c r="C33" s="10">
        <f>SUM(C31:C32)</f>
        <v>36634</v>
      </c>
      <c r="D33" s="5"/>
      <c r="E33" s="5"/>
      <c r="F33" s="5"/>
      <c r="G33" s="9">
        <f>C33/C33</f>
        <v>1</v>
      </c>
      <c r="H33" s="13">
        <f>SUM(H31:H32)</f>
        <v>6.5199999999999994E-2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</row>
    <row r="36" spans="1:26" x14ac:dyDescent="0.25">
      <c r="A36" s="2"/>
      <c r="B36" s="5" t="s">
        <v>13</v>
      </c>
      <c r="C36" s="7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</row>
    <row r="37" spans="1:26" x14ac:dyDescent="0.25">
      <c r="A37" s="2"/>
      <c r="B37" s="35" t="s">
        <v>1</v>
      </c>
      <c r="C37" s="13">
        <f>H27</f>
        <v>6.2255860675874873E-2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</row>
    <row r="38" spans="1:26" x14ac:dyDescent="0.25">
      <c r="A38" s="2"/>
      <c r="B38" s="5">
        <v>1</v>
      </c>
      <c r="C38" s="11">
        <f>C37-F38</f>
        <v>6.2746550563229059E-2</v>
      </c>
      <c r="D38" s="2"/>
      <c r="E38" s="2"/>
      <c r="F38" s="4">
        <f>(C37-C44)/6</f>
        <v>-4.9068988735418686E-4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</row>
    <row r="39" spans="1:26" x14ac:dyDescent="0.25">
      <c r="A39" s="2"/>
      <c r="B39" s="5">
        <v>2</v>
      </c>
      <c r="C39" s="11">
        <f>C38-F38</f>
        <v>6.3237240450583251E-2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</row>
    <row r="40" spans="1:26" x14ac:dyDescent="0.25">
      <c r="A40" s="2"/>
      <c r="B40" s="5">
        <v>3</v>
      </c>
      <c r="C40" s="11">
        <f>C39-F38</f>
        <v>6.3727930337937444E-2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</row>
    <row r="41" spans="1:26" x14ac:dyDescent="0.25">
      <c r="A41" s="2"/>
      <c r="B41" s="5">
        <v>4</v>
      </c>
      <c r="C41" s="11">
        <f>C40-F38</f>
        <v>6.4218620225291637E-2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</row>
    <row r="42" spans="1:26" x14ac:dyDescent="0.25">
      <c r="A42" s="2"/>
      <c r="B42" s="5">
        <v>5</v>
      </c>
      <c r="C42" s="11">
        <f>C41-F38</f>
        <v>6.4709310112645829E-2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</row>
    <row r="43" spans="1:26" x14ac:dyDescent="0.25">
      <c r="A43" s="2"/>
      <c r="B43" s="5">
        <v>6</v>
      </c>
      <c r="C43" s="11">
        <f>C42-F38</f>
        <v>6.5200000000000022E-2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</row>
    <row r="44" spans="1:26" x14ac:dyDescent="0.25">
      <c r="A44" s="2"/>
      <c r="B44" s="35" t="s">
        <v>2</v>
      </c>
      <c r="C44" s="13">
        <f>H33</f>
        <v>6.5199999999999994E-2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</row>
    <row r="47" spans="1:26" x14ac:dyDescent="0.25">
      <c r="A47" s="2"/>
      <c r="B47" s="3" t="s">
        <v>15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</row>
    <row r="49" spans="1:26" x14ac:dyDescent="0.25">
      <c r="A49" s="2"/>
      <c r="B49" s="5" t="s">
        <v>13</v>
      </c>
      <c r="C49" s="5" t="s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</row>
    <row r="50" spans="1:26" x14ac:dyDescent="0.25">
      <c r="A50" s="2"/>
      <c r="B50" s="35" t="s">
        <v>1</v>
      </c>
      <c r="C50" s="36">
        <v>0.96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</row>
    <row r="51" spans="1:26" x14ac:dyDescent="0.25">
      <c r="A51" s="2"/>
      <c r="B51" s="5">
        <v>1</v>
      </c>
      <c r="C51" s="5">
        <v>0.97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</row>
    <row r="52" spans="1:26" x14ac:dyDescent="0.25">
      <c r="A52" s="2"/>
      <c r="B52" s="5">
        <v>2</v>
      </c>
      <c r="C52" s="37">
        <v>0.98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</row>
    <row r="53" spans="1:26" x14ac:dyDescent="0.25">
      <c r="A53" s="2"/>
      <c r="B53" s="5">
        <v>3</v>
      </c>
      <c r="C53" s="5">
        <v>0.99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</row>
    <row r="54" spans="1:26" x14ac:dyDescent="0.25">
      <c r="A54" s="2"/>
      <c r="B54" s="5">
        <v>4</v>
      </c>
      <c r="C54" s="5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</row>
    <row r="55" spans="1:26" x14ac:dyDescent="0.25">
      <c r="A55" s="2"/>
      <c r="B55" s="5">
        <v>5</v>
      </c>
      <c r="C55" s="5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</row>
    <row r="56" spans="1:26" x14ac:dyDescent="0.25">
      <c r="A56" s="2"/>
      <c r="B56" s="5">
        <v>6</v>
      </c>
      <c r="C56" s="5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/>
      <c r="X56" s="1"/>
      <c r="Y56" s="1"/>
      <c r="Z56" s="1"/>
    </row>
    <row r="57" spans="1:26" x14ac:dyDescent="0.25">
      <c r="A57" s="2"/>
      <c r="B57" s="35" t="s">
        <v>2</v>
      </c>
      <c r="C57" s="36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/>
      <c r="X57" s="1"/>
      <c r="Y57" s="1"/>
      <c r="Z57" s="1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/>
      <c r="X58" s="1"/>
      <c r="Y58" s="1"/>
      <c r="Z58" s="1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/>
      <c r="X59" s="1"/>
      <c r="Y59" s="1"/>
      <c r="Z59" s="1"/>
    </row>
    <row r="60" spans="1:26" x14ac:dyDescent="0.25">
      <c r="A60" s="2"/>
      <c r="B60" s="3" t="s">
        <v>16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/>
      <c r="X60" s="1"/>
      <c r="Y60" s="1"/>
      <c r="Z60" s="1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/>
      <c r="X61" s="1"/>
      <c r="Y61" s="1"/>
      <c r="Z61" s="1"/>
    </row>
    <row r="62" spans="1:26" ht="15.75" thickBot="1" x14ac:dyDescent="0.3">
      <c r="A62" s="2"/>
      <c r="B62" s="7" t="s">
        <v>13</v>
      </c>
      <c r="C62" s="7" t="s">
        <v>17</v>
      </c>
      <c r="D62" s="7" t="s">
        <v>14</v>
      </c>
      <c r="E62" s="26" t="s">
        <v>15</v>
      </c>
      <c r="F62" s="29" t="s">
        <v>16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/>
      <c r="X62" s="1"/>
      <c r="Y62" s="1"/>
      <c r="Z62" s="1"/>
    </row>
    <row r="63" spans="1:26" x14ac:dyDescent="0.25">
      <c r="A63" s="2"/>
      <c r="B63" s="7" t="s">
        <v>1</v>
      </c>
      <c r="C63" s="41">
        <v>4.48E-2</v>
      </c>
      <c r="D63" s="42">
        <f>C37</f>
        <v>6.2255860675874873E-2</v>
      </c>
      <c r="E63" s="26">
        <f>C50</f>
        <v>0.96</v>
      </c>
      <c r="F63" s="38">
        <f>C63+(D63*E63)</f>
        <v>0.10456562624883987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/>
      <c r="X63" s="1"/>
      <c r="Y63" s="1"/>
      <c r="Z63" s="1"/>
    </row>
    <row r="64" spans="1:26" x14ac:dyDescent="0.25">
      <c r="A64" s="2"/>
      <c r="B64" s="7">
        <v>1</v>
      </c>
      <c r="C64" s="41">
        <v>0.05</v>
      </c>
      <c r="D64" s="42">
        <f t="shared" ref="D64:D70" si="0">C38</f>
        <v>6.2746550563229059E-2</v>
      </c>
      <c r="E64" s="26">
        <f t="shared" ref="E64:E70" si="1">C51</f>
        <v>0.97</v>
      </c>
      <c r="F64" s="39">
        <f t="shared" ref="F64:F68" si="2">C64+(D64*E64)</f>
        <v>0.11086415404633218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"/>
      <c r="X64" s="1"/>
      <c r="Y64" s="1"/>
      <c r="Z64" s="1"/>
    </row>
    <row r="65" spans="1:26" x14ac:dyDescent="0.25">
      <c r="A65" s="2"/>
      <c r="B65" s="7">
        <v>2</v>
      </c>
      <c r="C65" s="41">
        <v>4.4999999999999998E-2</v>
      </c>
      <c r="D65" s="42">
        <f t="shared" si="0"/>
        <v>6.3237240450583251E-2</v>
      </c>
      <c r="E65" s="26">
        <f t="shared" si="1"/>
        <v>0.98</v>
      </c>
      <c r="F65" s="39">
        <f t="shared" si="2"/>
        <v>0.10697249564157157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  <c r="X65" s="1"/>
      <c r="Y65" s="1"/>
      <c r="Z65" s="1"/>
    </row>
    <row r="66" spans="1:26" x14ac:dyDescent="0.25">
      <c r="A66" s="2"/>
      <c r="B66" s="7">
        <v>3</v>
      </c>
      <c r="C66" s="41">
        <v>0.04</v>
      </c>
      <c r="D66" s="42">
        <f t="shared" si="0"/>
        <v>6.3727930337937444E-2</v>
      </c>
      <c r="E66" s="26">
        <f t="shared" si="1"/>
        <v>0.99</v>
      </c>
      <c r="F66" s="39">
        <f t="shared" si="2"/>
        <v>0.10309065103455806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"/>
      <c r="X66" s="1"/>
      <c r="Y66" s="1"/>
      <c r="Z66" s="1"/>
    </row>
    <row r="67" spans="1:26" x14ac:dyDescent="0.25">
      <c r="A67" s="2"/>
      <c r="B67" s="7">
        <v>4</v>
      </c>
      <c r="C67" s="41">
        <v>3.5000000000000003E-2</v>
      </c>
      <c r="D67" s="42">
        <f t="shared" si="0"/>
        <v>6.4218620225291637E-2</v>
      </c>
      <c r="E67" s="26">
        <f t="shared" si="1"/>
        <v>1</v>
      </c>
      <c r="F67" s="39">
        <f t="shared" si="2"/>
        <v>9.921862022529164E-2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"/>
      <c r="X67" s="1"/>
      <c r="Y67" s="1"/>
      <c r="Z67" s="1"/>
    </row>
    <row r="68" spans="1:26" x14ac:dyDescent="0.25">
      <c r="A68" s="2"/>
      <c r="B68" s="7">
        <v>5</v>
      </c>
      <c r="C68" s="41">
        <v>0.03</v>
      </c>
      <c r="D68" s="42">
        <f t="shared" si="0"/>
        <v>6.4709310112645829E-2</v>
      </c>
      <c r="E68" s="26">
        <f t="shared" si="1"/>
        <v>1</v>
      </c>
      <c r="F68" s="39">
        <f t="shared" si="2"/>
        <v>9.4709310112645828E-2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"/>
      <c r="X68" s="1"/>
      <c r="Y68" s="1"/>
      <c r="Z68" s="1"/>
    </row>
    <row r="69" spans="1:26" x14ac:dyDescent="0.25">
      <c r="A69" s="2"/>
      <c r="B69" s="7">
        <v>6</v>
      </c>
      <c r="C69" s="41">
        <v>0.03</v>
      </c>
      <c r="D69" s="42">
        <f>C43</f>
        <v>6.5200000000000022E-2</v>
      </c>
      <c r="E69" s="26">
        <f t="shared" si="1"/>
        <v>1</v>
      </c>
      <c r="F69" s="39">
        <f>C69+(D69*E69)</f>
        <v>9.5200000000000021E-2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"/>
      <c r="X69" s="1"/>
      <c r="Y69" s="1"/>
      <c r="Z69" s="1"/>
    </row>
    <row r="70" spans="1:26" ht="15.75" thickBot="1" x14ac:dyDescent="0.3">
      <c r="A70" s="2"/>
      <c r="B70" s="7" t="s">
        <v>2</v>
      </c>
      <c r="C70" s="43">
        <v>0.03</v>
      </c>
      <c r="D70" s="42">
        <f t="shared" si="0"/>
        <v>6.5199999999999994E-2</v>
      </c>
      <c r="E70" s="26">
        <f t="shared" si="1"/>
        <v>1</v>
      </c>
      <c r="F70" s="40">
        <v>0.09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"/>
      <c r="X70" s="1"/>
      <c r="Y70" s="1"/>
      <c r="Z70" s="1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"/>
      <c r="X71" s="1"/>
      <c r="Y71" s="1"/>
      <c r="Z71" s="1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"/>
      <c r="X72" s="1"/>
      <c r="Y72" s="1"/>
      <c r="Z72" s="1"/>
    </row>
    <row r="73" spans="1:26" x14ac:dyDescent="0.25">
      <c r="A73" s="2"/>
      <c r="B73" s="3" t="s">
        <v>18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"/>
      <c r="X73" s="1"/>
      <c r="Y73" s="1"/>
      <c r="Z73" s="1"/>
    </row>
    <row r="74" spans="1:26" x14ac:dyDescent="0.25">
      <c r="A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"/>
      <c r="X74" s="1"/>
      <c r="Y74" s="1"/>
      <c r="Z74" s="1"/>
    </row>
    <row r="75" spans="1:26" x14ac:dyDescent="0.25">
      <c r="A75" s="2"/>
      <c r="B75" s="2" t="s">
        <v>20</v>
      </c>
      <c r="C75" s="15">
        <v>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"/>
      <c r="X75" s="1"/>
      <c r="Y75" s="1"/>
      <c r="Z75" s="1"/>
    </row>
    <row r="76" spans="1:26" x14ac:dyDescent="0.25">
      <c r="A76" s="2"/>
      <c r="B76" s="2" t="s">
        <v>19</v>
      </c>
      <c r="C76" s="16">
        <v>1132.7</v>
      </c>
      <c r="D76" s="2" t="s">
        <v>21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"/>
      <c r="X76" s="1"/>
      <c r="Y76" s="1"/>
      <c r="Z76" s="1"/>
    </row>
    <row r="77" spans="1:26" x14ac:dyDescent="0.25">
      <c r="A77" s="2"/>
      <c r="B77" s="2" t="s">
        <v>22</v>
      </c>
      <c r="C77" s="15">
        <f>C75*C76</f>
        <v>90616</v>
      </c>
      <c r="D77" s="2" t="s">
        <v>21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"/>
      <c r="X77" s="1"/>
      <c r="Y77" s="1"/>
      <c r="Z77" s="1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"/>
      <c r="X78" s="1"/>
      <c r="Y78" s="1"/>
      <c r="Z78" s="1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"/>
      <c r="X79" s="1"/>
      <c r="Y79" s="1"/>
      <c r="Z79" s="1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"/>
      <c r="X80" s="1"/>
      <c r="Y80" s="1"/>
      <c r="Z80" s="1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"/>
      <c r="X81" s="1"/>
      <c r="Y81" s="1"/>
      <c r="Z81" s="1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"/>
      <c r="X82" s="1"/>
      <c r="Y82" s="1"/>
      <c r="Z82" s="1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"/>
      <c r="X83" s="1"/>
      <c r="Y83" s="1"/>
      <c r="Z83" s="1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"/>
      <c r="X84" s="1"/>
      <c r="Y84" s="1"/>
      <c r="Z84" s="1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"/>
      <c r="X85" s="1"/>
      <c r="Y85" s="1"/>
      <c r="Z85" s="1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"/>
      <c r="X86" s="1"/>
      <c r="Y86" s="1"/>
      <c r="Z86" s="1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"/>
      <c r="X87" s="1"/>
      <c r="Y87" s="1"/>
      <c r="Z87" s="1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"/>
      <c r="X88" s="1"/>
      <c r="Y88" s="1"/>
      <c r="Z88" s="1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"/>
      <c r="X89" s="1"/>
      <c r="Y89" s="1"/>
      <c r="Z89" s="1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"/>
      <c r="X90" s="1"/>
      <c r="Y90" s="1"/>
      <c r="Z90" s="1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"/>
      <c r="X91" s="1"/>
      <c r="Y91" s="1"/>
      <c r="Z91" s="1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"/>
      <c r="X92" s="1"/>
      <c r="Y92" s="1"/>
      <c r="Z92" s="1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"/>
      <c r="X93" s="1"/>
      <c r="Y93" s="1"/>
      <c r="Z93" s="1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"/>
      <c r="X94" s="1"/>
      <c r="Y94" s="1"/>
      <c r="Z94" s="1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"/>
      <c r="X95" s="1"/>
      <c r="Y95" s="1"/>
      <c r="Z95" s="1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"/>
      <c r="X96" s="1"/>
      <c r="Y96" s="1"/>
      <c r="Z96" s="1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"/>
      <c r="X97" s="1"/>
      <c r="Y97" s="1"/>
      <c r="Z97" s="1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"/>
      <c r="X98" s="1"/>
      <c r="Y98" s="1"/>
      <c r="Z98" s="1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"/>
      <c r="X99" s="1"/>
      <c r="Y99" s="1"/>
      <c r="Z99" s="1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"/>
      <c r="X100" s="1"/>
      <c r="Y100" s="1"/>
      <c r="Z100" s="1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"/>
      <c r="X101" s="1"/>
      <c r="Y101" s="1"/>
      <c r="Z101" s="1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"/>
      <c r="X102" s="1"/>
      <c r="Y102" s="1"/>
      <c r="Z102" s="1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"/>
      <c r="X103" s="1"/>
      <c r="Y103" s="1"/>
      <c r="Z103" s="1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"/>
      <c r="X104" s="1"/>
      <c r="Y104" s="1"/>
      <c r="Z104" s="1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"/>
      <c r="X105" s="1"/>
      <c r="Y105" s="1"/>
      <c r="Z105" s="1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"/>
      <c r="X106" s="1"/>
      <c r="Y106" s="1"/>
      <c r="Z106" s="1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"/>
      <c r="X107" s="1"/>
      <c r="Y107" s="1"/>
      <c r="Z107" s="1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"/>
      <c r="X108" s="1"/>
      <c r="Y108" s="1"/>
      <c r="Z108" s="1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"/>
      <c r="X109" s="1"/>
      <c r="Y109" s="1"/>
      <c r="Z109" s="1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"/>
      <c r="X110" s="1"/>
      <c r="Y110" s="1"/>
      <c r="Z110" s="1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"/>
      <c r="X111" s="1"/>
      <c r="Y111" s="1"/>
      <c r="Z111" s="1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"/>
      <c r="X112" s="1"/>
      <c r="Y112" s="1"/>
      <c r="Z112" s="1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"/>
      <c r="X113" s="1"/>
      <c r="Y113" s="1"/>
      <c r="Z113" s="1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"/>
      <c r="X114" s="1"/>
      <c r="Y114" s="1"/>
      <c r="Z114" s="1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"/>
      <c r="X115" s="1"/>
      <c r="Y115" s="1"/>
      <c r="Z115" s="1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1"/>
      <c r="X116" s="1"/>
      <c r="Y116" s="1"/>
      <c r="Z116" s="1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"/>
      <c r="X117" s="1"/>
      <c r="Y117" s="1"/>
      <c r="Z117" s="1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1"/>
      <c r="X118" s="1"/>
      <c r="Y118" s="1"/>
      <c r="Z118" s="1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1"/>
      <c r="X119" s="1"/>
      <c r="Y119" s="1"/>
      <c r="Z119" s="1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"/>
      <c r="X120" s="1"/>
      <c r="Y120" s="1"/>
      <c r="Z120" s="1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"/>
      <c r="X121" s="1"/>
      <c r="Y121" s="1"/>
      <c r="Z121" s="1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"/>
      <c r="X122" s="1"/>
      <c r="Y122" s="1"/>
      <c r="Z122" s="1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1"/>
      <c r="X123" s="1"/>
      <c r="Y123" s="1"/>
      <c r="Z123" s="1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1"/>
      <c r="X124" s="1"/>
      <c r="Y124" s="1"/>
      <c r="Z124" s="1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"/>
      <c r="X125" s="1"/>
      <c r="Y125" s="1"/>
      <c r="Z125" s="1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1"/>
      <c r="X126" s="1"/>
      <c r="Y126" s="1"/>
      <c r="Z126" s="1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"/>
      <c r="X127" s="1"/>
      <c r="Y127" s="1"/>
      <c r="Z127" s="1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"/>
      <c r="X128" s="1"/>
      <c r="Y128" s="1"/>
      <c r="Z128" s="1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1"/>
      <c r="X129" s="1"/>
      <c r="Y129" s="1"/>
      <c r="Z129" s="1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1"/>
      <c r="X130" s="1"/>
      <c r="Y130" s="1"/>
      <c r="Z130" s="1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"/>
      <c r="X131" s="1"/>
      <c r="Y131" s="1"/>
      <c r="Z131" s="1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"/>
      <c r="X132" s="1"/>
      <c r="Y132" s="1"/>
      <c r="Z132" s="1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"/>
      <c r="X133" s="1"/>
      <c r="Y133" s="1"/>
      <c r="Z133" s="1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"/>
      <c r="X134" s="1"/>
      <c r="Y134" s="1"/>
      <c r="Z134" s="1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1"/>
      <c r="X135" s="1"/>
      <c r="Y135" s="1"/>
      <c r="Z135" s="1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"/>
      <c r="X136" s="1"/>
      <c r="Y136" s="1"/>
      <c r="Z136" s="1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1"/>
      <c r="X137" s="1"/>
      <c r="Y137" s="1"/>
      <c r="Z137" s="1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"/>
      <c r="X138" s="1"/>
      <c r="Y138" s="1"/>
      <c r="Z138" s="1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1"/>
      <c r="X139" s="1"/>
      <c r="Y139" s="1"/>
      <c r="Z139" s="1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"/>
      <c r="X140" s="1"/>
      <c r="Y140" s="1"/>
      <c r="Z140" s="1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1"/>
      <c r="X141" s="1"/>
      <c r="Y141" s="1"/>
      <c r="Z141" s="1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"/>
      <c r="X142" s="1"/>
      <c r="Y142" s="1"/>
      <c r="Z142" s="1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"/>
      <c r="X143" s="1"/>
      <c r="Y143" s="1"/>
      <c r="Z143" s="1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"/>
      <c r="X144" s="1"/>
      <c r="Y144" s="1"/>
      <c r="Z144" s="1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"/>
      <c r="X145" s="1"/>
      <c r="Y145" s="1"/>
      <c r="Z145" s="1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"/>
      <c r="X146" s="1"/>
      <c r="Y146" s="1"/>
      <c r="Z146" s="1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"/>
      <c r="X147" s="1"/>
      <c r="Y147" s="1"/>
      <c r="Z147" s="1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"/>
      <c r="X148" s="1"/>
      <c r="Y148" s="1"/>
      <c r="Z148" s="1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"/>
      <c r="X149" s="1"/>
      <c r="Y149" s="1"/>
      <c r="Z149" s="1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"/>
      <c r="X150" s="1"/>
      <c r="Y150" s="1"/>
      <c r="Z150" s="1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1"/>
      <c r="X151" s="1"/>
      <c r="Y151" s="1"/>
      <c r="Z151" s="1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1"/>
      <c r="X152" s="1"/>
      <c r="Y152" s="1"/>
      <c r="Z152" s="1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"/>
      <c r="X153" s="1"/>
      <c r="Y153" s="1"/>
      <c r="Z153" s="1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"/>
      <c r="X154" s="1"/>
      <c r="Y154" s="1"/>
      <c r="Z154" s="1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"/>
      <c r="X155" s="1"/>
      <c r="Y155" s="1"/>
      <c r="Z155" s="1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"/>
      <c r="X156" s="1"/>
      <c r="Y156" s="1"/>
      <c r="Z156" s="1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1"/>
      <c r="X157" s="1"/>
      <c r="Y157" s="1"/>
      <c r="Z157" s="1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"/>
      <c r="X158" s="1"/>
      <c r="Y158" s="1"/>
      <c r="Z158" s="1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"/>
      <c r="X159" s="1"/>
      <c r="Y159" s="1"/>
      <c r="Z159" s="1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1"/>
      <c r="X160" s="1"/>
      <c r="Y160" s="1"/>
      <c r="Z160" s="1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1"/>
      <c r="X161" s="1"/>
      <c r="Y161" s="1"/>
      <c r="Z161" s="1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1"/>
      <c r="X162" s="1"/>
      <c r="Y162" s="1"/>
      <c r="Z162" s="1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1"/>
      <c r="X163" s="1"/>
      <c r="Y163" s="1"/>
      <c r="Z163" s="1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1"/>
      <c r="X164" s="1"/>
      <c r="Y164" s="1"/>
      <c r="Z164" s="1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1"/>
      <c r="X165" s="1"/>
      <c r="Y165" s="1"/>
      <c r="Z165" s="1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1"/>
      <c r="X166" s="1"/>
      <c r="Y166" s="1"/>
      <c r="Z166" s="1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1"/>
      <c r="X167" s="1"/>
      <c r="Y167" s="1"/>
      <c r="Z167" s="1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"/>
      <c r="X168" s="1"/>
      <c r="Y168" s="1"/>
      <c r="Z168" s="1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"/>
      <c r="X169" s="1"/>
      <c r="Y169" s="1"/>
      <c r="Z169" s="1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1"/>
      <c r="X170" s="1"/>
      <c r="Y170" s="1"/>
      <c r="Z170" s="1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1"/>
      <c r="X171" s="1"/>
      <c r="Y171" s="1"/>
      <c r="Z171" s="1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1"/>
      <c r="X172" s="1"/>
      <c r="Y172" s="1"/>
      <c r="Z172" s="1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1"/>
      <c r="X173" s="1"/>
      <c r="Y173" s="1"/>
      <c r="Z173" s="1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"/>
      <c r="X174" s="1"/>
      <c r="Y174" s="1"/>
      <c r="Z174" s="1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"/>
      <c r="X175" s="1"/>
      <c r="Y175" s="1"/>
      <c r="Z175" s="1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1"/>
      <c r="X176" s="1"/>
      <c r="Y176" s="1"/>
      <c r="Z176" s="1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"/>
      <c r="X177" s="1"/>
      <c r="Y177" s="1"/>
      <c r="Z177" s="1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1"/>
      <c r="X178" s="1"/>
      <c r="Y178" s="1"/>
      <c r="Z178" s="1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1"/>
      <c r="X179" s="1"/>
      <c r="Y179" s="1"/>
      <c r="Z179" s="1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1"/>
      <c r="X180" s="1"/>
      <c r="Y180" s="1"/>
      <c r="Z180" s="1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"/>
      <c r="X181" s="1"/>
      <c r="Y181" s="1"/>
      <c r="Z181" s="1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1"/>
      <c r="X182" s="1"/>
      <c r="Y182" s="1"/>
      <c r="Z182" s="1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1"/>
      <c r="X183" s="1"/>
      <c r="Y183" s="1"/>
      <c r="Z183" s="1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1"/>
      <c r="X184" s="1"/>
      <c r="Y184" s="1"/>
      <c r="Z184" s="1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1"/>
      <c r="X185" s="1"/>
      <c r="Y185" s="1"/>
      <c r="Z185" s="1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1"/>
      <c r="X186" s="1"/>
      <c r="Y186" s="1"/>
      <c r="Z186" s="1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1"/>
      <c r="X187" s="1"/>
      <c r="Y187" s="1"/>
      <c r="Z187" s="1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"/>
      <c r="X188" s="1"/>
      <c r="Y188" s="1"/>
      <c r="Z188" s="1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1"/>
      <c r="X189" s="1"/>
      <c r="Y189" s="1"/>
      <c r="Z189" s="1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1"/>
      <c r="X190" s="1"/>
      <c r="Y190" s="1"/>
      <c r="Z190" s="1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1"/>
      <c r="X191" s="1"/>
      <c r="Y191" s="1"/>
      <c r="Z191" s="1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1"/>
      <c r="X192" s="1"/>
      <c r="Y192" s="1"/>
      <c r="Z192" s="1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1"/>
      <c r="X193" s="1"/>
      <c r="Y193" s="1"/>
      <c r="Z193" s="1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1"/>
      <c r="X194" s="1"/>
      <c r="Y194" s="1"/>
      <c r="Z194" s="1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1"/>
      <c r="X195" s="1"/>
      <c r="Y195" s="1"/>
      <c r="Z195" s="1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1"/>
      <c r="X196" s="1"/>
      <c r="Y196" s="1"/>
      <c r="Z196" s="1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1"/>
      <c r="X197" s="1"/>
      <c r="Y197" s="1"/>
      <c r="Z197" s="1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1"/>
      <c r="X198" s="1"/>
      <c r="Y198" s="1"/>
      <c r="Z198" s="1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1"/>
      <c r="X199" s="1"/>
      <c r="Y199" s="1"/>
      <c r="Z199" s="1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1"/>
      <c r="X200" s="1"/>
      <c r="Y200" s="1"/>
      <c r="Z200" s="1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1"/>
      <c r="X201" s="1"/>
      <c r="Y201" s="1"/>
      <c r="Z201" s="1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1"/>
      <c r="X202" s="1"/>
      <c r="Y202" s="1"/>
      <c r="Z202" s="1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1"/>
      <c r="X203" s="1"/>
      <c r="Y203" s="1"/>
      <c r="Z203" s="1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1"/>
      <c r="X204" s="1"/>
      <c r="Y204" s="1"/>
      <c r="Z204" s="1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1"/>
      <c r="X205" s="1"/>
      <c r="Y205" s="1"/>
      <c r="Z205" s="1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1"/>
      <c r="X206" s="1"/>
      <c r="Y206" s="1"/>
      <c r="Z206" s="1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"/>
      <c r="X207" s="1"/>
      <c r="Y207" s="1"/>
      <c r="Z207" s="1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"/>
      <c r="X208" s="1"/>
      <c r="Y208" s="1"/>
      <c r="Z208" s="1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"/>
      <c r="X209" s="1"/>
      <c r="Y209" s="1"/>
      <c r="Z209" s="1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1"/>
      <c r="X210" s="1"/>
      <c r="Y210" s="1"/>
      <c r="Z210" s="1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"/>
      <c r="X211" s="1"/>
      <c r="Y211" s="1"/>
      <c r="Z211" s="1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"/>
      <c r="X212" s="1"/>
      <c r="Y212" s="1"/>
      <c r="Z212" s="1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"/>
      <c r="X213" s="1"/>
      <c r="Y213" s="1"/>
      <c r="Z213" s="1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"/>
      <c r="X214" s="1"/>
      <c r="Y214" s="1"/>
      <c r="Z214" s="1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"/>
      <c r="X215" s="1"/>
      <c r="Y215" s="1"/>
      <c r="Z215" s="1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"/>
      <c r="X216" s="1"/>
      <c r="Y216" s="1"/>
      <c r="Z216" s="1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"/>
      <c r="X217" s="1"/>
      <c r="Y217" s="1"/>
      <c r="Z217" s="1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"/>
      <c r="X218" s="1"/>
      <c r="Y218" s="1"/>
      <c r="Z218" s="1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"/>
      <c r="X219" s="1"/>
      <c r="Y219" s="1"/>
      <c r="Z219" s="1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EB22-AA11-49B7-BAE0-941B008B63CC}">
  <dimension ref="A1:BW592"/>
  <sheetViews>
    <sheetView showGridLines="0" topLeftCell="A13" workbookViewId="0">
      <selection activeCell="F39" sqref="F39"/>
    </sheetView>
  </sheetViews>
  <sheetFormatPr defaultRowHeight="15" x14ac:dyDescent="0.25"/>
  <cols>
    <col min="2" max="2" width="17.42578125" customWidth="1"/>
    <col min="3" max="3" width="14.7109375" customWidth="1"/>
    <col min="4" max="4" width="15" customWidth="1"/>
    <col min="5" max="5" width="12.42578125" bestFit="1" customWidth="1"/>
    <col min="6" max="6" width="11.7109375" customWidth="1"/>
    <col min="7" max="14" width="9.5703125" bestFit="1" customWidth="1"/>
  </cols>
  <sheetData>
    <row r="1" spans="1: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x14ac:dyDescent="0.25">
      <c r="A3" s="1"/>
      <c r="B3" s="2"/>
      <c r="C3" s="3" t="s">
        <v>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x14ac:dyDescent="0.25">
      <c r="A4" s="1"/>
      <c r="B4" s="2"/>
      <c r="C4" s="17" t="s">
        <v>23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x14ac:dyDescent="0.25">
      <c r="A5" s="1"/>
      <c r="B5" s="2"/>
      <c r="C5" s="2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x14ac:dyDescent="0.25">
      <c r="A7" s="1"/>
      <c r="B7" s="2"/>
      <c r="C7" s="196" t="s">
        <v>24</v>
      </c>
      <c r="D7" s="196"/>
      <c r="E7" s="196"/>
      <c r="F7" s="19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x14ac:dyDescent="0.25">
      <c r="A9" s="1"/>
      <c r="B9" s="7" t="s">
        <v>13</v>
      </c>
      <c r="C9" s="7" t="s">
        <v>26</v>
      </c>
      <c r="D9" s="7" t="s">
        <v>28</v>
      </c>
      <c r="E9" s="7" t="s">
        <v>17</v>
      </c>
      <c r="F9" s="44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x14ac:dyDescent="0.25">
      <c r="A10" s="1"/>
      <c r="B10" s="5" t="s">
        <v>1</v>
      </c>
      <c r="C10" s="5" t="s">
        <v>48</v>
      </c>
      <c r="D10" s="11">
        <v>1.47E-2</v>
      </c>
      <c r="E10" s="6">
        <v>4.48E-2</v>
      </c>
      <c r="F10" s="45">
        <f>D10+E10</f>
        <v>5.9499999999999997E-2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x14ac:dyDescent="0.25">
      <c r="A11" s="1"/>
      <c r="B11" s="5">
        <v>1</v>
      </c>
      <c r="C11" s="5" t="s">
        <v>48</v>
      </c>
      <c r="D11" s="11">
        <v>1.47E-2</v>
      </c>
      <c r="E11" s="6">
        <v>0.05</v>
      </c>
      <c r="F11" s="45">
        <f t="shared" ref="F11:F17" si="0">D11+E11</f>
        <v>6.4700000000000008E-2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x14ac:dyDescent="0.25">
      <c r="A12" s="1"/>
      <c r="B12" s="5">
        <v>2</v>
      </c>
      <c r="C12" s="5" t="s">
        <v>48</v>
      </c>
      <c r="D12" s="11">
        <v>1.47E-2</v>
      </c>
      <c r="E12" s="6">
        <v>4.4999999999999998E-2</v>
      </c>
      <c r="F12" s="45">
        <f t="shared" si="0"/>
        <v>5.9699999999999996E-2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x14ac:dyDescent="0.25">
      <c r="A13" s="1"/>
      <c r="B13" s="5">
        <v>3</v>
      </c>
      <c r="C13" s="5" t="s">
        <v>48</v>
      </c>
      <c r="D13" s="11">
        <v>1.47E-2</v>
      </c>
      <c r="E13" s="6">
        <v>0.04</v>
      </c>
      <c r="F13" s="45">
        <f t="shared" si="0"/>
        <v>5.4699999999999999E-2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 x14ac:dyDescent="0.25">
      <c r="A14" s="1"/>
      <c r="B14" s="5">
        <v>4</v>
      </c>
      <c r="C14" s="5" t="s">
        <v>48</v>
      </c>
      <c r="D14" s="11">
        <v>1.47E-2</v>
      </c>
      <c r="E14" s="6">
        <v>3.5000000000000003E-2</v>
      </c>
      <c r="F14" s="45">
        <f t="shared" si="0"/>
        <v>4.9700000000000001E-2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x14ac:dyDescent="0.25">
      <c r="A15" s="1"/>
      <c r="B15" s="5">
        <v>5</v>
      </c>
      <c r="C15" s="5" t="s">
        <v>48</v>
      </c>
      <c r="D15" s="11">
        <v>1.47E-2</v>
      </c>
      <c r="E15" s="6">
        <v>0.03</v>
      </c>
      <c r="F15" s="45">
        <f t="shared" si="0"/>
        <v>4.4699999999999997E-2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x14ac:dyDescent="0.25">
      <c r="A16" s="1"/>
      <c r="B16" s="5">
        <v>6</v>
      </c>
      <c r="C16" s="5" t="s">
        <v>48</v>
      </c>
      <c r="D16" s="11">
        <v>1.47E-2</v>
      </c>
      <c r="E16" s="6">
        <v>0.03</v>
      </c>
      <c r="F16" s="45">
        <f t="shared" si="0"/>
        <v>4.4699999999999997E-2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x14ac:dyDescent="0.25">
      <c r="A17" s="1"/>
      <c r="B17" s="5" t="s">
        <v>2</v>
      </c>
      <c r="C17" s="5" t="s">
        <v>27</v>
      </c>
      <c r="D17" s="12">
        <v>0.01</v>
      </c>
      <c r="E17" s="12">
        <v>0.03</v>
      </c>
      <c r="F17" s="45">
        <f t="shared" si="0"/>
        <v>0.04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x14ac:dyDescent="0.25">
      <c r="A20" s="1"/>
      <c r="B20" s="2"/>
      <c r="C20" s="3" t="s">
        <v>29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x14ac:dyDescent="0.25">
      <c r="A22" s="1"/>
      <c r="B22" s="2"/>
      <c r="C22" s="2" t="s">
        <v>30</v>
      </c>
      <c r="D22" s="2" t="s">
        <v>13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x14ac:dyDescent="0.25">
      <c r="A23" s="1"/>
      <c r="B23" s="2"/>
      <c r="C23" s="5">
        <v>2025</v>
      </c>
      <c r="D23" s="5">
        <v>1</v>
      </c>
      <c r="E23" s="24">
        <v>1250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x14ac:dyDescent="0.25">
      <c r="A24" s="1"/>
      <c r="B24" s="2"/>
      <c r="C24" s="5">
        <v>2026</v>
      </c>
      <c r="D24" s="5">
        <v>2</v>
      </c>
      <c r="E24" s="24">
        <v>1500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 x14ac:dyDescent="0.25">
      <c r="A25" s="1"/>
      <c r="B25" s="2"/>
      <c r="C25" s="5">
        <v>2027</v>
      </c>
      <c r="D25" s="5">
        <v>3</v>
      </c>
      <c r="E25" s="24">
        <v>1500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 x14ac:dyDescent="0.25">
      <c r="A26" s="1"/>
      <c r="B26" s="2"/>
      <c r="C26" s="5">
        <v>2028</v>
      </c>
      <c r="D26" s="5">
        <v>4</v>
      </c>
      <c r="E26" s="24">
        <v>600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 x14ac:dyDescent="0.25">
      <c r="A27" s="1"/>
      <c r="B27" s="2"/>
      <c r="C27" s="5" t="s">
        <v>31</v>
      </c>
      <c r="D27" s="5">
        <v>8</v>
      </c>
      <c r="E27" s="24">
        <v>10850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 x14ac:dyDescent="0.25">
      <c r="A28" s="1"/>
      <c r="B28" s="2"/>
      <c r="C28" s="2" t="s">
        <v>9</v>
      </c>
      <c r="D28" s="2"/>
      <c r="E28" s="15">
        <f>15700</f>
        <v>15700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x14ac:dyDescent="0.25">
      <c r="A29" s="1"/>
      <c r="B29" s="2"/>
      <c r="D29" s="2"/>
      <c r="E29" s="1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x14ac:dyDescent="0.25">
      <c r="A30" s="1"/>
      <c r="B30" s="2"/>
      <c r="C30" s="2">
        <f>E27/E23</f>
        <v>8.68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x14ac:dyDescent="0.25">
      <c r="A31" s="1"/>
      <c r="B31" s="2"/>
      <c r="C31" s="2"/>
      <c r="D31" s="2" t="s">
        <v>33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x14ac:dyDescent="0.25">
      <c r="A33" s="1"/>
      <c r="B33" s="2" t="s">
        <v>13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2">
        <v>11</v>
      </c>
      <c r="N33" s="2">
        <v>12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x14ac:dyDescent="0.25">
      <c r="A34" s="1"/>
      <c r="B34" s="2" t="s">
        <v>34</v>
      </c>
      <c r="C34" s="24">
        <v>556.79999999999995</v>
      </c>
      <c r="D34" s="24">
        <v>556.79999999999995</v>
      </c>
      <c r="E34" s="24">
        <v>556.79999999999995</v>
      </c>
      <c r="F34" s="24">
        <v>556.79999999999995</v>
      </c>
      <c r="G34" s="24">
        <v>556.79999999999995</v>
      </c>
      <c r="H34" s="24">
        <v>556.79999999999995</v>
      </c>
      <c r="I34" s="24">
        <v>556.79999999999995</v>
      </c>
      <c r="J34" s="24">
        <v>556.79999999999995</v>
      </c>
      <c r="K34" s="24">
        <v>556.79999999999995</v>
      </c>
      <c r="L34" s="24">
        <v>556.79999999999995</v>
      </c>
      <c r="M34" s="24">
        <v>556.79999999999995</v>
      </c>
      <c r="N34" s="24">
        <v>556.79999999999995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x14ac:dyDescent="0.25">
      <c r="A35" s="1"/>
      <c r="B35" s="2" t="s">
        <v>25</v>
      </c>
      <c r="C35" s="18">
        <f>F11</f>
        <v>6.4700000000000008E-2</v>
      </c>
      <c r="D35" s="18">
        <f>F12</f>
        <v>5.9699999999999996E-2</v>
      </c>
      <c r="E35" s="18">
        <f>F13</f>
        <v>5.4699999999999999E-2</v>
      </c>
      <c r="F35" s="18">
        <f>F14</f>
        <v>4.9700000000000001E-2</v>
      </c>
      <c r="G35" s="18">
        <f>F15</f>
        <v>4.4699999999999997E-2</v>
      </c>
      <c r="H35" s="18">
        <f>F16</f>
        <v>4.4699999999999997E-2</v>
      </c>
      <c r="I35" s="18">
        <f>F17</f>
        <v>0.04</v>
      </c>
      <c r="J35" s="12">
        <v>0.04</v>
      </c>
      <c r="K35" s="12">
        <v>0.04</v>
      </c>
      <c r="L35" s="12">
        <v>0.04</v>
      </c>
      <c r="M35" s="12">
        <v>0.04</v>
      </c>
      <c r="N35" s="12">
        <v>0.04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x14ac:dyDescent="0.25">
      <c r="A36" s="1"/>
      <c r="B36" s="2" t="s">
        <v>35</v>
      </c>
      <c r="C36" s="24">
        <f>C34/((1+C35)^C33)</f>
        <v>522.96421527190751</v>
      </c>
      <c r="D36" s="24">
        <f t="shared" ref="D36:N36" si="1">D34/((1+D35)^D33)</f>
        <v>495.8306369351489</v>
      </c>
      <c r="E36" s="24">
        <f t="shared" si="1"/>
        <v>474.58323083550954</v>
      </c>
      <c r="F36" s="24">
        <f t="shared" si="1"/>
        <v>458.60463296475564</v>
      </c>
      <c r="G36" s="24">
        <f t="shared" si="1"/>
        <v>447.44664193825741</v>
      </c>
      <c r="H36" s="24">
        <f t="shared" si="1"/>
        <v>428.30156211185732</v>
      </c>
      <c r="I36" s="24">
        <f t="shared" si="1"/>
        <v>423.12223839090876</v>
      </c>
      <c r="J36" s="24">
        <f t="shared" si="1"/>
        <v>406.84830614510452</v>
      </c>
      <c r="K36" s="24">
        <f t="shared" si="1"/>
        <v>391.2002943702928</v>
      </c>
      <c r="L36" s="24">
        <f t="shared" si="1"/>
        <v>376.15412920220462</v>
      </c>
      <c r="M36" s="24">
        <f t="shared" si="1"/>
        <v>361.68666269442753</v>
      </c>
      <c r="N36" s="24">
        <f t="shared" si="1"/>
        <v>347.77563720618025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x14ac:dyDescent="0.25">
      <c r="A38" s="1"/>
      <c r="B38" s="2" t="s">
        <v>49</v>
      </c>
      <c r="C38" s="15">
        <f>SUM(C36:N36)</f>
        <v>5134.518188066555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x14ac:dyDescent="0.25">
      <c r="A39" s="1"/>
      <c r="B39" s="2" t="s">
        <v>36</v>
      </c>
      <c r="C39" s="15">
        <v>24599.8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 x14ac:dyDescent="0.25">
      <c r="A40" s="1"/>
      <c r="B40" s="2" t="s">
        <v>9</v>
      </c>
      <c r="C40" s="46">
        <f>C39+C38</f>
        <v>29734.318188066554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spans="1:75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spans="1: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spans="1: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 spans="1: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 spans="1: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 spans="1: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spans="1: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 spans="1: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spans="1: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spans="1: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spans="1: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spans="1: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spans="1: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spans="1: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spans="1: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spans="1: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spans="1: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spans="1: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spans="1: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spans="1: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spans="1: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spans="1: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spans="1: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spans="1: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spans="1: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 spans="1: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 spans="1: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 spans="1: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 spans="1: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 spans="1: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 spans="1: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 spans="1: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spans="1: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 spans="1: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 spans="1: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spans="1: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 spans="1: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 spans="1: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 spans="1: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 spans="1: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 spans="1: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 spans="1: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spans="1: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 spans="1: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 spans="1: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 spans="1: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 spans="1: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 spans="1: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 spans="1: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 spans="1: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 spans="1: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 spans="1: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 spans="1: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 spans="1: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spans="1: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 spans="1: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 spans="1: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spans="1: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 spans="1: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 spans="1: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 spans="1: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 spans="1: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spans="1: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 spans="1: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 spans="1: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 spans="1: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 spans="1: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 spans="1: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 spans="1: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 spans="1: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 spans="1: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 spans="1: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spans="1: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 spans="1: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 spans="1: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 spans="1: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 spans="1: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 spans="1: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 spans="1: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 spans="1: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 spans="1: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 spans="1: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 spans="1: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 spans="1: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 spans="1: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 spans="1: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 spans="1: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 spans="1: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 spans="1: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 spans="1: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 spans="1: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 spans="1: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 spans="1: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 spans="1: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 spans="1: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 spans="1: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 spans="1: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 spans="1: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 spans="1: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 spans="1: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 spans="1: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 spans="1: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 spans="1: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 spans="1: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spans="1: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 spans="1: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 spans="1: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 spans="1: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 spans="1: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 spans="1: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 spans="1: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 spans="1: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 spans="1: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 spans="1: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 spans="1: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 spans="1: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 spans="1: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 spans="1: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 spans="1: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 spans="1: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 spans="1: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 spans="1: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 spans="1: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 spans="1: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 spans="1: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 spans="1: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 spans="1: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 spans="1: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spans="1: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  <row r="231" spans="1: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</row>
    <row r="232" spans="1: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</row>
    <row r="233" spans="1: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</row>
    <row r="234" spans="1: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</row>
    <row r="235" spans="1: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</row>
    <row r="236" spans="1: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</row>
    <row r="237" spans="1: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</row>
    <row r="238" spans="1: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</row>
    <row r="239" spans="1: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</row>
    <row r="240" spans="1: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</row>
    <row r="241" spans="1: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spans="1: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</row>
    <row r="243" spans="1: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</row>
    <row r="244" spans="1: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</row>
    <row r="245" spans="1: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</row>
    <row r="246" spans="1: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</row>
    <row r="247" spans="1: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</row>
    <row r="248" spans="1: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</row>
    <row r="249" spans="1: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</row>
    <row r="250" spans="1: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spans="1: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 spans="1: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 spans="1: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 spans="1: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 spans="1: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  <row r="256" spans="1: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</row>
    <row r="257" spans="1: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</row>
    <row r="258" spans="1: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</row>
    <row r="259" spans="1: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</row>
    <row r="260" spans="1: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</row>
    <row r="261" spans="1: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</row>
    <row r="262" spans="1: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</row>
    <row r="263" spans="1: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</row>
    <row r="264" spans="1: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</row>
    <row r="265" spans="1: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</row>
    <row r="266" spans="1: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</row>
    <row r="267" spans="1: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</row>
    <row r="268" spans="1: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</row>
    <row r="269" spans="1: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</row>
    <row r="270" spans="1: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</row>
    <row r="271" spans="1: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</row>
    <row r="272" spans="1: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</row>
    <row r="273" spans="1: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</row>
    <row r="274" spans="1: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</row>
    <row r="275" spans="1: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</row>
    <row r="276" spans="1: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</row>
    <row r="277" spans="1: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</row>
    <row r="278" spans="1: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</row>
    <row r="279" spans="1: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</row>
    <row r="280" spans="1: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</row>
    <row r="281" spans="1: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</row>
    <row r="282" spans="1: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</row>
    <row r="283" spans="1: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</row>
    <row r="284" spans="1: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</row>
    <row r="285" spans="1: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</row>
    <row r="286" spans="1: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</row>
    <row r="287" spans="1: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</row>
    <row r="288" spans="1: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</row>
    <row r="289" spans="1: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</row>
    <row r="290" spans="1: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</row>
    <row r="291" spans="1: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</row>
    <row r="292" spans="1: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</row>
    <row r="293" spans="1: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</row>
    <row r="294" spans="1: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</row>
    <row r="295" spans="1: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</row>
    <row r="296" spans="1: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</row>
    <row r="297" spans="1: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</row>
    <row r="298" spans="1: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</row>
    <row r="299" spans="1: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</row>
    <row r="300" spans="1: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</row>
    <row r="301" spans="1: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</row>
    <row r="302" spans="1: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</row>
    <row r="303" spans="1: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</row>
    <row r="304" spans="1: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</row>
    <row r="305" spans="1: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</row>
    <row r="306" spans="1: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</row>
    <row r="307" spans="1: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</row>
    <row r="308" spans="1: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</row>
    <row r="309" spans="1: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</row>
    <row r="310" spans="1: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</row>
    <row r="311" spans="1: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</row>
    <row r="312" spans="1: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</row>
    <row r="313" spans="1: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</row>
    <row r="314" spans="1: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</row>
    <row r="315" spans="1: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</row>
    <row r="316" spans="1: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</row>
    <row r="317" spans="1: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</row>
    <row r="318" spans="1: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</row>
    <row r="319" spans="1: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</row>
    <row r="320" spans="1: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</row>
    <row r="321" spans="1: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</row>
    <row r="322" spans="1: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</row>
    <row r="323" spans="1: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</row>
    <row r="324" spans="1: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</row>
    <row r="325" spans="1: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</row>
    <row r="326" spans="1: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</row>
    <row r="327" spans="1: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</row>
    <row r="328" spans="1: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</row>
    <row r="329" spans="1: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</row>
    <row r="330" spans="1: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</row>
    <row r="331" spans="1: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</row>
    <row r="332" spans="1: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</row>
    <row r="333" spans="1: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</row>
    <row r="334" spans="1: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</row>
    <row r="335" spans="1: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</row>
    <row r="336" spans="1: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</row>
    <row r="337" spans="1: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</row>
    <row r="338" spans="1: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</row>
    <row r="339" spans="1: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</row>
    <row r="340" spans="1: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</row>
    <row r="341" spans="1: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</row>
    <row r="342" spans="1: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</row>
    <row r="343" spans="1: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</row>
    <row r="344" spans="1: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</row>
    <row r="345" spans="1: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</row>
    <row r="346" spans="1: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</row>
    <row r="347" spans="1: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</row>
    <row r="348" spans="1: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</row>
    <row r="349" spans="1: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</row>
    <row r="350" spans="1: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</row>
    <row r="351" spans="1: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</row>
    <row r="352" spans="1: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</row>
    <row r="353" spans="1: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</row>
    <row r="354" spans="1: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</row>
    <row r="355" spans="1: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</row>
    <row r="356" spans="1: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</row>
    <row r="357" spans="1: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</row>
    <row r="358" spans="1: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</row>
    <row r="359" spans="1: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</row>
    <row r="360" spans="1: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</row>
    <row r="361" spans="1: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</row>
    <row r="362" spans="1: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</row>
    <row r="363" spans="1: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</row>
    <row r="364" spans="1: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</row>
    <row r="365" spans="1: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</row>
    <row r="366" spans="1: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</row>
    <row r="367" spans="1: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</row>
    <row r="368" spans="1: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</row>
    <row r="369" spans="1: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</row>
    <row r="370" spans="1: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</row>
    <row r="371" spans="1: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</row>
    <row r="372" spans="1: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</row>
    <row r="373" spans="1: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</row>
    <row r="374" spans="1: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</row>
    <row r="375" spans="1: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</row>
    <row r="376" spans="1: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</row>
    <row r="377" spans="1: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</row>
    <row r="378" spans="1: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</row>
    <row r="379" spans="1: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</row>
    <row r="380" spans="1: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</row>
    <row r="381" spans="1: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</row>
    <row r="382" spans="1: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</row>
    <row r="383" spans="1: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</row>
    <row r="384" spans="1: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</row>
    <row r="385" spans="1: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</row>
    <row r="386" spans="1: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</row>
    <row r="387" spans="1: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</row>
    <row r="388" spans="1: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</row>
    <row r="389" spans="1: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</row>
    <row r="390" spans="1: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</row>
    <row r="391" spans="1: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</row>
    <row r="392" spans="1: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</row>
    <row r="393" spans="1: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</row>
    <row r="394" spans="1: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</row>
    <row r="395" spans="1: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</row>
    <row r="396" spans="1: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</row>
    <row r="397" spans="1: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</row>
    <row r="398" spans="1: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</row>
    <row r="399" spans="1: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</row>
    <row r="400" spans="1: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</row>
    <row r="401" spans="1: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</row>
    <row r="402" spans="1: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</row>
    <row r="403" spans="1: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</row>
    <row r="404" spans="1: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</row>
    <row r="405" spans="1: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</row>
    <row r="406" spans="1: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</row>
    <row r="407" spans="1: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</row>
    <row r="408" spans="1: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</row>
    <row r="409" spans="1: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</row>
    <row r="410" spans="1: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</row>
    <row r="411" spans="1: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</row>
    <row r="412" spans="1: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</row>
    <row r="413" spans="1: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</row>
    <row r="414" spans="1: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</row>
    <row r="415" spans="1: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</row>
    <row r="416" spans="1: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</row>
    <row r="417" spans="1: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</row>
    <row r="418" spans="1: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</row>
    <row r="419" spans="1: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</row>
    <row r="420" spans="1: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</row>
    <row r="421" spans="1: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</row>
    <row r="422" spans="1: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</row>
    <row r="423" spans="1: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</row>
    <row r="424" spans="1: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</row>
    <row r="425" spans="1: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</row>
    <row r="426" spans="1: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</row>
    <row r="427" spans="1: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</row>
    <row r="428" spans="1: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</row>
    <row r="429" spans="1: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</row>
    <row r="430" spans="1: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</row>
    <row r="431" spans="1: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</row>
    <row r="432" spans="1: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</row>
    <row r="433" spans="1: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</row>
    <row r="434" spans="1: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</row>
    <row r="435" spans="1: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</row>
    <row r="436" spans="1: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</row>
    <row r="437" spans="1: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</row>
    <row r="438" spans="1: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</row>
    <row r="439" spans="1: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</row>
    <row r="440" spans="1: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</row>
    <row r="441" spans="1: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</row>
    <row r="442" spans="1: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</row>
    <row r="443" spans="1: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</row>
    <row r="444" spans="1: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</row>
    <row r="445" spans="1: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</row>
    <row r="446" spans="1: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</row>
    <row r="447" spans="1: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</row>
    <row r="448" spans="1: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</row>
    <row r="449" spans="1: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</row>
    <row r="450" spans="1: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</row>
    <row r="451" spans="1: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</row>
    <row r="452" spans="1: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</row>
    <row r="453" spans="1: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</row>
    <row r="454" spans="1: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</row>
    <row r="455" spans="1: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</row>
    <row r="456" spans="1: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</row>
    <row r="457" spans="1: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</row>
    <row r="458" spans="1: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</row>
    <row r="459" spans="1: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</row>
    <row r="460" spans="1: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</row>
    <row r="461" spans="1: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</row>
    <row r="462" spans="1: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</row>
    <row r="463" spans="1: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</row>
    <row r="464" spans="1: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</row>
    <row r="465" spans="1: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</row>
    <row r="466" spans="1: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</row>
    <row r="467" spans="1: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</row>
    <row r="468" spans="1: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</row>
    <row r="469" spans="1: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</row>
    <row r="470" spans="1: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</row>
    <row r="471" spans="1: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</row>
    <row r="472" spans="1: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</row>
    <row r="473" spans="1: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</row>
    <row r="474" spans="1: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</row>
    <row r="475" spans="1: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</row>
    <row r="476" spans="1: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</row>
    <row r="477" spans="1: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</row>
    <row r="478" spans="1: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</row>
    <row r="479" spans="1: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</row>
    <row r="480" spans="1: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</row>
    <row r="481" spans="1: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</row>
    <row r="482" spans="1: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</row>
    <row r="483" spans="1: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</row>
    <row r="484" spans="1: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</row>
    <row r="485" spans="1: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</row>
    <row r="486" spans="1: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</row>
    <row r="487" spans="1: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</row>
    <row r="488" spans="1: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</row>
    <row r="489" spans="1: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</row>
    <row r="490" spans="1: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</row>
    <row r="491" spans="1: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</row>
    <row r="492" spans="1: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</row>
    <row r="493" spans="1: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</row>
    <row r="494" spans="1: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</row>
    <row r="495" spans="1: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</row>
    <row r="496" spans="1: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</row>
    <row r="497" spans="1: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</row>
    <row r="498" spans="1: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</row>
    <row r="499" spans="1: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</row>
    <row r="500" spans="1: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</row>
    <row r="501" spans="1: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</row>
    <row r="502" spans="1: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</row>
    <row r="503" spans="1: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</row>
    <row r="504" spans="1: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</row>
    <row r="505" spans="1: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</row>
    <row r="506" spans="1: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</row>
    <row r="507" spans="1: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</row>
    <row r="508" spans="1: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</row>
    <row r="509" spans="1: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</row>
    <row r="510" spans="1: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</row>
    <row r="511" spans="1: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</row>
    <row r="512" spans="1: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</row>
    <row r="513" spans="1: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</row>
    <row r="514" spans="1: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</row>
    <row r="515" spans="1: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</row>
    <row r="516" spans="1: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</row>
    <row r="517" spans="1: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</row>
    <row r="518" spans="1: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</row>
    <row r="519" spans="1: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</row>
    <row r="520" spans="1: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</row>
    <row r="521" spans="1: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</row>
    <row r="522" spans="1: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</row>
    <row r="523" spans="1: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</row>
    <row r="524" spans="1: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</row>
    <row r="525" spans="1: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</row>
    <row r="526" spans="1: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</row>
    <row r="527" spans="1: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</row>
    <row r="528" spans="1: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</row>
    <row r="529" spans="1: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</row>
    <row r="530" spans="1: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</row>
    <row r="531" spans="1: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</row>
    <row r="532" spans="1: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</row>
    <row r="533" spans="1: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</row>
    <row r="534" spans="1: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</row>
    <row r="535" spans="1: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</row>
    <row r="536" spans="1: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</row>
    <row r="537" spans="1: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</row>
    <row r="538" spans="1: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</row>
    <row r="539" spans="1: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</row>
    <row r="540" spans="1: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</row>
    <row r="541" spans="1: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</row>
    <row r="542" spans="1: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</row>
    <row r="543" spans="1: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</row>
    <row r="544" spans="1: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</row>
    <row r="545" spans="1: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</row>
    <row r="546" spans="1: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</row>
    <row r="547" spans="1: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</row>
    <row r="548" spans="1: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</row>
    <row r="549" spans="1: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</row>
    <row r="550" spans="1: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</row>
    <row r="551" spans="1: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</row>
    <row r="552" spans="1: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</row>
    <row r="553" spans="1: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</row>
    <row r="554" spans="1: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</row>
    <row r="555" spans="1: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</row>
    <row r="556" spans="1: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</row>
    <row r="557" spans="1: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</row>
    <row r="558" spans="1: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</row>
    <row r="559" spans="1: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</row>
    <row r="560" spans="1: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</row>
    <row r="561" spans="1: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</row>
    <row r="562" spans="1: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</row>
    <row r="563" spans="1: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</row>
    <row r="564" spans="1: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</row>
    <row r="565" spans="1: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</row>
    <row r="566" spans="1: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</row>
    <row r="567" spans="1: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</row>
    <row r="568" spans="1: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</row>
    <row r="569" spans="1: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</row>
    <row r="570" spans="1: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</row>
    <row r="571" spans="1: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</row>
    <row r="572" spans="1: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</row>
    <row r="573" spans="1: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</row>
    <row r="574" spans="1: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</row>
    <row r="575" spans="1: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</row>
    <row r="576" spans="1: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</row>
    <row r="577" spans="1: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</row>
    <row r="578" spans="1: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</row>
    <row r="579" spans="1: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</row>
    <row r="580" spans="1: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</row>
    <row r="581" spans="1: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</row>
    <row r="582" spans="1: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</row>
    <row r="583" spans="1: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</row>
    <row r="584" spans="1: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</row>
    <row r="585" spans="1: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</row>
    <row r="586" spans="1: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</row>
    <row r="587" spans="1: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</row>
    <row r="588" spans="1: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</row>
    <row r="589" spans="1: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</row>
    <row r="590" spans="1: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</row>
    <row r="591" spans="1: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</row>
    <row r="592" spans="1: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</row>
  </sheetData>
  <mergeCells count="1">
    <mergeCell ref="C7:F7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55EF-B779-486B-A8BC-9F4B49256E53}">
  <dimension ref="A1:X56"/>
  <sheetViews>
    <sheetView showGridLines="0" topLeftCell="A9" workbookViewId="0">
      <selection activeCell="J5" sqref="J5:J13"/>
    </sheetView>
  </sheetViews>
  <sheetFormatPr defaultRowHeight="15" x14ac:dyDescent="0.25"/>
  <cols>
    <col min="2" max="2" width="15.28515625" customWidth="1"/>
    <col min="3" max="3" width="24" customWidth="1"/>
    <col min="4" max="4" width="13.85546875" customWidth="1"/>
    <col min="6" max="6" width="22.28515625" customWidth="1"/>
    <col min="7" max="7" width="21.42578125" customWidth="1"/>
    <col min="8" max="9" width="27.5703125" customWidth="1"/>
    <col min="10" max="10" width="14.5703125" customWidth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</row>
    <row r="3" spans="1:24" x14ac:dyDescent="0.25">
      <c r="A3" s="2"/>
      <c r="B3" s="3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  <c r="X3" s="1"/>
    </row>
    <row r="4" spans="1:2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  <c r="W4" s="1"/>
      <c r="X4" s="1"/>
    </row>
    <row r="5" spans="1:24" ht="15.75" thickBot="1" x14ac:dyDescent="0.3">
      <c r="A5" s="28"/>
      <c r="B5" s="7" t="s">
        <v>16</v>
      </c>
      <c r="C5" s="7" t="s">
        <v>18</v>
      </c>
      <c r="D5" s="7" t="s">
        <v>25</v>
      </c>
      <c r="E5" s="7" t="s">
        <v>38</v>
      </c>
      <c r="F5" s="7" t="s">
        <v>45</v>
      </c>
      <c r="G5" s="7" t="s">
        <v>39</v>
      </c>
      <c r="H5" s="7" t="s">
        <v>41</v>
      </c>
      <c r="I5" s="26" t="s">
        <v>40</v>
      </c>
      <c r="J5" s="29" t="s">
        <v>37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  <c r="X5" s="1"/>
    </row>
    <row r="6" spans="1:24" x14ac:dyDescent="0.25">
      <c r="A6" s="5" t="s">
        <v>1</v>
      </c>
      <c r="B6" s="23">
        <f>equity!F63</f>
        <v>0.10456562624883987</v>
      </c>
      <c r="C6" s="24">
        <f>equity!C77</f>
        <v>90616</v>
      </c>
      <c r="D6" s="6">
        <f>debt!F10</f>
        <v>5.9499999999999997E-2</v>
      </c>
      <c r="E6" s="25">
        <v>0.19</v>
      </c>
      <c r="F6" s="6">
        <f t="shared" ref="F6:F13" si="0">D6*(1-E6)</f>
        <v>4.8195000000000002E-2</v>
      </c>
      <c r="G6" s="24">
        <f>debt!C40</f>
        <v>29734.318188066554</v>
      </c>
      <c r="H6" s="9">
        <f t="shared" ref="H6:H13" si="1">C6/(C6+G6)</f>
        <v>0.75293527565417862</v>
      </c>
      <c r="I6" s="27">
        <f t="shared" ref="I6:I13" si="2">G6/(G6+C6)</f>
        <v>0.24706472434582136</v>
      </c>
      <c r="J6" s="30">
        <f t="shared" ref="J6:J12" si="3">(B6*H6)+(F6*I6)</f>
        <v>9.0638433013468939E-2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</row>
    <row r="7" spans="1:24" x14ac:dyDescent="0.25">
      <c r="A7" s="5">
        <v>1</v>
      </c>
      <c r="B7" s="23">
        <f>equity!F64</f>
        <v>0.11086415404633218</v>
      </c>
      <c r="C7" s="24">
        <f t="shared" ref="C7:C13" si="4">C6</f>
        <v>90616</v>
      </c>
      <c r="D7" s="6">
        <f>debt!F11</f>
        <v>6.4700000000000008E-2</v>
      </c>
      <c r="E7" s="25">
        <f t="shared" ref="E7:E13" si="5">E35</f>
        <v>0.2</v>
      </c>
      <c r="F7" s="6">
        <f t="shared" si="0"/>
        <v>5.1760000000000007E-2</v>
      </c>
      <c r="G7" s="24">
        <f t="shared" ref="G7:G13" si="6">G6</f>
        <v>29734.318188066554</v>
      </c>
      <c r="H7" s="9">
        <f t="shared" si="1"/>
        <v>0.75293527565417862</v>
      </c>
      <c r="I7" s="27">
        <f t="shared" si="2"/>
        <v>0.24706472434582136</v>
      </c>
      <c r="J7" s="31">
        <f t="shared" si="3"/>
        <v>9.6261602519182157E-2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1"/>
      <c r="X7" s="1"/>
    </row>
    <row r="8" spans="1:24" x14ac:dyDescent="0.25">
      <c r="A8" s="5">
        <v>2</v>
      </c>
      <c r="B8" s="23">
        <f>equity!F65</f>
        <v>0.10697249564157157</v>
      </c>
      <c r="C8" s="24">
        <f t="shared" si="4"/>
        <v>90616</v>
      </c>
      <c r="D8" s="6">
        <f>debt!F12</f>
        <v>5.9699999999999996E-2</v>
      </c>
      <c r="E8" s="25">
        <f t="shared" si="5"/>
        <v>0.21</v>
      </c>
      <c r="F8" s="6">
        <f t="shared" si="0"/>
        <v>4.7162999999999997E-2</v>
      </c>
      <c r="G8" s="24">
        <f t="shared" si="6"/>
        <v>29734.318188066554</v>
      </c>
      <c r="H8" s="9">
        <f t="shared" si="1"/>
        <v>0.75293527565417862</v>
      </c>
      <c r="I8" s="27">
        <f t="shared" si="2"/>
        <v>0.24706472434582136</v>
      </c>
      <c r="J8" s="31">
        <f t="shared" si="3"/>
        <v>9.2195679087624077E-2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</row>
    <row r="9" spans="1:24" x14ac:dyDescent="0.25">
      <c r="A9" s="5">
        <v>3</v>
      </c>
      <c r="B9" s="23">
        <f>equity!F66</f>
        <v>0.10309065103455806</v>
      </c>
      <c r="C9" s="24">
        <f t="shared" si="4"/>
        <v>90616</v>
      </c>
      <c r="D9" s="6">
        <f>debt!F13</f>
        <v>5.4699999999999999E-2</v>
      </c>
      <c r="E9" s="25">
        <f t="shared" si="5"/>
        <v>0.22</v>
      </c>
      <c r="F9" s="6">
        <f t="shared" si="0"/>
        <v>4.2666000000000003E-2</v>
      </c>
      <c r="G9" s="24">
        <f t="shared" si="6"/>
        <v>29734.318188066554</v>
      </c>
      <c r="H9" s="9">
        <f t="shared" si="1"/>
        <v>0.75293527565417862</v>
      </c>
      <c r="I9" s="27">
        <f t="shared" si="2"/>
        <v>0.24706472434582136</v>
      </c>
      <c r="J9" s="31">
        <f t="shared" si="3"/>
        <v>8.8161851283012516E-2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</row>
    <row r="10" spans="1:24" x14ac:dyDescent="0.25">
      <c r="A10" s="5">
        <v>4</v>
      </c>
      <c r="B10" s="23">
        <f>equity!F67</f>
        <v>9.921862022529164E-2</v>
      </c>
      <c r="C10" s="24">
        <f t="shared" si="4"/>
        <v>90616</v>
      </c>
      <c r="D10" s="6">
        <f>debt!F14</f>
        <v>4.9700000000000001E-2</v>
      </c>
      <c r="E10" s="25">
        <f t="shared" si="5"/>
        <v>0.23</v>
      </c>
      <c r="F10" s="6">
        <f t="shared" si="0"/>
        <v>3.8269000000000004E-2</v>
      </c>
      <c r="G10" s="24">
        <f t="shared" si="6"/>
        <v>29734.318188066554</v>
      </c>
      <c r="H10" s="9">
        <f t="shared" si="1"/>
        <v>0.75293527565417862</v>
      </c>
      <c r="I10" s="27">
        <f t="shared" si="2"/>
        <v>0.24706472434582136</v>
      </c>
      <c r="J10" s="31">
        <f t="shared" si="3"/>
        <v>8.4160119105347458E-2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</row>
    <row r="11" spans="1:24" x14ac:dyDescent="0.25">
      <c r="A11" s="5">
        <v>5</v>
      </c>
      <c r="B11" s="23">
        <f>equity!F68</f>
        <v>9.4709310112645828E-2</v>
      </c>
      <c r="C11" s="24">
        <f t="shared" si="4"/>
        <v>90616</v>
      </c>
      <c r="D11" s="6">
        <f>debt!F15</f>
        <v>4.4699999999999997E-2</v>
      </c>
      <c r="E11" s="25">
        <f t="shared" si="5"/>
        <v>0.24</v>
      </c>
      <c r="F11" s="6">
        <f t="shared" si="0"/>
        <v>3.3971999999999995E-2</v>
      </c>
      <c r="G11" s="24">
        <f t="shared" si="6"/>
        <v>29734.318188066554</v>
      </c>
      <c r="H11" s="9">
        <f t="shared" si="1"/>
        <v>0.75293527565417862</v>
      </c>
      <c r="I11" s="27">
        <f t="shared" si="2"/>
        <v>0.24706472434582136</v>
      </c>
      <c r="J11" s="31">
        <f t="shared" si="3"/>
        <v>7.9703263332158311E-2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1"/>
      <c r="X11" s="1"/>
    </row>
    <row r="12" spans="1:24" x14ac:dyDescent="0.25">
      <c r="A12" s="5">
        <v>6</v>
      </c>
      <c r="B12" s="23">
        <f>equity!F69</f>
        <v>9.5200000000000021E-2</v>
      </c>
      <c r="C12" s="24">
        <f t="shared" si="4"/>
        <v>90616</v>
      </c>
      <c r="D12" s="6">
        <f>debt!F16</f>
        <v>4.4699999999999997E-2</v>
      </c>
      <c r="E12" s="25">
        <f t="shared" si="5"/>
        <v>0.24</v>
      </c>
      <c r="F12" s="6">
        <f t="shared" si="0"/>
        <v>3.3971999999999995E-2</v>
      </c>
      <c r="G12" s="24">
        <f t="shared" si="6"/>
        <v>29734.318188066554</v>
      </c>
      <c r="H12" s="9">
        <f t="shared" si="1"/>
        <v>0.75293527565417862</v>
      </c>
      <c r="I12" s="27">
        <f t="shared" si="2"/>
        <v>0.24706472434582136</v>
      </c>
      <c r="J12" s="31">
        <f t="shared" si="3"/>
        <v>8.0072721057754065E-2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1"/>
      <c r="X12" s="1"/>
    </row>
    <row r="13" spans="1:24" ht="15.75" thickBot="1" x14ac:dyDescent="0.3">
      <c r="A13" s="5" t="s">
        <v>2</v>
      </c>
      <c r="B13" s="23">
        <f>equity!F70</f>
        <v>0.09</v>
      </c>
      <c r="C13" s="24">
        <f t="shared" si="4"/>
        <v>90616</v>
      </c>
      <c r="D13" s="6">
        <f>debt!F17</f>
        <v>0.04</v>
      </c>
      <c r="E13" s="25">
        <f t="shared" si="5"/>
        <v>0.24</v>
      </c>
      <c r="F13" s="6">
        <f t="shared" si="0"/>
        <v>3.04E-2</v>
      </c>
      <c r="G13" s="24">
        <f t="shared" si="6"/>
        <v>29734.318188066554</v>
      </c>
      <c r="H13" s="9">
        <f t="shared" si="1"/>
        <v>0.75293527565417862</v>
      </c>
      <c r="I13" s="27">
        <f t="shared" si="2"/>
        <v>0.24706472434582136</v>
      </c>
      <c r="J13" s="32">
        <v>0.08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</row>
    <row r="14" spans="1:24" x14ac:dyDescent="0.25">
      <c r="A14" s="2"/>
      <c r="B14" s="2"/>
      <c r="C14" s="15"/>
      <c r="D14" s="2"/>
      <c r="E14" s="19"/>
      <c r="F14" s="19"/>
      <c r="G14" s="15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1"/>
      <c r="X14" s="1"/>
    </row>
    <row r="15" spans="1:24" x14ac:dyDescent="0.25">
      <c r="A15" s="2"/>
      <c r="B15" s="2"/>
      <c r="C15" s="2"/>
      <c r="D15" s="2"/>
      <c r="E15" s="19"/>
      <c r="F15" s="19"/>
      <c r="G15" s="15"/>
      <c r="H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</row>
    <row r="16" spans="1:24" x14ac:dyDescent="0.25">
      <c r="A16" s="2"/>
      <c r="B16" s="2"/>
      <c r="C16" s="2"/>
      <c r="D16" s="2"/>
      <c r="E16" s="2"/>
      <c r="F16" s="2"/>
      <c r="G16" s="15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</row>
    <row r="17" spans="1:24" x14ac:dyDescent="0.25">
      <c r="A17" s="2"/>
      <c r="B17" s="17" t="s">
        <v>38</v>
      </c>
      <c r="C17" s="2"/>
      <c r="D17" s="2"/>
      <c r="E17" s="2"/>
      <c r="F17" s="2"/>
      <c r="G17" s="2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  <c r="W17" s="1"/>
      <c r="X17" s="1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</row>
    <row r="19" spans="1:24" x14ac:dyDescent="0.25">
      <c r="A19" s="2"/>
      <c r="B19" s="2" t="s">
        <v>30</v>
      </c>
      <c r="C19" s="2" t="s">
        <v>43</v>
      </c>
      <c r="D19" s="2" t="s">
        <v>42</v>
      </c>
      <c r="E19" s="2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</row>
    <row r="20" spans="1:24" x14ac:dyDescent="0.25">
      <c r="A20" s="2"/>
      <c r="B20" s="2">
        <v>2009</v>
      </c>
      <c r="C20" s="15">
        <v>1161</v>
      </c>
      <c r="D20" s="15">
        <v>253</v>
      </c>
      <c r="E20" s="19">
        <f>D20/C20</f>
        <v>0.21791559000861327</v>
      </c>
      <c r="F20" s="19"/>
      <c r="G20" s="2"/>
      <c r="H20" s="2"/>
      <c r="I20" s="2"/>
      <c r="K20" s="33"/>
      <c r="L20" s="33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  <c r="X20" s="1"/>
    </row>
    <row r="21" spans="1:24" x14ac:dyDescent="0.25">
      <c r="A21" s="2"/>
      <c r="B21" s="2">
        <v>2010</v>
      </c>
      <c r="C21" s="15">
        <v>1497</v>
      </c>
      <c r="D21" s="15">
        <v>352</v>
      </c>
      <c r="E21" s="19">
        <f t="shared" ref="E21:E34" si="7">D21/C21</f>
        <v>0.23513694054776219</v>
      </c>
      <c r="F21" s="19"/>
      <c r="G21" s="2"/>
      <c r="H21" s="2"/>
      <c r="I21" s="2"/>
      <c r="J21" s="2"/>
      <c r="K21" s="33"/>
      <c r="L21" s="33"/>
      <c r="M21" s="2"/>
      <c r="N21" s="2"/>
      <c r="O21" s="2"/>
      <c r="P21" s="2"/>
      <c r="Q21" s="2"/>
      <c r="R21" s="2"/>
      <c r="S21" s="2"/>
      <c r="T21" s="2"/>
      <c r="U21" s="2"/>
      <c r="V21" s="1"/>
      <c r="W21" s="1"/>
      <c r="X21" s="1"/>
    </row>
    <row r="22" spans="1:24" x14ac:dyDescent="0.25">
      <c r="A22" s="2"/>
      <c r="B22" s="2">
        <v>2011</v>
      </c>
      <c r="C22" s="15">
        <v>934</v>
      </c>
      <c r="D22" s="15">
        <v>391</v>
      </c>
      <c r="E22" s="19">
        <f t="shared" si="7"/>
        <v>0.41862955032119914</v>
      </c>
      <c r="F22" s="19"/>
      <c r="G22" s="2"/>
      <c r="H22" s="2"/>
      <c r="I22" s="2"/>
      <c r="J22" s="2"/>
      <c r="K22" s="33"/>
      <c r="L22" s="3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</row>
    <row r="23" spans="1:24" x14ac:dyDescent="0.25">
      <c r="A23" s="2"/>
      <c r="B23" s="2">
        <v>2012</v>
      </c>
      <c r="C23" s="15">
        <v>544</v>
      </c>
      <c r="D23" s="15">
        <v>428</v>
      </c>
      <c r="E23" s="19">
        <f t="shared" si="7"/>
        <v>0.78676470588235292</v>
      </c>
      <c r="F23" s="19"/>
      <c r="G23" s="2"/>
      <c r="H23" s="2"/>
      <c r="I23" s="2"/>
      <c r="J23" s="2"/>
      <c r="K23" s="33"/>
      <c r="L23" s="33"/>
      <c r="M23" s="2"/>
      <c r="N23" s="2"/>
      <c r="O23" s="2"/>
      <c r="P23" s="2"/>
      <c r="Q23" s="2"/>
      <c r="R23" s="2"/>
      <c r="S23" s="2"/>
      <c r="T23" s="2"/>
      <c r="U23" s="2"/>
      <c r="V23" s="1"/>
      <c r="W23" s="1"/>
      <c r="X23" s="1"/>
    </row>
    <row r="24" spans="1:24" x14ac:dyDescent="0.25">
      <c r="A24" s="2"/>
      <c r="B24" s="2">
        <v>2013</v>
      </c>
      <c r="C24" s="15">
        <v>506</v>
      </c>
      <c r="D24" s="15">
        <v>161</v>
      </c>
      <c r="E24" s="19">
        <f t="shared" si="7"/>
        <v>0.31818181818181818</v>
      </c>
      <c r="F24" s="19"/>
      <c r="G24" s="2"/>
      <c r="H24" s="2"/>
      <c r="I24" s="2"/>
      <c r="J24" s="2"/>
      <c r="K24" s="33"/>
      <c r="L24" s="33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  <c r="X24" s="1"/>
    </row>
    <row r="25" spans="1:24" x14ac:dyDescent="0.25">
      <c r="A25" s="2"/>
      <c r="B25" s="2">
        <v>2014</v>
      </c>
      <c r="C25" s="15">
        <v>-111</v>
      </c>
      <c r="D25" s="15">
        <v>167</v>
      </c>
      <c r="E25" s="19">
        <v>0</v>
      </c>
      <c r="F25" s="19"/>
      <c r="G25" s="2"/>
      <c r="H25" s="2"/>
      <c r="I25" s="2"/>
      <c r="J25" s="2"/>
      <c r="K25" s="33"/>
      <c r="L25" s="33"/>
      <c r="M25" s="2"/>
      <c r="N25" s="2"/>
      <c r="O25" s="2"/>
      <c r="P25" s="2"/>
      <c r="Q25" s="2"/>
      <c r="R25" s="2"/>
      <c r="S25" s="2"/>
      <c r="T25" s="2"/>
      <c r="U25" s="2"/>
      <c r="V25" s="1"/>
      <c r="W25" s="1"/>
      <c r="X25" s="1"/>
    </row>
    <row r="26" spans="1:24" x14ac:dyDescent="0.25">
      <c r="A26" s="2"/>
      <c r="B26" s="2">
        <v>2015</v>
      </c>
      <c r="C26" s="15">
        <v>1568</v>
      </c>
      <c r="D26" s="15">
        <v>950</v>
      </c>
      <c r="E26" s="19">
        <f t="shared" si="7"/>
        <v>0.60586734693877553</v>
      </c>
      <c r="F26" s="19"/>
      <c r="G26" s="2"/>
      <c r="H26" s="2"/>
      <c r="I26" s="2"/>
      <c r="J26" s="2"/>
      <c r="K26" s="33"/>
      <c r="L26" s="33"/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</row>
    <row r="27" spans="1:24" x14ac:dyDescent="0.25">
      <c r="A27" s="2"/>
      <c r="B27" s="2">
        <v>2016</v>
      </c>
      <c r="C27" s="15">
        <v>3892</v>
      </c>
      <c r="D27" s="15">
        <v>1425</v>
      </c>
      <c r="E27" s="19">
        <f t="shared" si="7"/>
        <v>0.36613566289825283</v>
      </c>
      <c r="F27" s="19"/>
      <c r="G27" s="2"/>
      <c r="H27" s="2"/>
      <c r="I27" s="2"/>
      <c r="J27" s="2"/>
      <c r="K27" s="33"/>
      <c r="L27" s="33"/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</row>
    <row r="28" spans="1:24" x14ac:dyDescent="0.25">
      <c r="A28" s="2"/>
      <c r="B28" s="2">
        <v>2017</v>
      </c>
      <c r="C28" s="15">
        <v>3806</v>
      </c>
      <c r="D28" s="15">
        <v>769</v>
      </c>
      <c r="E28" s="19">
        <f t="shared" si="7"/>
        <v>0.20204939569101418</v>
      </c>
      <c r="F28" s="19"/>
      <c r="G28" s="2"/>
      <c r="H28" s="2"/>
      <c r="I28" s="2"/>
      <c r="J28" s="2"/>
      <c r="K28" s="33"/>
      <c r="L28" s="33"/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</row>
    <row r="29" spans="1:24" x14ac:dyDescent="0.25">
      <c r="A29" s="2"/>
      <c r="B29" s="2">
        <v>2018</v>
      </c>
      <c r="C29" s="15">
        <v>11261</v>
      </c>
      <c r="D29" s="15">
        <v>1197</v>
      </c>
      <c r="E29" s="19">
        <f t="shared" si="7"/>
        <v>0.10629606606873279</v>
      </c>
      <c r="F29" s="19"/>
      <c r="G29" s="2"/>
      <c r="H29" s="2"/>
      <c r="I29" s="2"/>
      <c r="J29" s="2"/>
      <c r="K29" s="33"/>
      <c r="L29" s="33"/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</row>
    <row r="30" spans="1:24" x14ac:dyDescent="0.25">
      <c r="A30" s="2"/>
      <c r="B30" s="2">
        <v>2019</v>
      </c>
      <c r="C30" s="15">
        <v>13976</v>
      </c>
      <c r="D30" s="15">
        <v>2374</v>
      </c>
      <c r="E30" s="19">
        <f t="shared" si="7"/>
        <v>0.16986262163709215</v>
      </c>
      <c r="F30" s="19"/>
      <c r="G30" s="2"/>
      <c r="H30" s="2"/>
      <c r="I30" s="2"/>
      <c r="J30" s="2"/>
      <c r="K30" s="33"/>
      <c r="L30" s="33"/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</row>
    <row r="31" spans="1:24" x14ac:dyDescent="0.25">
      <c r="A31" s="2"/>
      <c r="B31" s="2">
        <v>2020</v>
      </c>
      <c r="C31" s="15">
        <v>24178</v>
      </c>
      <c r="D31" s="15">
        <v>2863</v>
      </c>
      <c r="E31" s="19">
        <f t="shared" si="7"/>
        <v>0.1184134337000579</v>
      </c>
      <c r="F31" s="19"/>
      <c r="G31" s="2"/>
      <c r="H31" s="2"/>
      <c r="I31" s="2"/>
      <c r="J31" s="2"/>
      <c r="K31" s="33"/>
      <c r="L31" s="33"/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</row>
    <row r="32" spans="1:24" x14ac:dyDescent="0.25">
      <c r="A32" s="2"/>
      <c r="B32" s="2">
        <v>2021</v>
      </c>
      <c r="C32" s="15">
        <v>38151</v>
      </c>
      <c r="D32" s="15">
        <v>4791</v>
      </c>
      <c r="E32" s="19">
        <f t="shared" si="7"/>
        <v>0.12557993237398757</v>
      </c>
      <c r="F32" s="19"/>
      <c r="G32" s="2"/>
      <c r="H32" s="2"/>
      <c r="I32" s="2"/>
      <c r="J32" s="2"/>
      <c r="K32" s="33"/>
      <c r="L32" s="33"/>
      <c r="M32" s="2"/>
      <c r="N32" s="2"/>
      <c r="O32" s="2"/>
      <c r="P32" s="2"/>
      <c r="Q32" s="2"/>
      <c r="R32" s="2"/>
      <c r="S32" s="2"/>
      <c r="T32" s="2"/>
      <c r="U32" s="2"/>
      <c r="V32" s="1"/>
      <c r="W32" s="1"/>
      <c r="X32" s="1"/>
    </row>
    <row r="33" spans="1:24" x14ac:dyDescent="0.25">
      <c r="A33" s="2"/>
      <c r="B33" s="2">
        <v>2022</v>
      </c>
      <c r="C33" s="15">
        <v>-5936</v>
      </c>
      <c r="D33" s="15">
        <v>-3217</v>
      </c>
      <c r="E33" s="19">
        <v>0</v>
      </c>
      <c r="F33" s="19"/>
      <c r="G33" s="2"/>
      <c r="H33" s="2"/>
      <c r="I33" s="2"/>
      <c r="J33" s="2"/>
      <c r="K33" s="33"/>
      <c r="L33" s="33"/>
      <c r="M33" s="2"/>
      <c r="N33" s="2"/>
      <c r="O33" s="2"/>
      <c r="P33" s="2"/>
      <c r="Q33" s="2"/>
      <c r="R33" s="2"/>
      <c r="S33" s="2"/>
      <c r="T33" s="2"/>
      <c r="U33" s="2"/>
      <c r="V33" s="1"/>
      <c r="W33" s="1"/>
      <c r="X33" s="1"/>
    </row>
    <row r="34" spans="1:24" x14ac:dyDescent="0.25">
      <c r="A34" s="2"/>
      <c r="B34" s="2">
        <v>2023</v>
      </c>
      <c r="C34" s="15">
        <v>37577</v>
      </c>
      <c r="D34" s="15">
        <v>7120</v>
      </c>
      <c r="E34" s="19">
        <f t="shared" si="7"/>
        <v>0.18947760598238284</v>
      </c>
      <c r="F34" s="19"/>
      <c r="G34" s="2"/>
      <c r="H34" s="2"/>
      <c r="I34" s="2"/>
      <c r="J34" s="2"/>
      <c r="K34" s="33"/>
      <c r="L34" s="15"/>
      <c r="M34" s="2"/>
      <c r="N34" s="2"/>
      <c r="O34" s="2"/>
      <c r="P34" s="2"/>
      <c r="Q34" s="2"/>
      <c r="R34" s="2"/>
      <c r="S34" s="2"/>
      <c r="T34" s="2"/>
      <c r="U34" s="2"/>
      <c r="V34" s="1"/>
      <c r="W34" s="1"/>
      <c r="X34" s="1"/>
    </row>
    <row r="35" spans="1:24" x14ac:dyDescent="0.25">
      <c r="A35" s="20">
        <v>1</v>
      </c>
      <c r="B35" s="20">
        <v>2024</v>
      </c>
      <c r="C35" s="21"/>
      <c r="D35" s="21"/>
      <c r="E35" s="19">
        <v>0.2</v>
      </c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"/>
      <c r="W35" s="1"/>
      <c r="X35" s="1"/>
    </row>
    <row r="36" spans="1:24" x14ac:dyDescent="0.25">
      <c r="A36" s="20">
        <v>2</v>
      </c>
      <c r="B36" s="20">
        <v>2025</v>
      </c>
      <c r="C36" s="21"/>
      <c r="D36" s="21"/>
      <c r="E36" s="19">
        <v>0.21</v>
      </c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"/>
      <c r="W36" s="1"/>
      <c r="X36" s="1"/>
    </row>
    <row r="37" spans="1:24" x14ac:dyDescent="0.25">
      <c r="A37" s="20">
        <v>3</v>
      </c>
      <c r="B37" s="20">
        <v>2026</v>
      </c>
      <c r="C37" s="21"/>
      <c r="D37" s="21"/>
      <c r="E37" s="19">
        <v>0.22</v>
      </c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1"/>
      <c r="W37" s="1"/>
      <c r="X37" s="1"/>
    </row>
    <row r="38" spans="1:24" x14ac:dyDescent="0.25">
      <c r="A38" s="20">
        <v>4</v>
      </c>
      <c r="B38" s="20">
        <v>2027</v>
      </c>
      <c r="C38" s="21"/>
      <c r="D38" s="21"/>
      <c r="E38" s="19">
        <v>0.23</v>
      </c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"/>
      <c r="W38" s="1"/>
      <c r="X38" s="1"/>
    </row>
    <row r="39" spans="1:24" x14ac:dyDescent="0.25">
      <c r="A39" s="20">
        <v>5</v>
      </c>
      <c r="B39" s="20">
        <v>2028</v>
      </c>
      <c r="C39" s="21"/>
      <c r="D39" s="21"/>
      <c r="E39" s="19">
        <v>0.24</v>
      </c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1"/>
      <c r="W39" s="1"/>
      <c r="X39" s="1"/>
    </row>
    <row r="40" spans="1:24" x14ac:dyDescent="0.25">
      <c r="A40" s="20">
        <v>6</v>
      </c>
      <c r="B40" s="20">
        <v>2029</v>
      </c>
      <c r="C40" s="21"/>
      <c r="D40" s="21"/>
      <c r="E40" s="19">
        <v>0.24</v>
      </c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"/>
      <c r="W40" s="1"/>
      <c r="X40" s="1"/>
    </row>
    <row r="41" spans="1:24" x14ac:dyDescent="0.25">
      <c r="A41" s="20" t="s">
        <v>2</v>
      </c>
      <c r="B41" s="20" t="s">
        <v>2</v>
      </c>
      <c r="C41" s="21"/>
      <c r="D41" s="21"/>
      <c r="E41" s="19">
        <v>0.24</v>
      </c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"/>
      <c r="W41" s="1"/>
      <c r="X41" s="1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1"/>
      <c r="W42" s="1"/>
      <c r="X42" s="1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1"/>
      <c r="W43" s="1"/>
      <c r="X43" s="1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"/>
      <c r="W44" s="1"/>
      <c r="X44" s="1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"/>
      <c r="W45" s="1"/>
      <c r="X45" s="1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"/>
      <c r="W46" s="1"/>
      <c r="X46" s="1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"/>
      <c r="W47" s="1"/>
      <c r="X47" s="1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EE54-37C6-434A-9CEE-BA1DDC43E075}">
  <dimension ref="A1:DX1080"/>
  <sheetViews>
    <sheetView showGridLines="0" topLeftCell="A122" workbookViewId="0">
      <selection activeCell="K146" sqref="K146"/>
    </sheetView>
  </sheetViews>
  <sheetFormatPr defaultRowHeight="15" x14ac:dyDescent="0.25"/>
  <cols>
    <col min="2" max="2" width="16.42578125" customWidth="1"/>
    <col min="3" max="3" width="15.7109375" customWidth="1"/>
    <col min="4" max="4" width="15" style="2" customWidth="1"/>
    <col min="5" max="5" width="14" customWidth="1"/>
    <col min="6" max="6" width="16.42578125" customWidth="1"/>
    <col min="7" max="7" width="17.42578125" customWidth="1"/>
    <col min="8" max="8" width="20.85546875" customWidth="1"/>
    <col min="9" max="9" width="12.7109375" customWidth="1"/>
    <col min="10" max="10" width="13.42578125" customWidth="1"/>
    <col min="11" max="11" width="11.7109375" customWidth="1"/>
    <col min="12" max="12" width="15.42578125" customWidth="1"/>
    <col min="13" max="13" width="12.42578125" customWidth="1"/>
    <col min="14" max="14" width="17.5703125" customWidth="1"/>
    <col min="15" max="15" width="16.5703125" customWidth="1"/>
    <col min="18" max="18" width="13.42578125" customWidth="1"/>
  </cols>
  <sheetData>
    <row r="1" spans="1:128" x14ac:dyDescent="0.25">
      <c r="A1" s="2"/>
      <c r="B1" s="2"/>
      <c r="C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</row>
    <row r="2" spans="1:128" x14ac:dyDescent="0.25">
      <c r="A2" s="2"/>
      <c r="B2" s="3" t="s">
        <v>50</v>
      </c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 x14ac:dyDescent="0.25">
      <c r="A3" s="2"/>
      <c r="B3" s="2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28" x14ac:dyDescent="0.25">
      <c r="A4" s="2"/>
      <c r="B4" s="17" t="s">
        <v>51</v>
      </c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28" x14ac:dyDescent="0.25">
      <c r="A5" s="2"/>
      <c r="B5" s="2" t="s">
        <v>30</v>
      </c>
      <c r="C5" s="2" t="s">
        <v>52</v>
      </c>
      <c r="D5" s="2" t="s">
        <v>73</v>
      </c>
      <c r="E5" s="2" t="s">
        <v>74</v>
      </c>
      <c r="F5" s="2" t="s">
        <v>75</v>
      </c>
      <c r="G5" s="2" t="s">
        <v>76</v>
      </c>
      <c r="J5" s="2"/>
      <c r="K5" s="2"/>
      <c r="L5" s="2"/>
      <c r="M5" s="2" t="s">
        <v>54</v>
      </c>
      <c r="N5" s="2" t="s">
        <v>69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2009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28" x14ac:dyDescent="0.25">
      <c r="A6" s="2"/>
      <c r="B6" s="2">
        <v>2009</v>
      </c>
      <c r="C6" s="47">
        <v>9775</v>
      </c>
      <c r="D6" s="66">
        <v>16635</v>
      </c>
      <c r="E6" t="s">
        <v>77</v>
      </c>
      <c r="F6" t="s">
        <v>77</v>
      </c>
      <c r="G6">
        <v>0</v>
      </c>
      <c r="J6" s="2"/>
      <c r="K6" s="2"/>
      <c r="L6" s="50">
        <v>42460</v>
      </c>
      <c r="M6" s="47">
        <v>4993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2010</v>
      </c>
      <c r="AB6" s="64">
        <v>9.5345268542199491E-2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28" x14ac:dyDescent="0.25">
      <c r="A7" s="2"/>
      <c r="B7" s="2">
        <v>2010</v>
      </c>
      <c r="C7" s="47">
        <v>10707</v>
      </c>
      <c r="D7" s="66">
        <v>16858</v>
      </c>
      <c r="E7" s="67">
        <f>D7-D6</f>
        <v>223</v>
      </c>
      <c r="F7" s="49">
        <f>C7-C6</f>
        <v>932</v>
      </c>
      <c r="G7">
        <f>F7/E7</f>
        <v>4.1793721973094167</v>
      </c>
      <c r="J7" s="2"/>
      <c r="K7" s="2"/>
      <c r="L7" s="50">
        <v>42551</v>
      </c>
      <c r="M7" s="47">
        <v>5238</v>
      </c>
      <c r="N7" s="54">
        <f>(M7-M6)/M6</f>
        <v>4.9068696174644502E-2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2011</v>
      </c>
      <c r="AB7" s="64">
        <v>9.2743065284393383E-2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28" x14ac:dyDescent="0.25">
      <c r="A8" s="2"/>
      <c r="B8" s="2">
        <v>2011</v>
      </c>
      <c r="C8" s="47">
        <v>11700</v>
      </c>
      <c r="D8" s="66">
        <v>17003</v>
      </c>
      <c r="E8" s="67">
        <f t="shared" ref="E8:E20" si="0">D8-D7</f>
        <v>145</v>
      </c>
      <c r="F8" s="49">
        <f t="shared" ref="F8:F20" si="1">C8-C7</f>
        <v>993</v>
      </c>
      <c r="G8">
        <f t="shared" ref="G8:G19" si="2">F8/E8</f>
        <v>6.8482758620689657</v>
      </c>
      <c r="J8" s="2"/>
      <c r="K8" s="2"/>
      <c r="L8" s="50">
        <v>42643</v>
      </c>
      <c r="M8" s="47">
        <v>5711</v>
      </c>
      <c r="N8" s="54">
        <f t="shared" ref="N8:N38" si="3">(M8-M7)/M7</f>
        <v>9.0301641848033604E-2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2012</v>
      </c>
      <c r="AB8" s="64">
        <v>0.1347863247863248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28" x14ac:dyDescent="0.25">
      <c r="A9" s="2"/>
      <c r="B9" s="2">
        <v>2012</v>
      </c>
      <c r="C9" s="47">
        <v>13277</v>
      </c>
      <c r="D9" s="66">
        <v>18066</v>
      </c>
      <c r="E9" s="67">
        <f t="shared" si="0"/>
        <v>1063</v>
      </c>
      <c r="F9" s="49">
        <f t="shared" si="1"/>
        <v>1577</v>
      </c>
      <c r="G9">
        <f t="shared" si="2"/>
        <v>1.4835371589840076</v>
      </c>
      <c r="J9" s="2"/>
      <c r="K9" s="2"/>
      <c r="L9" s="50">
        <v>42735</v>
      </c>
      <c r="M9" s="47">
        <v>5733</v>
      </c>
      <c r="N9" s="54">
        <f t="shared" si="3"/>
        <v>3.8522150236385924E-3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2013</v>
      </c>
      <c r="AB9" s="64">
        <v>0.11975596896889358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28" x14ac:dyDescent="0.25">
      <c r="A10" s="2"/>
      <c r="B10" s="2">
        <v>2013</v>
      </c>
      <c r="C10" s="47">
        <v>14867</v>
      </c>
      <c r="D10" s="66">
        <v>19767</v>
      </c>
      <c r="E10" s="67">
        <f t="shared" si="0"/>
        <v>1701</v>
      </c>
      <c r="F10" s="49">
        <f t="shared" si="1"/>
        <v>1590</v>
      </c>
      <c r="G10">
        <f t="shared" si="2"/>
        <v>0.93474426807760136</v>
      </c>
      <c r="J10" s="2"/>
      <c r="K10" s="2"/>
      <c r="L10" s="50">
        <v>42825</v>
      </c>
      <c r="M10" s="47">
        <v>5294</v>
      </c>
      <c r="N10" s="54">
        <f t="shared" si="3"/>
        <v>-7.6574219431362292E-2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2014</v>
      </c>
      <c r="AB10" s="64">
        <v>0.10634290710970606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28" x14ac:dyDescent="0.25">
      <c r="A11" s="2"/>
      <c r="B11" s="2">
        <v>2014</v>
      </c>
      <c r="C11" s="47">
        <v>16448</v>
      </c>
      <c r="D11" s="66">
        <v>21366</v>
      </c>
      <c r="E11" s="67">
        <f t="shared" si="0"/>
        <v>1599</v>
      </c>
      <c r="F11" s="49">
        <f t="shared" si="1"/>
        <v>1581</v>
      </c>
      <c r="G11">
        <f t="shared" si="2"/>
        <v>0.98874296435272047</v>
      </c>
      <c r="J11" s="2"/>
      <c r="K11" s="2"/>
      <c r="L11" s="50">
        <v>42916</v>
      </c>
      <c r="M11" s="47">
        <v>5662</v>
      </c>
      <c r="N11" s="54">
        <f t="shared" si="3"/>
        <v>6.9512655836796375E-2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2015</v>
      </c>
      <c r="AB11" s="64">
        <v>0.16506566147859922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28" x14ac:dyDescent="0.25">
      <c r="A12" s="2"/>
      <c r="B12" s="2">
        <v>2015</v>
      </c>
      <c r="C12" s="47">
        <v>19163</v>
      </c>
      <c r="D12" s="66">
        <v>23043</v>
      </c>
      <c r="E12" s="67">
        <f t="shared" si="0"/>
        <v>1677</v>
      </c>
      <c r="F12" s="49">
        <f t="shared" si="1"/>
        <v>2715</v>
      </c>
      <c r="G12">
        <f t="shared" si="2"/>
        <v>1.6189624329159213</v>
      </c>
      <c r="J12" s="2"/>
      <c r="K12" s="2"/>
      <c r="L12" s="50">
        <v>43008</v>
      </c>
      <c r="M12" s="47">
        <v>5698</v>
      </c>
      <c r="N12" s="54">
        <f t="shared" si="3"/>
        <v>6.3581773225008832E-3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2016</v>
      </c>
      <c r="AB12" s="64">
        <v>0.11235192819495904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28" x14ac:dyDescent="0.25">
      <c r="A13" s="2"/>
      <c r="B13" s="2">
        <v>2016</v>
      </c>
      <c r="C13" s="47">
        <v>21316</v>
      </c>
      <c r="D13" s="66">
        <v>25085</v>
      </c>
      <c r="E13" s="67">
        <f t="shared" si="0"/>
        <v>2042</v>
      </c>
      <c r="F13" s="49">
        <f t="shared" si="1"/>
        <v>2153</v>
      </c>
      <c r="G13">
        <f t="shared" si="2"/>
        <v>1.05435847208619</v>
      </c>
      <c r="J13" s="2"/>
      <c r="K13" s="2"/>
      <c r="L13" s="50">
        <v>43100</v>
      </c>
      <c r="M13" s="47">
        <v>6074</v>
      </c>
      <c r="N13" s="54">
        <f t="shared" si="3"/>
        <v>6.5988065988065989E-2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2017</v>
      </c>
      <c r="AB13" s="64">
        <v>5.0243948207918936E-2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28" x14ac:dyDescent="0.25">
      <c r="A14" s="2"/>
      <c r="B14" s="2">
        <v>2017</v>
      </c>
      <c r="C14" s="47">
        <v>22387</v>
      </c>
      <c r="D14" s="66">
        <v>27339</v>
      </c>
      <c r="E14" s="67">
        <f t="shared" si="0"/>
        <v>2254</v>
      </c>
      <c r="F14" s="49">
        <f t="shared" si="1"/>
        <v>1071</v>
      </c>
      <c r="G14">
        <f t="shared" si="2"/>
        <v>0.4751552795031056</v>
      </c>
      <c r="J14" s="2"/>
      <c r="K14" s="2"/>
      <c r="L14" s="50">
        <v>43190</v>
      </c>
      <c r="M14" s="47">
        <v>6032</v>
      </c>
      <c r="N14" s="54">
        <f t="shared" si="3"/>
        <v>-6.91471847217649E-3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2018</v>
      </c>
      <c r="AB14" s="64">
        <v>0.10421226604725957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28" x14ac:dyDescent="0.25">
      <c r="A15" s="2"/>
      <c r="B15" s="2">
        <v>2018</v>
      </c>
      <c r="C15" s="47">
        <v>24720</v>
      </c>
      <c r="D15" s="66">
        <v>29324</v>
      </c>
      <c r="E15" s="67">
        <f t="shared" si="0"/>
        <v>1985</v>
      </c>
      <c r="F15" s="49">
        <f t="shared" si="1"/>
        <v>2333</v>
      </c>
      <c r="G15">
        <f t="shared" si="2"/>
        <v>1.1753148614609572</v>
      </c>
      <c r="J15" s="2"/>
      <c r="K15" s="2"/>
      <c r="L15" s="50">
        <v>43281</v>
      </c>
      <c r="M15" s="47">
        <v>6310</v>
      </c>
      <c r="N15" s="54">
        <f t="shared" si="3"/>
        <v>4.6087533156498675E-2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2019</v>
      </c>
      <c r="AB15" s="64">
        <v>7.2370550161812292E-2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28" x14ac:dyDescent="0.25">
      <c r="A16" s="2"/>
      <c r="B16" s="2">
        <v>2019</v>
      </c>
      <c r="C16" s="47">
        <v>26509</v>
      </c>
      <c r="D16" s="66">
        <v>31256</v>
      </c>
      <c r="E16" s="67">
        <f t="shared" si="0"/>
        <v>1932</v>
      </c>
      <c r="F16" s="49">
        <f t="shared" si="1"/>
        <v>1789</v>
      </c>
      <c r="G16">
        <f t="shared" si="2"/>
        <v>0.92598343685300211</v>
      </c>
      <c r="J16" s="2"/>
      <c r="K16" s="2"/>
      <c r="L16" s="50">
        <v>43373</v>
      </c>
      <c r="M16" s="47">
        <v>6304</v>
      </c>
      <c r="N16" s="54">
        <f t="shared" si="3"/>
        <v>-9.5087163232963554E-4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>
        <v>2022</v>
      </c>
      <c r="AB16" s="64">
        <v>0.10973469598430886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x14ac:dyDescent="0.25">
      <c r="A17" s="2"/>
      <c r="B17" s="2">
        <v>2020</v>
      </c>
      <c r="C17" s="47">
        <v>23518</v>
      </c>
      <c r="D17" s="66">
        <v>32660</v>
      </c>
      <c r="E17" s="67">
        <f t="shared" si="0"/>
        <v>1404</v>
      </c>
      <c r="F17" s="49">
        <f t="shared" si="1"/>
        <v>-2991</v>
      </c>
      <c r="G17">
        <f t="shared" si="2"/>
        <v>-2.1303418803418803</v>
      </c>
      <c r="J17" s="2"/>
      <c r="K17" s="2"/>
      <c r="L17" s="50">
        <v>43465</v>
      </c>
      <c r="M17" s="47">
        <v>6633</v>
      </c>
      <c r="N17" s="54">
        <f t="shared" si="3"/>
        <v>5.2189086294416244E-2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2023</v>
      </c>
      <c r="AB17" s="64">
        <v>0.11553488372093024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x14ac:dyDescent="0.25">
      <c r="A18" s="2"/>
      <c r="B18" s="2">
        <v>2021</v>
      </c>
      <c r="C18" s="47">
        <v>29061</v>
      </c>
      <c r="D18" s="66">
        <v>33833</v>
      </c>
      <c r="E18" s="67">
        <f t="shared" si="0"/>
        <v>1173</v>
      </c>
      <c r="F18" s="49">
        <f t="shared" si="1"/>
        <v>5543</v>
      </c>
      <c r="G18">
        <f t="shared" si="2"/>
        <v>4.7254901960784315</v>
      </c>
      <c r="J18" s="2"/>
      <c r="K18" s="2"/>
      <c r="L18" s="50">
        <v>43555</v>
      </c>
      <c r="M18" s="47">
        <v>6306</v>
      </c>
      <c r="N18" s="54">
        <f t="shared" si="3"/>
        <v>-4.9298959746720938E-2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x14ac:dyDescent="0.25">
      <c r="A19" s="2"/>
      <c r="B19" s="2">
        <v>2022</v>
      </c>
      <c r="C19" s="47">
        <v>32250</v>
      </c>
      <c r="D19" s="66">
        <v>35711</v>
      </c>
      <c r="E19" s="67">
        <f t="shared" si="0"/>
        <v>1878</v>
      </c>
      <c r="F19" s="49">
        <f t="shared" si="1"/>
        <v>3189</v>
      </c>
      <c r="G19">
        <f t="shared" si="2"/>
        <v>1.6980830670926517</v>
      </c>
      <c r="J19" s="2"/>
      <c r="K19" s="2"/>
      <c r="L19" s="50">
        <v>43646</v>
      </c>
      <c r="M19" s="47">
        <v>6823</v>
      </c>
      <c r="N19" s="54">
        <f t="shared" si="3"/>
        <v>8.1985410719949262E-2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x14ac:dyDescent="0.25">
      <c r="A20" s="2"/>
      <c r="B20" s="2">
        <v>2023</v>
      </c>
      <c r="C20" s="47">
        <v>35976</v>
      </c>
      <c r="D20" s="66">
        <v>38038</v>
      </c>
      <c r="E20" s="67">
        <f t="shared" si="0"/>
        <v>2327</v>
      </c>
      <c r="F20" s="49">
        <f t="shared" si="1"/>
        <v>3726</v>
      </c>
      <c r="G20">
        <f>F20/E20</f>
        <v>1.6012032660077353</v>
      </c>
      <c r="J20" s="2"/>
      <c r="K20" s="2"/>
      <c r="L20" s="50">
        <v>43738</v>
      </c>
      <c r="M20" s="47">
        <v>6747</v>
      </c>
      <c r="N20" s="54">
        <f t="shared" si="3"/>
        <v>-1.1138795251355709E-2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x14ac:dyDescent="0.25">
      <c r="A21" s="2"/>
      <c r="B21" s="2" t="s">
        <v>30</v>
      </c>
      <c r="C21" s="2" t="s">
        <v>69</v>
      </c>
      <c r="J21" s="2"/>
      <c r="K21" s="2"/>
      <c r="L21" s="50">
        <v>43830</v>
      </c>
      <c r="M21" s="47">
        <v>7097</v>
      </c>
      <c r="N21" s="54">
        <f t="shared" si="3"/>
        <v>5.1874907366236844E-2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x14ac:dyDescent="0.25">
      <c r="A22" s="2"/>
      <c r="B22" s="2">
        <v>2009</v>
      </c>
      <c r="C22" s="2"/>
      <c r="G22">
        <f>AVERAGE(G25:G34)</f>
        <v>1.1956085207333893</v>
      </c>
      <c r="J22" s="2"/>
      <c r="K22" s="2"/>
      <c r="L22" s="50">
        <v>43921</v>
      </c>
      <c r="M22" s="47">
        <v>5996</v>
      </c>
      <c r="N22" s="54">
        <f t="shared" si="3"/>
        <v>-0.15513597294631534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x14ac:dyDescent="0.25">
      <c r="A23" s="2"/>
      <c r="B23" s="2">
        <v>2010</v>
      </c>
      <c r="C23" s="64">
        <f>(C7-C6)/C6</f>
        <v>9.5345268542199491E-2</v>
      </c>
      <c r="J23" s="2"/>
      <c r="K23" s="2"/>
      <c r="L23" s="50">
        <v>44012</v>
      </c>
      <c r="M23" s="47">
        <v>4222</v>
      </c>
      <c r="N23" s="54">
        <f t="shared" si="3"/>
        <v>-0.29586390927284856</v>
      </c>
      <c r="O23" s="2"/>
      <c r="P23" s="2"/>
      <c r="Q23" s="2"/>
      <c r="R23" s="51"/>
      <c r="S23" s="5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x14ac:dyDescent="0.25">
      <c r="A24" s="2"/>
      <c r="B24" s="2">
        <v>2011</v>
      </c>
      <c r="C24" s="64">
        <f t="shared" ref="C24:C36" si="4">(C8-C7)/C7</f>
        <v>9.2743065284393383E-2</v>
      </c>
      <c r="J24" s="2"/>
      <c r="K24" s="2"/>
      <c r="L24" s="50">
        <v>44104</v>
      </c>
      <c r="M24" s="47">
        <v>6203</v>
      </c>
      <c r="N24" s="54">
        <f t="shared" si="3"/>
        <v>0.46920890573188062</v>
      </c>
      <c r="O24" s="2"/>
      <c r="P24" s="2"/>
      <c r="Q24" s="2"/>
      <c r="R24" s="51"/>
      <c r="S24" s="5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x14ac:dyDescent="0.25">
      <c r="A25" s="2"/>
      <c r="B25" s="2">
        <v>2012</v>
      </c>
      <c r="C25" s="64">
        <f t="shared" si="4"/>
        <v>0.1347863247863248</v>
      </c>
      <c r="G25">
        <v>1.4835371589840076</v>
      </c>
      <c r="J25" s="2"/>
      <c r="K25" s="2"/>
      <c r="L25" s="50">
        <v>44196</v>
      </c>
      <c r="M25" s="47">
        <v>6749</v>
      </c>
      <c r="N25" s="54">
        <f t="shared" si="3"/>
        <v>8.8021924875060456E-2</v>
      </c>
      <c r="O25" s="2"/>
      <c r="P25" s="2"/>
      <c r="Q25" s="2"/>
      <c r="R25" s="51"/>
      <c r="S25" s="5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</row>
    <row r="26" spans="1:128" x14ac:dyDescent="0.25">
      <c r="A26" s="2"/>
      <c r="B26" s="2">
        <v>2013</v>
      </c>
      <c r="C26" s="64">
        <f t="shared" si="4"/>
        <v>0.11975596896889358</v>
      </c>
      <c r="G26">
        <v>0.93474426807760136</v>
      </c>
      <c r="J26" s="2"/>
      <c r="K26" s="2"/>
      <c r="L26" s="50">
        <v>44286</v>
      </c>
      <c r="M26" s="47">
        <v>6668</v>
      </c>
      <c r="N26" s="54">
        <f t="shared" si="3"/>
        <v>-1.2001778041191288E-2</v>
      </c>
      <c r="O26" s="2"/>
      <c r="P26" s="2"/>
      <c r="Q26" s="2"/>
      <c r="R26" s="51"/>
      <c r="S26" s="5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</row>
    <row r="27" spans="1:128" x14ac:dyDescent="0.25">
      <c r="A27" s="2"/>
      <c r="B27" s="2">
        <v>2014</v>
      </c>
      <c r="C27" s="64">
        <f t="shared" si="4"/>
        <v>0.10634290710970606</v>
      </c>
      <c r="G27">
        <v>0.98874296435272047</v>
      </c>
      <c r="J27" s="2"/>
      <c r="K27" s="2"/>
      <c r="L27" s="50">
        <v>44377</v>
      </c>
      <c r="M27" s="47">
        <v>7497</v>
      </c>
      <c r="N27" s="54">
        <f t="shared" si="3"/>
        <v>0.1243251349730054</v>
      </c>
      <c r="O27" s="2"/>
      <c r="P27" s="2"/>
      <c r="Q27" s="2"/>
      <c r="R27" s="51"/>
      <c r="S27" s="5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</row>
    <row r="28" spans="1:128" x14ac:dyDescent="0.25">
      <c r="A28" s="2"/>
      <c r="B28" s="2">
        <v>2015</v>
      </c>
      <c r="C28" s="64">
        <f t="shared" si="4"/>
        <v>0.16506566147859922</v>
      </c>
      <c r="G28">
        <v>1.6189624329159213</v>
      </c>
      <c r="J28" s="2"/>
      <c r="K28" s="2"/>
      <c r="L28" s="50">
        <v>44469</v>
      </c>
      <c r="M28" s="47">
        <v>8147</v>
      </c>
      <c r="N28" s="54">
        <f t="shared" si="3"/>
        <v>8.6701347205548882E-2</v>
      </c>
      <c r="O28" s="2"/>
      <c r="P28" s="2"/>
      <c r="Q28" s="2"/>
      <c r="R28" s="51"/>
      <c r="S28" s="5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</row>
    <row r="29" spans="1:128" x14ac:dyDescent="0.25">
      <c r="A29" s="2"/>
      <c r="B29" s="2">
        <v>2016</v>
      </c>
      <c r="C29" s="64">
        <f t="shared" si="4"/>
        <v>0.11235192819495904</v>
      </c>
      <c r="G29">
        <v>1.05435847208619</v>
      </c>
      <c r="J29" s="2"/>
      <c r="K29" s="2"/>
      <c r="L29" s="50">
        <v>44561</v>
      </c>
      <c r="M29" s="47">
        <v>8050</v>
      </c>
      <c r="N29" s="54">
        <f t="shared" si="3"/>
        <v>-1.1906223149625628E-2</v>
      </c>
      <c r="O29" s="2"/>
      <c r="P29" s="2"/>
      <c r="Q29" s="2"/>
      <c r="R29" s="51"/>
      <c r="S29" s="5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</row>
    <row r="30" spans="1:128" x14ac:dyDescent="0.25">
      <c r="A30" s="2"/>
      <c r="B30" s="2">
        <v>2017</v>
      </c>
      <c r="C30" s="64">
        <f t="shared" si="4"/>
        <v>5.0243948207918936E-2</v>
      </c>
      <c r="G30">
        <v>0.4751552795031056</v>
      </c>
      <c r="J30" s="2"/>
      <c r="K30" s="2"/>
      <c r="L30" s="50">
        <v>44651</v>
      </c>
      <c r="M30" s="47">
        <v>7636</v>
      </c>
      <c r="N30" s="54">
        <f t="shared" si="3"/>
        <v>-5.1428571428571428E-2</v>
      </c>
      <c r="O30" s="2"/>
      <c r="P30" s="2"/>
      <c r="Q30" s="2"/>
      <c r="R30" s="51"/>
      <c r="S30" s="5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</row>
    <row r="31" spans="1:128" x14ac:dyDescent="0.25">
      <c r="A31" s="2"/>
      <c r="B31" s="2">
        <v>2018</v>
      </c>
      <c r="C31" s="64">
        <f t="shared" si="4"/>
        <v>0.10421226604725957</v>
      </c>
      <c r="G31">
        <v>1.1753148614609572</v>
      </c>
      <c r="J31" s="2"/>
      <c r="K31" s="2"/>
      <c r="L31" s="50">
        <v>44742</v>
      </c>
      <c r="M31" s="47">
        <v>8150</v>
      </c>
      <c r="N31" s="54">
        <f t="shared" si="3"/>
        <v>6.7312729177579883E-2</v>
      </c>
      <c r="O31" s="2"/>
      <c r="P31" s="2"/>
      <c r="Q31" s="2"/>
      <c r="R31" s="51"/>
      <c r="S31" s="5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</row>
    <row r="32" spans="1:128" x14ac:dyDescent="0.25">
      <c r="A32" s="2"/>
      <c r="B32" s="2">
        <v>2019</v>
      </c>
      <c r="C32" s="64">
        <f t="shared" si="4"/>
        <v>7.2370550161812292E-2</v>
      </c>
      <c r="G32">
        <v>0.92598343685300211</v>
      </c>
      <c r="J32" s="2"/>
      <c r="K32" s="2"/>
      <c r="L32" s="50">
        <v>44834</v>
      </c>
      <c r="M32" s="47">
        <v>8414</v>
      </c>
      <c r="N32" s="54">
        <f t="shared" si="3"/>
        <v>3.2392638036809814E-2</v>
      </c>
      <c r="O32" s="2"/>
      <c r="P32" s="2"/>
      <c r="Q32" s="2"/>
      <c r="R32" s="51"/>
      <c r="S32" s="5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</row>
    <row r="33" spans="1:128" x14ac:dyDescent="0.25">
      <c r="A33" s="2"/>
      <c r="B33" s="2">
        <v>2020</v>
      </c>
      <c r="C33" s="64">
        <f t="shared" si="4"/>
        <v>-0.1128296050397978</v>
      </c>
      <c r="G33">
        <v>1.6980830670926517</v>
      </c>
      <c r="J33" s="2"/>
      <c r="K33" s="2"/>
      <c r="L33" s="50">
        <v>44926</v>
      </c>
      <c r="M33" s="47">
        <v>8714</v>
      </c>
      <c r="N33" s="54">
        <f t="shared" si="3"/>
        <v>3.565486094604231E-2</v>
      </c>
      <c r="O33" s="2"/>
      <c r="P33" s="2"/>
      <c r="Q33" s="2"/>
      <c r="R33" s="51"/>
      <c r="S33" s="5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</row>
    <row r="34" spans="1:128" x14ac:dyDescent="0.25">
      <c r="A34" s="2"/>
      <c r="B34" s="2">
        <v>2021</v>
      </c>
      <c r="C34" s="64">
        <f t="shared" si="4"/>
        <v>0.23569181052810614</v>
      </c>
      <c r="G34">
        <v>1.6012032660077353</v>
      </c>
      <c r="J34" s="2"/>
      <c r="K34" s="2"/>
      <c r="L34" s="50">
        <v>45016</v>
      </c>
      <c r="M34" s="47">
        <v>8720</v>
      </c>
      <c r="N34" s="54">
        <f t="shared" si="3"/>
        <v>6.8854716548083549E-4</v>
      </c>
      <c r="O34" s="2"/>
      <c r="P34" s="2"/>
      <c r="Q34" s="2"/>
      <c r="R34" s="51"/>
      <c r="S34" s="5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</row>
    <row r="35" spans="1:128" x14ac:dyDescent="0.25">
      <c r="A35" s="2"/>
      <c r="B35" s="2">
        <v>2022</v>
      </c>
      <c r="C35" s="64">
        <f t="shared" si="4"/>
        <v>0.10973469598430886</v>
      </c>
      <c r="J35" s="2"/>
      <c r="K35" s="2"/>
      <c r="L35" s="50">
        <v>45107</v>
      </c>
      <c r="M35" s="47">
        <v>9168</v>
      </c>
      <c r="N35" s="54">
        <f t="shared" si="3"/>
        <v>5.1376146788990829E-2</v>
      </c>
      <c r="O35" s="2"/>
      <c r="P35" s="2"/>
      <c r="Q35" s="2"/>
      <c r="R35" s="51"/>
      <c r="S35" s="5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</row>
    <row r="36" spans="1:128" x14ac:dyDescent="0.25">
      <c r="A36" s="2"/>
      <c r="B36" s="2">
        <v>2023</v>
      </c>
      <c r="C36" s="64">
        <f t="shared" si="4"/>
        <v>0.11553488372093024</v>
      </c>
      <c r="J36" s="2"/>
      <c r="K36" s="2"/>
      <c r="L36" s="50">
        <v>45199</v>
      </c>
      <c r="M36" s="47">
        <v>9374</v>
      </c>
      <c r="N36" s="54">
        <f t="shared" si="3"/>
        <v>2.2469458987783596E-2</v>
      </c>
      <c r="O36" s="2"/>
      <c r="P36" s="2"/>
      <c r="Q36" s="2"/>
      <c r="R36" s="51"/>
      <c r="S36" s="5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</row>
    <row r="37" spans="1:128" x14ac:dyDescent="0.25">
      <c r="A37" s="2" t="s">
        <v>70</v>
      </c>
      <c r="B37" s="2"/>
      <c r="C37" s="2"/>
      <c r="J37" s="2"/>
      <c r="K37" s="2"/>
      <c r="L37" s="50">
        <v>45291</v>
      </c>
      <c r="M37" s="47">
        <v>9425</v>
      </c>
      <c r="N37" s="54">
        <f t="shared" si="3"/>
        <v>5.4405803285683804E-3</v>
      </c>
      <c r="O37" s="2"/>
      <c r="P37" s="2"/>
      <c r="Q37" s="2"/>
      <c r="R37" s="51"/>
      <c r="S37" s="5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</row>
    <row r="38" spans="1:128" x14ac:dyDescent="0.25">
      <c r="A38" s="2" t="s">
        <v>71</v>
      </c>
      <c r="B38" s="2"/>
      <c r="C38" s="65">
        <f>AVERAGE(AB6:AB17)</f>
        <v>0.10654062237394211</v>
      </c>
      <c r="J38" s="2"/>
      <c r="K38" s="2"/>
      <c r="L38" s="50">
        <v>45382</v>
      </c>
      <c r="M38" s="47">
        <v>8563</v>
      </c>
      <c r="N38" s="54">
        <f t="shared" si="3"/>
        <v>-9.1458885941644558E-2</v>
      </c>
      <c r="O38" s="2"/>
      <c r="P38" s="2"/>
      <c r="Q38" s="2"/>
      <c r="R38" s="51"/>
      <c r="S38" s="5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</row>
    <row r="39" spans="1:128" x14ac:dyDescent="0.25">
      <c r="A39" s="2"/>
      <c r="F39" s="2"/>
      <c r="G39" s="48"/>
      <c r="H39" s="2"/>
      <c r="I39" s="2"/>
      <c r="J39" s="2"/>
      <c r="K39" s="2"/>
      <c r="L39" s="2"/>
      <c r="M39" s="2"/>
      <c r="N39" s="2"/>
      <c r="O39" s="2"/>
      <c r="P39" s="2"/>
      <c r="Q39" s="2"/>
      <c r="R39" s="51"/>
      <c r="S39" s="5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</row>
    <row r="40" spans="1:128" x14ac:dyDescent="0.25">
      <c r="A40" s="2" t="s">
        <v>72</v>
      </c>
      <c r="F40" s="2"/>
      <c r="G40" s="48"/>
      <c r="H40" s="2"/>
      <c r="I40" s="2"/>
      <c r="J40" s="2"/>
      <c r="K40" s="2"/>
      <c r="L40" s="2"/>
      <c r="M40" s="2"/>
      <c r="N40" s="2"/>
      <c r="O40" s="2"/>
      <c r="P40" s="2"/>
      <c r="Q40" s="2"/>
      <c r="R40" s="51"/>
      <c r="S40" s="5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</row>
    <row r="41" spans="1:128" x14ac:dyDescent="0.25">
      <c r="A41" s="2"/>
      <c r="F41" s="2"/>
      <c r="G41" s="48"/>
      <c r="H41" s="2"/>
      <c r="I41" s="2"/>
      <c r="J41" s="2"/>
      <c r="K41" s="2"/>
      <c r="L41" s="2"/>
      <c r="M41" s="2"/>
      <c r="N41" s="2"/>
      <c r="O41" s="2"/>
      <c r="P41" s="2"/>
      <c r="Q41" s="2"/>
      <c r="R41" s="51"/>
      <c r="S41" s="5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</row>
    <row r="42" spans="1:128" x14ac:dyDescent="0.25">
      <c r="A42" s="2"/>
      <c r="F42" s="2"/>
      <c r="G42" s="48"/>
      <c r="H42" s="2"/>
      <c r="I42" s="2"/>
      <c r="J42" s="2"/>
      <c r="K42" s="2"/>
      <c r="L42" s="2"/>
      <c r="M42" s="2"/>
      <c r="N42" s="2"/>
      <c r="O42" s="2"/>
      <c r="P42" s="2"/>
      <c r="Q42" s="2"/>
      <c r="R42" s="51"/>
      <c r="S42" s="5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</row>
    <row r="43" spans="1:128" x14ac:dyDescent="0.25">
      <c r="A43" s="2"/>
      <c r="F43" s="2"/>
      <c r="G43" s="48"/>
      <c r="H43" s="2"/>
      <c r="I43" s="2"/>
      <c r="J43" s="2"/>
      <c r="K43" s="2"/>
      <c r="L43" s="2"/>
      <c r="M43" s="2"/>
      <c r="N43" s="2"/>
      <c r="O43" s="2"/>
      <c r="P43" s="2"/>
      <c r="Q43" s="2"/>
      <c r="R43" s="51"/>
      <c r="S43" s="5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</row>
    <row r="44" spans="1:128" x14ac:dyDescent="0.25">
      <c r="A44" s="2"/>
      <c r="F44" s="2"/>
      <c r="G44" s="48"/>
      <c r="H44" s="2"/>
      <c r="I44" s="2"/>
      <c r="J44" s="2"/>
      <c r="K44" s="2"/>
      <c r="L44" s="2"/>
      <c r="M44" s="2"/>
      <c r="N44" s="2"/>
      <c r="O44" s="2"/>
      <c r="P44" s="2"/>
      <c r="Q44" s="2"/>
      <c r="R44" s="51"/>
      <c r="S44" s="5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</row>
    <row r="45" spans="1:128" x14ac:dyDescent="0.25">
      <c r="A45" s="2"/>
      <c r="F45" s="2"/>
      <c r="G45" s="48"/>
      <c r="H45" s="2"/>
      <c r="I45" s="2"/>
      <c r="J45" s="2"/>
      <c r="K45" s="2"/>
      <c r="L45" s="2"/>
      <c r="M45" s="2"/>
      <c r="N45" s="2"/>
      <c r="O45" s="2"/>
      <c r="P45" s="2"/>
      <c r="Q45" s="2"/>
      <c r="R45" s="51"/>
      <c r="S45" s="5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</row>
    <row r="46" spans="1:128" x14ac:dyDescent="0.25">
      <c r="A46" s="2"/>
      <c r="F46" s="2"/>
      <c r="G46" s="48"/>
      <c r="H46" s="2"/>
      <c r="I46" s="2"/>
      <c r="J46" s="2"/>
      <c r="K46" s="2"/>
      <c r="L46" s="2"/>
      <c r="M46" s="2"/>
      <c r="N46" s="2"/>
      <c r="O46" s="2"/>
      <c r="P46" s="2"/>
      <c r="Q46" s="2"/>
      <c r="R46" s="51"/>
      <c r="S46" s="5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</row>
    <row r="47" spans="1:128" x14ac:dyDescent="0.25">
      <c r="A47" s="2"/>
      <c r="F47" s="2"/>
      <c r="G47" s="48"/>
      <c r="H47" s="2"/>
      <c r="I47" s="2"/>
      <c r="J47" s="2"/>
      <c r="K47" s="2"/>
      <c r="L47" s="2"/>
      <c r="M47" s="2"/>
      <c r="N47" s="2"/>
      <c r="O47" s="2"/>
      <c r="P47" s="2"/>
      <c r="Q47" s="2"/>
      <c r="R47" s="51"/>
      <c r="S47" s="5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</row>
    <row r="48" spans="1:128" x14ac:dyDescent="0.25">
      <c r="A48" s="2"/>
      <c r="F48" s="2"/>
      <c r="G48" s="48"/>
      <c r="H48" s="2"/>
      <c r="I48" s="2"/>
      <c r="J48" s="2"/>
      <c r="K48" s="2"/>
      <c r="L48" s="2"/>
      <c r="M48" s="2"/>
      <c r="N48" s="2"/>
      <c r="O48" s="2"/>
      <c r="P48" s="2"/>
      <c r="Q48" s="2"/>
      <c r="R48" s="51"/>
      <c r="S48" s="5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</row>
    <row r="49" spans="1:128" x14ac:dyDescent="0.25">
      <c r="A49" s="2"/>
      <c r="F49" s="2"/>
      <c r="G49" s="48"/>
      <c r="H49" s="2"/>
      <c r="I49" s="2"/>
      <c r="J49" s="2"/>
      <c r="K49" s="2"/>
      <c r="L49" s="2"/>
      <c r="M49" s="2"/>
      <c r="N49" s="2"/>
      <c r="O49" s="2"/>
      <c r="P49" s="2"/>
      <c r="Q49" s="2"/>
      <c r="R49" s="51"/>
      <c r="S49" s="5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</row>
    <row r="50" spans="1:128" x14ac:dyDescent="0.25">
      <c r="A50" s="2"/>
      <c r="F50" s="2"/>
      <c r="G50" s="48"/>
      <c r="H50" s="2"/>
      <c r="I50" s="2"/>
      <c r="J50" s="2"/>
      <c r="K50" s="2"/>
      <c r="L50" s="2"/>
      <c r="M50" s="2"/>
      <c r="N50" s="2"/>
      <c r="O50" s="2"/>
      <c r="P50" s="2"/>
      <c r="Q50" s="2"/>
      <c r="R50" s="51"/>
      <c r="S50" s="5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5">
      <c r="A51" s="2"/>
      <c r="F51" s="2"/>
      <c r="G51" s="48"/>
      <c r="H51" s="2"/>
      <c r="I51" s="2"/>
      <c r="J51" s="2"/>
      <c r="K51" s="2"/>
      <c r="L51" s="2"/>
      <c r="M51" s="2"/>
      <c r="N51" s="2"/>
      <c r="O51" s="2"/>
      <c r="P51" s="2"/>
      <c r="Q51" s="2"/>
      <c r="R51" s="51"/>
      <c r="S51" s="5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5">
      <c r="A52" s="2"/>
      <c r="F52" s="2"/>
      <c r="G52" s="48"/>
      <c r="H52" s="2"/>
      <c r="I52" s="2"/>
      <c r="J52" s="2"/>
      <c r="K52" s="2"/>
      <c r="L52" s="2"/>
      <c r="M52" s="2"/>
      <c r="N52" s="2"/>
      <c r="O52" s="2"/>
      <c r="P52" s="2"/>
      <c r="Q52" s="2"/>
      <c r="R52" s="51"/>
      <c r="S52" s="5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5">
      <c r="A53" s="2"/>
      <c r="F53" s="2"/>
      <c r="G53" s="48"/>
      <c r="H53" s="2"/>
      <c r="I53" s="2"/>
      <c r="J53" s="2"/>
      <c r="K53" s="2"/>
      <c r="L53" s="2"/>
      <c r="M53" s="2"/>
      <c r="N53" s="2"/>
      <c r="O53" s="2"/>
      <c r="P53" s="2"/>
      <c r="Q53" s="2"/>
      <c r="R53" s="51"/>
      <c r="S53" s="5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5">
      <c r="A54" s="2"/>
      <c r="F54" s="2"/>
      <c r="G54" s="48"/>
      <c r="H54" s="2"/>
      <c r="I54" s="2"/>
      <c r="J54" s="2"/>
      <c r="K54" s="2"/>
      <c r="L54" s="2"/>
      <c r="M54" s="2"/>
      <c r="N54" s="2"/>
      <c r="O54" s="2"/>
      <c r="P54" s="2"/>
      <c r="Q54" s="2"/>
      <c r="R54" s="51"/>
      <c r="S54" s="5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5">
      <c r="A55" s="2"/>
      <c r="F55" s="2"/>
      <c r="G55" s="48"/>
      <c r="H55" s="2"/>
      <c r="I55" s="2"/>
      <c r="J55" s="2"/>
      <c r="K55" s="2"/>
      <c r="L55" s="2"/>
      <c r="M55" s="2"/>
      <c r="N55" s="2"/>
      <c r="O55" s="2"/>
      <c r="P55" s="2"/>
      <c r="Q55" s="2"/>
      <c r="R55" s="51"/>
      <c r="S55" s="5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5">
      <c r="A56" s="2"/>
      <c r="F56" s="2"/>
      <c r="G56" s="48"/>
      <c r="H56" s="2"/>
      <c r="I56" s="2"/>
      <c r="J56" s="2"/>
      <c r="K56" s="2"/>
      <c r="L56" s="2"/>
      <c r="M56" s="2"/>
      <c r="N56" s="2"/>
      <c r="O56" s="2"/>
      <c r="P56" s="2"/>
      <c r="Q56" s="2"/>
      <c r="R56" s="51"/>
      <c r="S56" s="5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5">
      <c r="A57" s="2"/>
      <c r="F57" s="2"/>
      <c r="G57" s="48"/>
      <c r="H57" s="2"/>
      <c r="I57" s="2"/>
      <c r="J57" s="2"/>
      <c r="K57" s="2"/>
      <c r="L57" s="2"/>
      <c r="M57" s="2"/>
      <c r="N57" s="2"/>
      <c r="O57" s="2"/>
      <c r="P57" s="2"/>
      <c r="Q57" s="2"/>
      <c r="R57" s="51"/>
      <c r="S57" s="5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5">
      <c r="A58" s="2"/>
      <c r="F58" s="2"/>
      <c r="G58" s="48"/>
      <c r="H58" s="2"/>
      <c r="I58" s="2"/>
      <c r="J58" s="2"/>
      <c r="K58" s="2"/>
      <c r="L58" s="2"/>
      <c r="M58" s="2"/>
      <c r="N58" s="2"/>
      <c r="O58" s="2"/>
      <c r="P58" s="2"/>
      <c r="Q58" s="2"/>
      <c r="R58" s="51"/>
      <c r="S58" s="5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5">
      <c r="A59" s="2"/>
      <c r="F59" s="2"/>
      <c r="G59" s="48"/>
      <c r="H59" s="2"/>
      <c r="I59" s="2"/>
      <c r="J59" s="2"/>
      <c r="K59" s="2"/>
      <c r="L59" s="2"/>
      <c r="M59" s="2"/>
      <c r="N59" s="2"/>
      <c r="O59" s="2"/>
      <c r="P59" s="2"/>
      <c r="Q59" s="2"/>
      <c r="R59" s="51"/>
      <c r="S59" s="5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5">
      <c r="A60" s="2"/>
      <c r="F60" s="2"/>
      <c r="G60" s="48"/>
      <c r="H60" s="2"/>
      <c r="I60" s="2"/>
      <c r="J60" s="2"/>
      <c r="K60" s="2"/>
      <c r="L60" s="2"/>
      <c r="M60" s="2"/>
      <c r="N60" s="2"/>
      <c r="O60" s="2"/>
      <c r="P60" s="2"/>
      <c r="Q60" s="2"/>
      <c r="R60" s="51"/>
      <c r="S60" s="5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5">
      <c r="A61" s="2"/>
      <c r="F61" s="2"/>
      <c r="G61" s="48"/>
      <c r="H61" s="2"/>
      <c r="I61" s="2"/>
      <c r="J61" s="2"/>
      <c r="K61" s="2"/>
      <c r="L61" s="2"/>
      <c r="M61" s="2"/>
      <c r="N61" s="2"/>
      <c r="O61" s="2"/>
      <c r="P61" s="2"/>
      <c r="Q61" s="2"/>
      <c r="R61" s="51"/>
      <c r="S61" s="5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5">
      <c r="A62" s="2"/>
      <c r="F62" s="2"/>
      <c r="G62" s="48"/>
      <c r="H62" s="2"/>
      <c r="I62" s="2"/>
      <c r="J62" s="2"/>
      <c r="K62" s="2"/>
      <c r="L62" s="2"/>
      <c r="M62" s="2"/>
      <c r="N62" s="2"/>
      <c r="O62" s="2"/>
      <c r="P62" s="2"/>
      <c r="Q62" s="2"/>
      <c r="R62" s="51"/>
      <c r="S62" s="5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5">
      <c r="A63" s="2"/>
      <c r="F63" s="2"/>
      <c r="G63" s="48"/>
      <c r="H63" s="2"/>
      <c r="I63" s="2"/>
      <c r="J63" s="2"/>
      <c r="K63" s="2"/>
      <c r="L63" s="2"/>
      <c r="M63" s="2"/>
      <c r="N63" s="2"/>
      <c r="O63" s="2"/>
      <c r="P63" s="2"/>
      <c r="Q63" s="2"/>
      <c r="R63" s="51"/>
      <c r="S63" s="5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5">
      <c r="A64" s="2"/>
      <c r="F64" s="2"/>
      <c r="G64" s="48"/>
      <c r="H64" s="2"/>
      <c r="I64" s="2"/>
      <c r="J64" s="2"/>
      <c r="K64" s="2"/>
      <c r="L64" s="2"/>
      <c r="M64" s="2"/>
      <c r="N64" s="2"/>
      <c r="O64" s="2"/>
      <c r="P64" s="2"/>
      <c r="Q64" s="2"/>
      <c r="R64" s="51"/>
      <c r="S64" s="5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5">
      <c r="A65" s="2"/>
      <c r="F65" s="2"/>
      <c r="G65" s="48"/>
      <c r="H65" s="2"/>
      <c r="I65" s="2"/>
      <c r="J65" s="2"/>
      <c r="K65" s="2"/>
      <c r="L65" s="2"/>
      <c r="M65" s="2"/>
      <c r="N65" s="2"/>
      <c r="O65" s="2"/>
      <c r="P65" s="2"/>
      <c r="Q65" s="2"/>
      <c r="R65" s="51"/>
      <c r="S65" s="5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5">
      <c r="A66" s="2"/>
      <c r="B66" s="3" t="s">
        <v>53</v>
      </c>
      <c r="F66" s="2"/>
      <c r="G66" s="48"/>
      <c r="H66" s="2"/>
      <c r="I66" s="2"/>
      <c r="J66" s="2"/>
      <c r="K66" s="2"/>
      <c r="L66" s="2"/>
      <c r="M66" s="2"/>
      <c r="N66" s="2"/>
      <c r="O66" s="2"/>
      <c r="P66" s="2"/>
      <c r="Q66" s="2"/>
      <c r="R66" s="51"/>
      <c r="S66" s="5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5">
      <c r="A67" s="2"/>
      <c r="B67" s="2" t="s">
        <v>30</v>
      </c>
      <c r="C67" s="2" t="s">
        <v>55</v>
      </c>
      <c r="D67" s="2" t="s">
        <v>52</v>
      </c>
      <c r="E67" s="2" t="s">
        <v>53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51"/>
      <c r="S67" s="5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5">
      <c r="A68" s="2"/>
      <c r="B68" s="2">
        <v>2009</v>
      </c>
      <c r="C68" s="47">
        <v>562</v>
      </c>
      <c r="D68" s="47">
        <v>9775</v>
      </c>
      <c r="E68" s="54">
        <f>C68/D68</f>
        <v>5.7493606138107417E-2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51"/>
      <c r="S68" s="52"/>
      <c r="T68" s="2"/>
      <c r="U68" s="2"/>
      <c r="V68" s="2" cm="1">
        <f t="array" ref="V68:V82">_xlfn.SORTBY(J69:J83,_xlfn.SEQUENCE(ROWS(J69:J83)),-1)</f>
        <v>0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5">
      <c r="A69" s="2"/>
      <c r="B69" s="2">
        <v>2010</v>
      </c>
      <c r="C69" s="47">
        <v>1419</v>
      </c>
      <c r="D69" s="47">
        <v>10707</v>
      </c>
      <c r="E69" s="54">
        <f t="shared" ref="E69:E82" si="5">C69/D69</f>
        <v>0.13253012048192772</v>
      </c>
      <c r="F69" s="53"/>
      <c r="G69" s="2"/>
      <c r="H69" s="2"/>
      <c r="I69" s="2"/>
      <c r="J69" s="53"/>
      <c r="K69" s="2"/>
      <c r="L69" s="2"/>
      <c r="M69" s="2"/>
      <c r="N69" s="2"/>
      <c r="O69" s="2"/>
      <c r="P69" s="2"/>
      <c r="Q69" s="2"/>
      <c r="R69" s="58">
        <f>E73</f>
        <v>0.18731760700389105</v>
      </c>
      <c r="S69" s="52"/>
      <c r="T69" s="2"/>
      <c r="U69" s="2"/>
      <c r="V69" s="2">
        <v>0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5">
      <c r="A70" s="2"/>
      <c r="B70" s="2">
        <v>2011</v>
      </c>
      <c r="C70" s="47">
        <v>1729</v>
      </c>
      <c r="D70" s="47">
        <v>11700</v>
      </c>
      <c r="E70" s="54">
        <f t="shared" si="5"/>
        <v>0.14777777777777779</v>
      </c>
      <c r="F70" s="53"/>
      <c r="G70" s="2"/>
      <c r="H70" s="2"/>
      <c r="I70" s="2"/>
      <c r="J70" s="53"/>
      <c r="K70" s="2"/>
      <c r="L70" s="2"/>
      <c r="M70" s="2"/>
      <c r="N70" s="2"/>
      <c r="O70" s="2"/>
      <c r="P70" s="2"/>
      <c r="Q70" s="2"/>
      <c r="R70" s="58">
        <f t="shared" ref="R70:R74" si="6">E74</f>
        <v>0.18791420967489433</v>
      </c>
      <c r="S70" s="52"/>
      <c r="T70" s="2"/>
      <c r="U70" s="2"/>
      <c r="V70" s="2">
        <v>0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5">
      <c r="A71" s="2"/>
      <c r="B71" s="2">
        <v>2012</v>
      </c>
      <c r="C71" s="47">
        <v>1997</v>
      </c>
      <c r="D71" s="47">
        <v>13277</v>
      </c>
      <c r="E71" s="54">
        <f t="shared" si="5"/>
        <v>0.15041048429615123</v>
      </c>
      <c r="F71" s="53"/>
      <c r="G71" s="2"/>
      <c r="H71" s="2"/>
      <c r="I71" s="2"/>
      <c r="J71" s="53"/>
      <c r="K71" s="2"/>
      <c r="L71" s="2"/>
      <c r="M71" s="2"/>
      <c r="N71" s="2"/>
      <c r="O71" s="2"/>
      <c r="P71" s="2"/>
      <c r="Q71" s="2"/>
      <c r="R71" s="58">
        <f t="shared" si="6"/>
        <v>0.19572152373803717</v>
      </c>
      <c r="S71" s="52"/>
      <c r="T71" s="2"/>
      <c r="U71" s="2"/>
      <c r="V71" s="2">
        <v>0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5">
      <c r="A72" s="2"/>
      <c r="B72" s="2">
        <v>2013</v>
      </c>
      <c r="C72" s="47">
        <v>-325</v>
      </c>
      <c r="D72" s="47">
        <v>14867</v>
      </c>
      <c r="E72" s="54">
        <f t="shared" si="5"/>
        <v>-2.1860496401425976E-2</v>
      </c>
      <c r="F72" s="53"/>
      <c r="G72" s="2"/>
      <c r="H72" s="2"/>
      <c r="I72" s="2"/>
      <c r="J72" s="53"/>
      <c r="K72" s="2"/>
      <c r="L72" s="2"/>
      <c r="M72" s="2"/>
      <c r="N72" s="2"/>
      <c r="O72" s="2"/>
      <c r="P72" s="2"/>
      <c r="Q72" s="2"/>
      <c r="R72" s="58">
        <f t="shared" si="6"/>
        <v>0.18470540938937777</v>
      </c>
      <c r="S72" s="52"/>
      <c r="T72" s="2"/>
      <c r="U72" s="2"/>
      <c r="V72" s="2">
        <v>0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5">
      <c r="A73" s="2"/>
      <c r="B73" s="2">
        <v>2014</v>
      </c>
      <c r="C73" s="47">
        <v>3081</v>
      </c>
      <c r="D73" s="47">
        <v>16448</v>
      </c>
      <c r="E73" s="54">
        <f t="shared" si="5"/>
        <v>0.18731760700389105</v>
      </c>
      <c r="F73" s="53"/>
      <c r="G73" s="2"/>
      <c r="H73" s="2"/>
      <c r="I73" s="2"/>
      <c r="J73" s="53"/>
      <c r="K73" s="2"/>
      <c r="L73" s="2"/>
      <c r="M73" s="2"/>
      <c r="N73" s="2"/>
      <c r="O73" s="2"/>
      <c r="P73" s="2"/>
      <c r="Q73" s="2"/>
      <c r="R73" s="58">
        <f t="shared" si="6"/>
        <v>0.15707928802588997</v>
      </c>
      <c r="S73" s="52"/>
      <c r="T73" s="2"/>
      <c r="U73" s="2"/>
      <c r="V73" s="2">
        <v>0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5">
      <c r="A74" s="2"/>
      <c r="B74" s="2">
        <v>2015</v>
      </c>
      <c r="C74" s="47">
        <v>3601</v>
      </c>
      <c r="D74" s="47">
        <v>19163</v>
      </c>
      <c r="E74" s="54">
        <f t="shared" si="5"/>
        <v>0.18791420967489433</v>
      </c>
      <c r="F74" s="53"/>
      <c r="G74" s="2"/>
      <c r="H74" s="2"/>
      <c r="I74" s="2"/>
      <c r="J74" s="53"/>
      <c r="K74" s="2"/>
      <c r="L74" s="2"/>
      <c r="M74" s="2"/>
      <c r="N74" s="2"/>
      <c r="O74" s="2"/>
      <c r="P74" s="2"/>
      <c r="Q74" s="2"/>
      <c r="R74" s="58">
        <f t="shared" si="6"/>
        <v>0.15383454675770494</v>
      </c>
      <c r="S74" s="52"/>
      <c r="T74" s="2"/>
      <c r="U74" s="2"/>
      <c r="V74" s="2">
        <v>0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5">
      <c r="A75" s="2"/>
      <c r="B75" s="2">
        <v>2016</v>
      </c>
      <c r="C75" s="47">
        <v>4172</v>
      </c>
      <c r="D75" s="47">
        <v>21316</v>
      </c>
      <c r="E75" s="54">
        <f t="shared" si="5"/>
        <v>0.19572152373803717</v>
      </c>
      <c r="F75" s="53"/>
      <c r="G75" s="2"/>
      <c r="H75" s="2"/>
      <c r="I75" s="2"/>
      <c r="J75" s="53"/>
      <c r="K75" s="2"/>
      <c r="L75" s="2"/>
      <c r="M75" s="2"/>
      <c r="N75" s="2"/>
      <c r="O75" s="2"/>
      <c r="P75" s="2"/>
      <c r="Q75" s="2"/>
      <c r="R75" s="58">
        <f>E80</f>
        <v>0.16764736244451325</v>
      </c>
      <c r="S75" s="52"/>
      <c r="T75" s="2"/>
      <c r="U75" s="2"/>
      <c r="V75" s="2">
        <v>0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5">
      <c r="A76" s="2"/>
      <c r="B76" s="2">
        <v>2017</v>
      </c>
      <c r="C76" s="47">
        <v>4135</v>
      </c>
      <c r="D76" s="47">
        <v>22387</v>
      </c>
      <c r="E76" s="54">
        <f t="shared" si="5"/>
        <v>0.18470540938937777</v>
      </c>
      <c r="F76" s="53"/>
      <c r="G76" s="2"/>
      <c r="H76" s="2"/>
      <c r="I76" s="2"/>
      <c r="J76" s="53"/>
      <c r="K76" s="2"/>
      <c r="L76" s="2"/>
      <c r="M76" s="2"/>
      <c r="N76" s="2"/>
      <c r="O76" s="2"/>
      <c r="P76" s="2"/>
      <c r="Q76" s="2"/>
      <c r="R76" s="58">
        <f>E81</f>
        <v>0.14319379844961241</v>
      </c>
      <c r="S76" s="52"/>
      <c r="T76" s="2"/>
      <c r="U76" s="2"/>
      <c r="V76" s="2">
        <v>0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5">
      <c r="A77" s="2"/>
      <c r="B77" s="2">
        <v>2018</v>
      </c>
      <c r="C77" s="47">
        <v>3883</v>
      </c>
      <c r="D77" s="47">
        <v>24720</v>
      </c>
      <c r="E77" s="54">
        <f t="shared" si="5"/>
        <v>0.15707928802588997</v>
      </c>
      <c r="F77" s="53"/>
      <c r="G77" s="2"/>
      <c r="H77" s="2"/>
      <c r="I77" s="2"/>
      <c r="J77" s="53"/>
      <c r="K77" s="2"/>
      <c r="L77" s="2"/>
      <c r="M77" s="2"/>
      <c r="N77" s="2"/>
      <c r="O77" s="2"/>
      <c r="P77" s="2"/>
      <c r="Q77" s="2"/>
      <c r="R77" s="58">
        <f>E82</f>
        <v>0.16319212808539027</v>
      </c>
      <c r="S77" s="52"/>
      <c r="T77" s="2"/>
      <c r="U77" s="2"/>
      <c r="V77" s="2">
        <v>0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5">
      <c r="A78" s="2"/>
      <c r="B78" s="2">
        <v>2019</v>
      </c>
      <c r="C78" s="47">
        <v>4078</v>
      </c>
      <c r="D78" s="47">
        <v>26509</v>
      </c>
      <c r="E78" s="54">
        <f t="shared" si="5"/>
        <v>0.15383454675770494</v>
      </c>
      <c r="F78" s="53"/>
      <c r="G78" s="2"/>
      <c r="H78" s="2"/>
      <c r="I78" s="2"/>
      <c r="J78" s="53"/>
      <c r="K78" s="2"/>
      <c r="L78" s="2"/>
      <c r="M78" s="2"/>
      <c r="N78" s="2"/>
      <c r="O78" s="2"/>
      <c r="P78" s="2"/>
      <c r="Q78" s="2"/>
      <c r="R78" s="55"/>
      <c r="S78" s="52"/>
      <c r="T78" s="2"/>
      <c r="U78" s="2"/>
      <c r="V78" s="2">
        <v>0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5">
      <c r="A79" s="2"/>
      <c r="B79" s="2">
        <v>2020</v>
      </c>
      <c r="C79" s="47">
        <v>1562</v>
      </c>
      <c r="D79" s="47">
        <v>23518</v>
      </c>
      <c r="E79" s="54">
        <f t="shared" si="5"/>
        <v>6.641721234798878E-2</v>
      </c>
      <c r="F79" s="53"/>
      <c r="G79" s="2"/>
      <c r="H79" s="2"/>
      <c r="I79" s="2"/>
      <c r="J79" s="53"/>
      <c r="K79" s="2"/>
      <c r="L79" s="2"/>
      <c r="M79" s="2"/>
      <c r="N79" s="2"/>
      <c r="O79" s="2"/>
      <c r="P79" s="2"/>
      <c r="Q79" s="2"/>
      <c r="R79" s="55"/>
      <c r="S79" s="52"/>
      <c r="T79" s="2"/>
      <c r="U79" s="2"/>
      <c r="V79" s="2">
        <v>0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5">
      <c r="A80" s="2"/>
      <c r="B80" s="2">
        <v>2021</v>
      </c>
      <c r="C80" s="47">
        <v>4872</v>
      </c>
      <c r="D80" s="47">
        <v>29061</v>
      </c>
      <c r="E80" s="54">
        <f t="shared" si="5"/>
        <v>0.16764736244451325</v>
      </c>
      <c r="F80" s="53"/>
      <c r="G80" s="2"/>
      <c r="H80" s="2"/>
      <c r="I80" s="2"/>
      <c r="J80" s="53"/>
      <c r="K80" s="2"/>
      <c r="L80" s="2"/>
      <c r="M80" s="2"/>
      <c r="N80" s="2"/>
      <c r="O80" s="2"/>
      <c r="P80" s="2"/>
      <c r="Q80" s="2"/>
      <c r="S80" s="52"/>
      <c r="T80" s="2"/>
      <c r="U80" s="2"/>
      <c r="V80" s="2">
        <v>0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5">
      <c r="A81" s="2"/>
      <c r="B81" s="2">
        <v>2022</v>
      </c>
      <c r="C81" s="47">
        <v>4618</v>
      </c>
      <c r="D81" s="47">
        <v>32250</v>
      </c>
      <c r="E81" s="54">
        <f t="shared" si="5"/>
        <v>0.14319379844961241</v>
      </c>
      <c r="F81" s="53"/>
      <c r="G81" s="2"/>
      <c r="H81" s="2"/>
      <c r="I81" s="2"/>
      <c r="J81" s="53"/>
      <c r="K81" s="2"/>
      <c r="L81" s="2"/>
      <c r="M81" s="2"/>
      <c r="N81" s="2"/>
      <c r="O81" s="2"/>
      <c r="P81" s="2"/>
      <c r="Q81" s="2"/>
      <c r="R81" s="55"/>
      <c r="S81" s="52"/>
      <c r="T81" s="2"/>
      <c r="U81" s="2"/>
      <c r="V81" s="2">
        <v>0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5">
      <c r="A82" s="2"/>
      <c r="B82" s="2">
        <v>2023</v>
      </c>
      <c r="C82" s="47">
        <v>5871</v>
      </c>
      <c r="D82" s="47">
        <v>35976</v>
      </c>
      <c r="E82" s="54">
        <f t="shared" si="5"/>
        <v>0.16319212808539027</v>
      </c>
      <c r="F82" s="53"/>
      <c r="G82" s="2"/>
      <c r="H82" s="2"/>
      <c r="I82" s="2"/>
      <c r="J82" s="53"/>
      <c r="K82" s="2"/>
      <c r="L82" s="2"/>
      <c r="M82" s="2"/>
      <c r="N82" s="2"/>
      <c r="O82" s="2"/>
      <c r="P82" s="2"/>
      <c r="Q82" s="2"/>
      <c r="R82" s="55"/>
      <c r="S82" s="52"/>
      <c r="T82" s="2"/>
      <c r="U82" s="2"/>
      <c r="V82" s="2">
        <v>0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5">
      <c r="A83" s="2"/>
      <c r="B83" s="2"/>
      <c r="C83" s="2"/>
      <c r="E83" s="2"/>
      <c r="F83" s="53"/>
      <c r="G83" s="2"/>
      <c r="H83" s="2"/>
      <c r="I83" s="2"/>
      <c r="J83" s="53"/>
      <c r="K83" s="2"/>
      <c r="L83" s="2"/>
      <c r="M83" s="2"/>
      <c r="N83" s="2"/>
      <c r="O83" s="2"/>
      <c r="P83" s="2"/>
      <c r="Q83" s="2"/>
      <c r="R83" s="51"/>
      <c r="S83" s="5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5">
      <c r="A84" s="2"/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5">
      <c r="A85" s="2"/>
      <c r="B85" s="2" t="s">
        <v>56</v>
      </c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5">
      <c r="A86" s="2"/>
      <c r="B86" s="2" t="s">
        <v>57</v>
      </c>
      <c r="C86" s="2"/>
      <c r="E86" s="2"/>
      <c r="F86" s="2"/>
      <c r="G86" s="2"/>
      <c r="H86" s="2"/>
      <c r="I86" s="2"/>
      <c r="J86" s="56">
        <f>AVERAGE(R69:R77)</f>
        <v>0.17117843039659011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5">
      <c r="A87" s="2"/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5">
      <c r="A88" s="2"/>
      <c r="B88" s="5" t="s">
        <v>13</v>
      </c>
      <c r="C88" s="7" t="s">
        <v>1</v>
      </c>
      <c r="D88" s="7">
        <v>1</v>
      </c>
      <c r="E88" s="7">
        <v>2</v>
      </c>
      <c r="F88" s="7">
        <v>3</v>
      </c>
      <c r="G88" s="7">
        <v>4</v>
      </c>
      <c r="H88" s="7">
        <v>5</v>
      </c>
      <c r="I88" s="7">
        <v>6</v>
      </c>
      <c r="J88" s="7" t="s">
        <v>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5">
      <c r="A89" s="2"/>
      <c r="B89" s="5" t="s">
        <v>53</v>
      </c>
      <c r="C89" s="11">
        <v>0.16320000000000001</v>
      </c>
      <c r="D89" s="11">
        <v>0.16400000000000001</v>
      </c>
      <c r="E89" s="11">
        <v>0.16500000000000001</v>
      </c>
      <c r="F89" s="11">
        <v>0.16600000000000001</v>
      </c>
      <c r="G89" s="11">
        <v>0.16700000000000001</v>
      </c>
      <c r="H89" s="11">
        <v>0.16800000000000001</v>
      </c>
      <c r="I89" s="11">
        <v>0.16900000000000001</v>
      </c>
      <c r="J89" s="12">
        <v>0.17</v>
      </c>
      <c r="K89" s="2"/>
      <c r="L89" s="2"/>
      <c r="M89" s="2"/>
      <c r="N89" s="2"/>
      <c r="O89" s="4">
        <f>(J89-C89)/5</f>
        <v>1.3600000000000001E-3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5">
      <c r="A90" s="2"/>
      <c r="B90" s="2"/>
      <c r="C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5">
      <c r="A91" s="2"/>
      <c r="B91" s="2" t="s">
        <v>60</v>
      </c>
      <c r="C91" s="56">
        <v>0.16320000000000001</v>
      </c>
      <c r="E91" s="57">
        <v>0.17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5">
      <c r="A92" s="2"/>
      <c r="B92" s="2"/>
      <c r="C92" s="56"/>
      <c r="E92" s="5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5">
      <c r="A93" s="2"/>
      <c r="B93" s="2" t="s">
        <v>58</v>
      </c>
      <c r="C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5">
      <c r="A94" s="2"/>
      <c r="B94" s="2" t="s">
        <v>59</v>
      </c>
      <c r="C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5">
      <c r="A95" s="2"/>
      <c r="B95" s="2"/>
      <c r="C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5">
      <c r="A96" s="2"/>
      <c r="B96" s="5" t="s">
        <v>13</v>
      </c>
      <c r="C96" s="7" t="s">
        <v>1</v>
      </c>
      <c r="D96" s="7">
        <v>1</v>
      </c>
      <c r="E96" s="7">
        <v>2</v>
      </c>
      <c r="F96" s="7">
        <v>3</v>
      </c>
      <c r="G96" s="7">
        <v>4</v>
      </c>
      <c r="H96" s="7">
        <v>5</v>
      </c>
      <c r="I96" s="7">
        <v>6</v>
      </c>
      <c r="J96" s="7" t="s">
        <v>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5">
      <c r="A97" s="2"/>
      <c r="B97" s="5" t="s">
        <v>53</v>
      </c>
      <c r="C97" s="11">
        <v>0.16320000000000001</v>
      </c>
      <c r="D97" s="11">
        <f>C97-0.85%</f>
        <v>0.1547</v>
      </c>
      <c r="E97" s="11">
        <f t="shared" ref="E97:I97" si="7">D97-0.5%</f>
        <v>0.1497</v>
      </c>
      <c r="F97" s="11">
        <f t="shared" si="7"/>
        <v>0.1447</v>
      </c>
      <c r="G97" s="11">
        <f t="shared" si="7"/>
        <v>0.13969999999999999</v>
      </c>
      <c r="H97" s="11">
        <f t="shared" si="7"/>
        <v>0.13469999999999999</v>
      </c>
      <c r="I97" s="11">
        <f t="shared" si="7"/>
        <v>0.12969999999999998</v>
      </c>
      <c r="J97" s="12">
        <v>0.12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5">
      <c r="A98" s="2"/>
      <c r="B98" s="2"/>
      <c r="C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5">
      <c r="A99" s="2"/>
      <c r="B99" s="2" t="s">
        <v>61</v>
      </c>
      <c r="C99" s="56">
        <f>C97</f>
        <v>0.16320000000000001</v>
      </c>
      <c r="E99" s="57">
        <f>J97</f>
        <v>0.12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5">
      <c r="A100" s="2"/>
      <c r="B100" s="2"/>
      <c r="C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5">
      <c r="A101" s="2"/>
      <c r="B101" s="2"/>
      <c r="C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5">
      <c r="A102" s="2"/>
      <c r="B102" s="2"/>
      <c r="C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5">
      <c r="A103" s="2"/>
      <c r="B103" s="3" t="s">
        <v>62</v>
      </c>
      <c r="C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ht="15.75" thickBot="1" x14ac:dyDescent="0.3">
      <c r="A104" s="2"/>
      <c r="B104" s="2"/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5">
      <c r="A105" s="2"/>
      <c r="B105" s="2" t="s">
        <v>30</v>
      </c>
      <c r="C105" s="17" t="s">
        <v>52</v>
      </c>
      <c r="D105" s="2" t="s">
        <v>63</v>
      </c>
      <c r="E105" s="2" t="s">
        <v>64</v>
      </c>
      <c r="F105" s="2" t="s">
        <v>65</v>
      </c>
      <c r="G105" s="17" t="s">
        <v>66</v>
      </c>
      <c r="H105" s="204" t="s">
        <v>67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5">
      <c r="A106" s="2"/>
      <c r="B106" s="2">
        <v>2009</v>
      </c>
      <c r="C106" s="200">
        <v>9775</v>
      </c>
      <c r="D106" s="201">
        <v>3057</v>
      </c>
      <c r="E106" s="202">
        <v>939</v>
      </c>
      <c r="F106" s="202">
        <v>666</v>
      </c>
      <c r="G106" s="203">
        <f>D106+E106-F106</f>
        <v>3330</v>
      </c>
      <c r="H106" s="205">
        <f>C106/G106</f>
        <v>2.9354354354354353</v>
      </c>
      <c r="I106" s="49"/>
      <c r="J106" s="2"/>
      <c r="K106" s="2"/>
      <c r="L106" s="52"/>
      <c r="M106" s="52"/>
      <c r="N106" s="2"/>
      <c r="O106" s="2"/>
      <c r="P106" s="2"/>
      <c r="Q106" s="2"/>
      <c r="R106" s="2"/>
      <c r="S106" s="2"/>
      <c r="T106" s="2"/>
      <c r="U106" cm="1">
        <f t="array" ref="U106:U120">_xlfn.SORTBY(M106:M120,_xlfn.SEQUENCE(ROWS(M106:M120)),-1)</f>
        <v>0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5">
      <c r="A107" s="2"/>
      <c r="B107" s="2">
        <v>2010</v>
      </c>
      <c r="C107" s="200">
        <v>10707</v>
      </c>
      <c r="D107" s="201">
        <v>3682</v>
      </c>
      <c r="E107" s="202">
        <v>925</v>
      </c>
      <c r="F107" s="200">
        <v>1450</v>
      </c>
      <c r="G107" s="203">
        <f t="shared" ref="G107:G120" si="8">D107+E107-F107</f>
        <v>3157</v>
      </c>
      <c r="H107" s="205">
        <f t="shared" ref="H107:H120" si="9">C107/G107</f>
        <v>3.3915109280962938</v>
      </c>
      <c r="I107" s="49"/>
      <c r="J107" s="2"/>
      <c r="K107" s="2"/>
      <c r="L107" s="52"/>
      <c r="M107" s="52"/>
      <c r="N107" s="2"/>
      <c r="O107" s="2"/>
      <c r="P107" s="2"/>
      <c r="Q107" s="2"/>
      <c r="R107" s="2"/>
      <c r="S107" s="2"/>
      <c r="T107" s="2"/>
      <c r="U107" s="2">
        <v>0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5">
      <c r="A108" s="2"/>
      <c r="B108" s="2">
        <v>2011</v>
      </c>
      <c r="C108" s="200">
        <v>11700</v>
      </c>
      <c r="D108" s="201">
        <v>4387</v>
      </c>
      <c r="E108" s="202">
        <v>897</v>
      </c>
      <c r="F108" s="200">
        <v>2051</v>
      </c>
      <c r="G108" s="203">
        <f t="shared" si="8"/>
        <v>3233</v>
      </c>
      <c r="H108" s="205">
        <f t="shared" si="9"/>
        <v>3.6189297865759356</v>
      </c>
      <c r="I108" s="49"/>
      <c r="J108" s="2"/>
      <c r="K108" s="2"/>
      <c r="L108" s="52"/>
      <c r="M108" s="52"/>
      <c r="N108" s="2"/>
      <c r="O108" s="2"/>
      <c r="P108" s="2"/>
      <c r="Q108" s="2"/>
      <c r="R108" s="2"/>
      <c r="S108" s="2"/>
      <c r="T108" s="2"/>
      <c r="U108" s="2">
        <v>0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5">
      <c r="A109" s="2"/>
      <c r="B109" s="2">
        <v>2012</v>
      </c>
      <c r="C109" s="200">
        <v>13277</v>
      </c>
      <c r="D109" s="201">
        <v>5115</v>
      </c>
      <c r="E109" s="202">
        <v>895</v>
      </c>
      <c r="F109" s="200">
        <v>2037</v>
      </c>
      <c r="G109" s="203">
        <f t="shared" si="8"/>
        <v>3973</v>
      </c>
      <c r="H109" s="205">
        <f t="shared" si="9"/>
        <v>3.3418071985904856</v>
      </c>
      <c r="I109" s="49"/>
      <c r="J109" s="2"/>
      <c r="K109" s="2"/>
      <c r="L109" s="52"/>
      <c r="M109" s="52"/>
      <c r="N109" s="2"/>
      <c r="O109" s="2"/>
      <c r="P109" s="2"/>
      <c r="Q109" s="2"/>
      <c r="R109" s="2"/>
      <c r="S109" s="2"/>
      <c r="T109" s="2"/>
      <c r="U109" s="2">
        <v>0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5">
      <c r="A110" s="2"/>
      <c r="B110" s="2">
        <v>2013</v>
      </c>
      <c r="C110" s="200">
        <v>14867</v>
      </c>
      <c r="D110" s="201">
        <v>4482</v>
      </c>
      <c r="E110" s="202">
        <v>1657</v>
      </c>
      <c r="F110" s="200">
        <v>3234</v>
      </c>
      <c r="G110" s="203">
        <f t="shared" si="8"/>
        <v>2905</v>
      </c>
      <c r="H110" s="205">
        <f t="shared" si="9"/>
        <v>5.1177280550774524</v>
      </c>
      <c r="I110" s="49"/>
      <c r="J110" s="2"/>
      <c r="K110" s="2"/>
      <c r="L110" s="52"/>
      <c r="M110" s="52"/>
      <c r="N110" s="2"/>
      <c r="O110" s="2"/>
      <c r="P110" s="2"/>
      <c r="Q110" s="2"/>
      <c r="R110" s="2"/>
      <c r="S110" s="2"/>
      <c r="T110" s="2"/>
      <c r="U110" s="2">
        <v>0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5">
      <c r="A111" s="2"/>
      <c r="B111" s="2">
        <v>2014</v>
      </c>
      <c r="C111" s="200">
        <v>16448</v>
      </c>
      <c r="D111" s="201">
        <v>5274</v>
      </c>
      <c r="E111" s="202">
        <v>2441</v>
      </c>
      <c r="F111" s="200">
        <v>1844</v>
      </c>
      <c r="G111" s="203">
        <f t="shared" si="8"/>
        <v>5871</v>
      </c>
      <c r="H111" s="205">
        <f t="shared" si="9"/>
        <v>2.8015670243570092</v>
      </c>
      <c r="I111" s="49"/>
      <c r="J111" s="2"/>
      <c r="K111" s="2"/>
      <c r="L111" s="52"/>
      <c r="M111" s="52"/>
      <c r="N111" s="2"/>
      <c r="O111" s="2"/>
      <c r="P111" s="2"/>
      <c r="Q111" s="2"/>
      <c r="R111" s="2"/>
      <c r="S111" s="2"/>
      <c r="T111" s="2"/>
      <c r="U111" s="2">
        <v>0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5">
      <c r="A112" s="2"/>
      <c r="B112" s="2">
        <v>2015</v>
      </c>
      <c r="C112" s="200">
        <v>19163</v>
      </c>
      <c r="D112" s="201">
        <v>5820</v>
      </c>
      <c r="E112" s="202">
        <v>2948</v>
      </c>
      <c r="F112" s="200">
        <v>1611</v>
      </c>
      <c r="G112" s="203">
        <f t="shared" si="8"/>
        <v>7157</v>
      </c>
      <c r="H112" s="205">
        <f t="shared" si="9"/>
        <v>2.6775185133435797</v>
      </c>
      <c r="I112" s="49"/>
      <c r="J112" s="2"/>
      <c r="K112" s="2"/>
      <c r="L112" s="52"/>
      <c r="M112" s="52"/>
      <c r="N112" s="2"/>
      <c r="O112" s="2"/>
      <c r="P112" s="2"/>
      <c r="Q112" s="2"/>
      <c r="R112" s="2"/>
      <c r="S112" s="2"/>
      <c r="T112" s="2"/>
      <c r="U112" s="2">
        <v>0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5">
      <c r="A113" s="2"/>
      <c r="B113" s="2">
        <v>2016</v>
      </c>
      <c r="C113" s="200">
        <v>21316</v>
      </c>
      <c r="D113" s="201">
        <v>5891</v>
      </c>
      <c r="E113" s="202">
        <v>3875</v>
      </c>
      <c r="F113" s="200">
        <v>2263</v>
      </c>
      <c r="G113" s="203">
        <f t="shared" si="8"/>
        <v>7503</v>
      </c>
      <c r="H113" s="205">
        <f t="shared" si="9"/>
        <v>2.8409969345595094</v>
      </c>
      <c r="I113" s="49"/>
      <c r="J113" s="2"/>
      <c r="K113" s="2"/>
      <c r="L113" s="52"/>
      <c r="M113" s="52"/>
      <c r="N113" s="2"/>
      <c r="O113" s="2"/>
      <c r="P113" s="2"/>
      <c r="Q113" s="2"/>
      <c r="R113" s="2"/>
      <c r="S113" s="2"/>
      <c r="T113" s="2"/>
      <c r="U113" s="2">
        <v>0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5">
      <c r="A114" s="2"/>
      <c r="B114" s="2">
        <v>2017</v>
      </c>
      <c r="C114" s="200">
        <v>22387</v>
      </c>
      <c r="D114" s="201">
        <v>5457</v>
      </c>
      <c r="E114" s="202">
        <v>4688</v>
      </c>
      <c r="F114" s="200">
        <v>2691</v>
      </c>
      <c r="G114" s="203">
        <f t="shared" si="8"/>
        <v>7454</v>
      </c>
      <c r="H114" s="205">
        <f t="shared" si="9"/>
        <v>3.0033539039441912</v>
      </c>
      <c r="I114" s="49"/>
      <c r="J114" s="2"/>
      <c r="K114" s="2"/>
      <c r="L114" s="52"/>
      <c r="M114" s="52"/>
      <c r="N114" s="2"/>
      <c r="O114" s="2"/>
      <c r="P114" s="2"/>
      <c r="Q114" s="2"/>
      <c r="R114" s="2"/>
      <c r="S114" s="2"/>
      <c r="T114" s="2"/>
      <c r="U114" s="2">
        <v>0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5">
      <c r="A115" s="2"/>
      <c r="B115" s="2">
        <v>2018</v>
      </c>
      <c r="C115" s="200">
        <v>24720</v>
      </c>
      <c r="D115" s="201">
        <v>1176</v>
      </c>
      <c r="E115" s="202">
        <v>17296</v>
      </c>
      <c r="F115" s="200">
        <v>8938</v>
      </c>
      <c r="G115" s="203">
        <f>D115+E115-F115</f>
        <v>9534</v>
      </c>
      <c r="H115" s="205">
        <f t="shared" si="9"/>
        <v>2.5928256765261168</v>
      </c>
      <c r="I115" s="49"/>
      <c r="J115" s="2"/>
      <c r="K115" s="2"/>
      <c r="L115" s="52"/>
      <c r="M115" s="52"/>
      <c r="N115" s="2"/>
      <c r="O115" s="2"/>
      <c r="P115" s="2"/>
      <c r="Q115" s="2"/>
      <c r="R115" s="2"/>
      <c r="S115" s="2"/>
      <c r="T115" s="2"/>
      <c r="U115" s="2">
        <v>0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5">
      <c r="A116" s="2"/>
      <c r="B116" s="2">
        <v>2019</v>
      </c>
      <c r="C116" s="200">
        <v>26509</v>
      </c>
      <c r="D116" s="201">
        <v>-6231</v>
      </c>
      <c r="E116" s="202">
        <v>19282</v>
      </c>
      <c r="F116" s="200">
        <v>2757</v>
      </c>
      <c r="G116" s="203">
        <f>D116+E116-F116</f>
        <v>10294</v>
      </c>
      <c r="H116" s="205">
        <f t="shared" si="9"/>
        <v>2.5751894307363514</v>
      </c>
      <c r="I116" s="49"/>
      <c r="J116" s="2"/>
      <c r="K116" s="2"/>
      <c r="L116" s="52"/>
      <c r="M116" s="52"/>
      <c r="N116" s="2"/>
      <c r="O116" s="2"/>
      <c r="P116" s="2"/>
      <c r="Q116" s="2"/>
      <c r="R116" s="2"/>
      <c r="S116" s="2"/>
      <c r="T116" s="2"/>
      <c r="U116" s="2">
        <v>0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5">
      <c r="A117" s="2"/>
      <c r="B117" s="2">
        <v>2020</v>
      </c>
      <c r="C117" s="200">
        <v>23518</v>
      </c>
      <c r="D117" s="201">
        <v>-7799</v>
      </c>
      <c r="E117" s="202">
        <v>29827</v>
      </c>
      <c r="F117" s="200">
        <v>4632</v>
      </c>
      <c r="G117" s="203">
        <f t="shared" si="8"/>
        <v>17396</v>
      </c>
      <c r="H117" s="205">
        <f t="shared" si="9"/>
        <v>1.3519199816049667</v>
      </c>
      <c r="I117" s="49"/>
      <c r="J117" s="2"/>
      <c r="K117" s="2"/>
      <c r="L117" s="52"/>
      <c r="M117" s="52"/>
      <c r="N117" s="2"/>
      <c r="O117" s="2"/>
      <c r="P117" s="2"/>
      <c r="Q117" s="2"/>
      <c r="R117" s="2"/>
      <c r="S117" s="2"/>
      <c r="T117" s="2"/>
      <c r="U117" s="2">
        <v>0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5">
      <c r="A118" s="2"/>
      <c r="B118" s="2">
        <v>2021</v>
      </c>
      <c r="C118" s="200">
        <v>29061</v>
      </c>
      <c r="D118" s="201">
        <v>-5315</v>
      </c>
      <c r="E118" s="202">
        <v>28556</v>
      </c>
      <c r="F118" s="200">
        <v>6618</v>
      </c>
      <c r="G118" s="203">
        <f t="shared" si="8"/>
        <v>16623</v>
      </c>
      <c r="H118" s="205">
        <f t="shared" si="9"/>
        <v>1.7482403898213319</v>
      </c>
      <c r="I118" s="49"/>
      <c r="J118" s="2"/>
      <c r="K118" s="2"/>
      <c r="L118" s="52"/>
      <c r="M118" s="52"/>
      <c r="N118" s="2"/>
      <c r="O118" s="2"/>
      <c r="P118" s="2"/>
      <c r="Q118" s="2"/>
      <c r="R118" s="2"/>
      <c r="S118" s="2"/>
      <c r="T118" s="2"/>
      <c r="U118" s="2">
        <v>0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5">
      <c r="A119" s="2"/>
      <c r="B119" s="2">
        <v>2022</v>
      </c>
      <c r="C119" s="200">
        <v>32250</v>
      </c>
      <c r="D119" s="201">
        <v>-8699</v>
      </c>
      <c r="E119" s="202">
        <v>27525</v>
      </c>
      <c r="F119" s="200">
        <v>3183</v>
      </c>
      <c r="G119" s="203">
        <f t="shared" si="8"/>
        <v>15643</v>
      </c>
      <c r="H119" s="205">
        <f t="shared" si="9"/>
        <v>2.0616250079907945</v>
      </c>
      <c r="I119" s="49"/>
      <c r="J119" s="2"/>
      <c r="K119" s="2"/>
      <c r="L119" s="52"/>
      <c r="M119" s="52"/>
      <c r="N119" s="2"/>
      <c r="O119" s="2"/>
      <c r="P119" s="2"/>
      <c r="Q119" s="2"/>
      <c r="R119" s="2"/>
      <c r="S119" s="2"/>
      <c r="T119" s="2"/>
      <c r="U119" s="2">
        <v>0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ht="15.75" thickBot="1" x14ac:dyDescent="0.3">
      <c r="A120" s="2"/>
      <c r="B120" s="2">
        <v>2023</v>
      </c>
      <c r="C120" s="200">
        <v>35976</v>
      </c>
      <c r="D120" s="201">
        <v>-7988</v>
      </c>
      <c r="E120" s="202">
        <v>28088</v>
      </c>
      <c r="F120" s="200">
        <v>3953</v>
      </c>
      <c r="G120" s="203">
        <f t="shared" si="8"/>
        <v>16147</v>
      </c>
      <c r="H120" s="206">
        <f t="shared" si="9"/>
        <v>2.2280299746082863</v>
      </c>
      <c r="I120" s="49"/>
      <c r="J120" s="2"/>
      <c r="K120" s="2"/>
      <c r="L120" s="52"/>
      <c r="M120" s="52"/>
      <c r="N120" s="2"/>
      <c r="O120" s="2"/>
      <c r="P120" s="2"/>
      <c r="Q120" s="2"/>
      <c r="R120" s="2"/>
      <c r="S120" s="2"/>
      <c r="T120" s="2"/>
      <c r="U120" s="2">
        <v>0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5">
      <c r="A121" s="2"/>
      <c r="B121" s="2"/>
      <c r="C121" s="2"/>
      <c r="D121" s="59"/>
      <c r="E121" s="2"/>
      <c r="F121" s="4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5">
      <c r="A122" s="2"/>
      <c r="B122" s="2"/>
      <c r="C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5">
      <c r="A123" s="2"/>
      <c r="B123" s="2"/>
      <c r="C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5">
      <c r="A124" s="2"/>
      <c r="B124" s="2"/>
      <c r="C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5">
      <c r="A125" s="2"/>
      <c r="B125" s="2"/>
      <c r="C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5">
      <c r="A126" s="2"/>
      <c r="B126" s="2"/>
      <c r="C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5">
      <c r="A127" s="2"/>
      <c r="B127" s="2"/>
      <c r="C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5">
      <c r="A128" s="2"/>
      <c r="B128" s="2"/>
      <c r="C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5">
      <c r="A129" s="2"/>
      <c r="B129" s="2"/>
      <c r="C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5">
      <c r="A130" s="2"/>
      <c r="B130" s="2"/>
      <c r="C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5">
      <c r="A131" s="2"/>
      <c r="B131" s="2"/>
      <c r="C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5">
      <c r="A132" s="2"/>
      <c r="B132" s="2"/>
      <c r="C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5">
      <c r="A133" s="2"/>
      <c r="B133" s="2"/>
      <c r="C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5">
      <c r="A134" s="2"/>
      <c r="B134" s="2"/>
      <c r="C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5">
      <c r="A135" s="2"/>
      <c r="B135" s="2"/>
      <c r="C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5">
      <c r="A136" s="2"/>
      <c r="B136" s="2"/>
      <c r="C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5">
      <c r="A137" s="2"/>
      <c r="B137" s="2"/>
      <c r="C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5">
      <c r="A138" s="2"/>
      <c r="B138" s="2"/>
      <c r="C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5">
      <c r="A139" s="2"/>
      <c r="B139" s="2"/>
      <c r="C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5">
      <c r="A140" s="2"/>
      <c r="B140" s="2" t="s">
        <v>56</v>
      </c>
      <c r="C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5">
      <c r="B141" s="2" t="s">
        <v>68</v>
      </c>
      <c r="C141" s="2"/>
    </row>
    <row r="142" spans="1:128" x14ac:dyDescent="0.25">
      <c r="A142" s="2"/>
      <c r="B142" s="2"/>
      <c r="C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5">
      <c r="A143" s="2"/>
      <c r="B143" s="5" t="s">
        <v>13</v>
      </c>
      <c r="C143" s="7" t="s">
        <v>1</v>
      </c>
      <c r="D143" s="7">
        <v>1</v>
      </c>
      <c r="E143" s="7">
        <v>2</v>
      </c>
      <c r="F143" s="7">
        <v>3</v>
      </c>
      <c r="G143" s="7">
        <v>4</v>
      </c>
      <c r="H143" s="7">
        <v>5</v>
      </c>
      <c r="I143" s="7">
        <v>6</v>
      </c>
      <c r="J143" s="7" t="s">
        <v>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5">
      <c r="A144" s="2"/>
      <c r="B144" s="5" t="s">
        <v>53</v>
      </c>
      <c r="C144" s="61">
        <f>H120</f>
        <v>2.2280299746082863</v>
      </c>
      <c r="D144" s="61">
        <v>2.4</v>
      </c>
      <c r="E144" s="61">
        <v>2.5</v>
      </c>
      <c r="F144" s="61">
        <v>2.6</v>
      </c>
      <c r="G144" s="61">
        <v>2.7</v>
      </c>
      <c r="H144" s="61">
        <v>2.8</v>
      </c>
      <c r="I144" s="61">
        <v>2.9</v>
      </c>
      <c r="J144" s="61">
        <v>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5">
      <c r="A145" s="2"/>
      <c r="B145" s="2"/>
      <c r="C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5">
      <c r="A146" s="2"/>
      <c r="B146" s="2" t="s">
        <v>61</v>
      </c>
      <c r="C146" s="2">
        <f>2.23</f>
        <v>2.23</v>
      </c>
      <c r="E146" s="2">
        <f>J144</f>
        <v>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5">
      <c r="A147" s="2"/>
      <c r="B147" s="2"/>
      <c r="C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5">
      <c r="A148" s="2"/>
      <c r="B148" s="2"/>
      <c r="C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5">
      <c r="A149" s="2"/>
      <c r="B149" s="2" t="s">
        <v>58</v>
      </c>
      <c r="C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5">
      <c r="A150" s="2"/>
      <c r="B150" s="2" t="s">
        <v>68</v>
      </c>
      <c r="C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5">
      <c r="A151" s="2"/>
      <c r="B151" s="2"/>
      <c r="C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5">
      <c r="A152" s="2"/>
      <c r="B152" s="5" t="s">
        <v>13</v>
      </c>
      <c r="C152" s="7" t="s">
        <v>1</v>
      </c>
      <c r="D152" s="7">
        <v>1</v>
      </c>
      <c r="E152" s="7">
        <v>2</v>
      </c>
      <c r="F152" s="7">
        <v>3</v>
      </c>
      <c r="G152" s="7">
        <v>4</v>
      </c>
      <c r="H152" s="7">
        <v>5</v>
      </c>
      <c r="I152" s="7">
        <v>6</v>
      </c>
      <c r="J152" s="7" t="s">
        <v>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5">
      <c r="A153" s="2"/>
      <c r="B153" s="5" t="s">
        <v>53</v>
      </c>
      <c r="C153" s="61">
        <v>2.2280299746082863</v>
      </c>
      <c r="D153" s="61">
        <v>2.1000299746082862</v>
      </c>
      <c r="E153" s="61">
        <v>1.9720299746082861</v>
      </c>
      <c r="F153" s="61">
        <v>1.844029974608286</v>
      </c>
      <c r="G153" s="61">
        <v>1.7160299746082859</v>
      </c>
      <c r="H153" s="61">
        <v>1.5880299746082858</v>
      </c>
      <c r="I153" s="61">
        <v>1.5</v>
      </c>
      <c r="J153" s="5">
        <v>1.46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5">
      <c r="A154" s="2"/>
      <c r="B154" s="2"/>
      <c r="C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5">
      <c r="A155" s="2"/>
      <c r="B155" s="2" t="s">
        <v>61</v>
      </c>
      <c r="C155" s="2">
        <v>2.23</v>
      </c>
      <c r="E155" s="2">
        <v>1.46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5">
      <c r="A156" s="2"/>
      <c r="B156" s="2"/>
      <c r="C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5">
      <c r="A157" s="2"/>
      <c r="B157" s="2"/>
      <c r="C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ht="15.75" thickBot="1" x14ac:dyDescent="0.3">
      <c r="A158" s="2"/>
      <c r="B158" s="2" t="s">
        <v>30</v>
      </c>
      <c r="C158" s="2" t="s">
        <v>114</v>
      </c>
      <c r="D158" s="2" t="s">
        <v>65</v>
      </c>
      <c r="E158" s="2" t="s">
        <v>116</v>
      </c>
      <c r="F158" s="2" t="s">
        <v>115</v>
      </c>
      <c r="G158" s="2" t="s">
        <v>117</v>
      </c>
      <c r="H158" s="2" t="s">
        <v>118</v>
      </c>
      <c r="I158" s="2" t="s">
        <v>119</v>
      </c>
      <c r="J158" s="2" t="s">
        <v>38</v>
      </c>
      <c r="K158" s="2" t="s">
        <v>121</v>
      </c>
      <c r="L158" s="2" t="s">
        <v>120</v>
      </c>
      <c r="M158" s="2" t="s">
        <v>62</v>
      </c>
      <c r="N158" s="2" t="s">
        <v>52</v>
      </c>
      <c r="O158" s="2" t="s">
        <v>122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ht="15.75" thickBot="1" x14ac:dyDescent="0.3">
      <c r="A159" s="2"/>
      <c r="B159" s="2">
        <v>2009</v>
      </c>
      <c r="C159" s="47">
        <v>2036</v>
      </c>
      <c r="D159" s="47">
        <v>666</v>
      </c>
      <c r="E159" s="47">
        <f>C159-D159</f>
        <v>1370</v>
      </c>
      <c r="F159" s="47">
        <v>1581</v>
      </c>
      <c r="G159" s="49">
        <f>E159-F159</f>
        <v>-211</v>
      </c>
      <c r="I159" s="191">
        <v>403</v>
      </c>
      <c r="J159" s="63">
        <f>wacc!E20</f>
        <v>0.21791559000861327</v>
      </c>
      <c r="K159" s="49">
        <f>C68</f>
        <v>562</v>
      </c>
      <c r="L159" s="189">
        <f>K159*(1-J159)</f>
        <v>439.53143841515936</v>
      </c>
      <c r="M159" s="47" t="s">
        <v>77</v>
      </c>
      <c r="N159" s="47">
        <v>9775</v>
      </c>
      <c r="P159" s="187"/>
      <c r="Q159" s="188"/>
      <c r="R159" s="2"/>
      <c r="S159" s="2" cm="1">
        <f t="array" ref="S159:S173">_xlfn.SORTBY(Q159:Q173,_xlfn.SEQUENCE(ROWS(Q159:Q173)),-1)</f>
        <v>0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ht="15.75" thickBot="1" x14ac:dyDescent="0.3">
      <c r="A160" s="2"/>
      <c r="B160" s="2">
        <v>2010</v>
      </c>
      <c r="C160" s="47">
        <v>2756</v>
      </c>
      <c r="D160" s="47">
        <v>1450</v>
      </c>
      <c r="E160" s="47">
        <f t="shared" ref="E160:E173" si="10">C160-D160</f>
        <v>1306</v>
      </c>
      <c r="F160" s="47">
        <v>1779</v>
      </c>
      <c r="G160" s="49">
        <f t="shared" ref="G160:G173" si="11">E160-F160</f>
        <v>-473</v>
      </c>
      <c r="H160" s="49">
        <f>G160-G159</f>
        <v>-262</v>
      </c>
      <c r="I160" s="191">
        <v>441</v>
      </c>
      <c r="J160" s="63">
        <f>wacc!E21</f>
        <v>0.23513694054776219</v>
      </c>
      <c r="K160" s="49">
        <f t="shared" ref="K160:K173" si="12">C69</f>
        <v>1419</v>
      </c>
      <c r="L160" s="189">
        <f t="shared" ref="L160:L173" si="13">K160*(1-J160)</f>
        <v>1085.3406813627255</v>
      </c>
      <c r="M160" s="47">
        <f t="shared" ref="M160:M172" si="14">I160+H160</f>
        <v>179</v>
      </c>
      <c r="N160" s="47">
        <v>10707</v>
      </c>
      <c r="O160" s="62">
        <f>M160/L160</f>
        <v>0.1649251733338257</v>
      </c>
      <c r="P160">
        <f>N160/M160</f>
        <v>59.815642458100555</v>
      </c>
      <c r="Q160" s="188"/>
      <c r="R160" s="2"/>
      <c r="S160" s="2">
        <v>0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ht="15.75" thickBot="1" x14ac:dyDescent="0.3">
      <c r="A161" s="2"/>
      <c r="B161" s="2">
        <v>2011</v>
      </c>
      <c r="C161" s="47">
        <v>3795</v>
      </c>
      <c r="D161" s="47">
        <v>2051</v>
      </c>
      <c r="E161" s="47">
        <f t="shared" si="10"/>
        <v>1744</v>
      </c>
      <c r="F161" s="47">
        <v>2076</v>
      </c>
      <c r="G161" s="49">
        <f t="shared" si="11"/>
        <v>-332</v>
      </c>
      <c r="H161" s="49">
        <f t="shared" ref="H161:H173" si="15">G161-G160</f>
        <v>141</v>
      </c>
      <c r="I161" s="191">
        <v>415</v>
      </c>
      <c r="J161" s="63">
        <f>wacc!E22</f>
        <v>0.41862955032119914</v>
      </c>
      <c r="K161" s="49">
        <f t="shared" si="12"/>
        <v>1729</v>
      </c>
      <c r="L161" s="189">
        <f t="shared" si="13"/>
        <v>1005.1895074946466</v>
      </c>
      <c r="M161" s="47">
        <f t="shared" si="14"/>
        <v>556</v>
      </c>
      <c r="N161" s="47">
        <v>11700</v>
      </c>
      <c r="O161" s="62">
        <f>M161/L161</f>
        <v>0.55312953015773603</v>
      </c>
      <c r="P161">
        <f t="shared" ref="P161:P173" si="16">N161/M161</f>
        <v>21.043165467625901</v>
      </c>
      <c r="Q161" s="188"/>
      <c r="R161" s="2"/>
      <c r="S161" s="2">
        <v>0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ht="15.75" thickBot="1" x14ac:dyDescent="0.3">
      <c r="A162" s="2"/>
      <c r="B162" s="2">
        <v>2012</v>
      </c>
      <c r="C162" s="47">
        <v>4200</v>
      </c>
      <c r="D162" s="47">
        <v>2037</v>
      </c>
      <c r="E162" s="47">
        <f t="shared" si="10"/>
        <v>2163</v>
      </c>
      <c r="F162" s="47">
        <v>2210</v>
      </c>
      <c r="G162" s="49">
        <f t="shared" si="11"/>
        <v>-47</v>
      </c>
      <c r="H162" s="49">
        <f t="shared" si="15"/>
        <v>285</v>
      </c>
      <c r="I162" s="191">
        <v>856</v>
      </c>
      <c r="J162" s="63">
        <f>wacc!E23</f>
        <v>0.78676470588235292</v>
      </c>
      <c r="K162" s="49">
        <f t="shared" si="12"/>
        <v>1997</v>
      </c>
      <c r="L162" s="189">
        <f t="shared" si="13"/>
        <v>425.83088235294122</v>
      </c>
      <c r="M162" s="47">
        <f t="shared" si="14"/>
        <v>1141</v>
      </c>
      <c r="N162" s="47">
        <v>13277</v>
      </c>
      <c r="O162" s="62"/>
      <c r="P162">
        <f t="shared" si="16"/>
        <v>11.636283961437336</v>
      </c>
      <c r="Q162" s="188"/>
      <c r="R162" s="2"/>
      <c r="S162" s="2">
        <v>0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ht="15.75" thickBot="1" x14ac:dyDescent="0.3">
      <c r="A163" s="2"/>
      <c r="B163" s="2">
        <v>2013</v>
      </c>
      <c r="C163" s="47">
        <v>5471</v>
      </c>
      <c r="D163" s="47">
        <v>3234</v>
      </c>
      <c r="E163" s="47">
        <f t="shared" si="10"/>
        <v>2237</v>
      </c>
      <c r="F163" s="47">
        <v>5377</v>
      </c>
      <c r="G163" s="49">
        <f t="shared" si="11"/>
        <v>-3140</v>
      </c>
      <c r="H163" s="49">
        <f t="shared" si="15"/>
        <v>-3093</v>
      </c>
      <c r="I163" s="191">
        <v>1151</v>
      </c>
      <c r="J163" s="63">
        <f>wacc!E24</f>
        <v>0.31818181818181818</v>
      </c>
      <c r="K163" s="49">
        <f t="shared" si="12"/>
        <v>-325</v>
      </c>
      <c r="L163" s="189">
        <f>K163*(1-J163)</f>
        <v>-221.59090909090912</v>
      </c>
      <c r="M163" s="47">
        <f>I163+H163</f>
        <v>-1942</v>
      </c>
      <c r="N163" s="47">
        <v>14867</v>
      </c>
      <c r="O163" s="62"/>
      <c r="P163">
        <f t="shared" si="16"/>
        <v>-7.6555097837281156</v>
      </c>
      <c r="Q163" s="188"/>
      <c r="R163" s="2"/>
      <c r="S163" s="2">
        <v>0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ht="15.75" thickBot="1" x14ac:dyDescent="0.3">
      <c r="A164" s="2"/>
      <c r="B164" s="2">
        <v>2014</v>
      </c>
      <c r="C164" s="47">
        <v>4169</v>
      </c>
      <c r="D164" s="47">
        <v>1844</v>
      </c>
      <c r="E164" s="47">
        <f t="shared" si="10"/>
        <v>2325</v>
      </c>
      <c r="F164" s="47">
        <v>3039</v>
      </c>
      <c r="G164" s="49">
        <f t="shared" si="11"/>
        <v>-714</v>
      </c>
      <c r="H164" s="49">
        <f t="shared" si="15"/>
        <v>2426</v>
      </c>
      <c r="I164" s="191">
        <v>1161</v>
      </c>
      <c r="J164" s="63">
        <f>wacc!E25</f>
        <v>0</v>
      </c>
      <c r="K164" s="49">
        <f t="shared" si="12"/>
        <v>3081</v>
      </c>
      <c r="L164" s="189">
        <f t="shared" si="13"/>
        <v>3081</v>
      </c>
      <c r="M164" s="47">
        <f>I164+H164</f>
        <v>3587</v>
      </c>
      <c r="N164" s="47">
        <v>16448</v>
      </c>
      <c r="O164" s="62"/>
      <c r="P164">
        <f t="shared" si="16"/>
        <v>4.5854474491218289</v>
      </c>
      <c r="Q164" s="188"/>
      <c r="R164" s="2"/>
      <c r="S164" s="2">
        <v>0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ht="15.75" thickBot="1" x14ac:dyDescent="0.3">
      <c r="A165" s="2"/>
      <c r="B165" s="2">
        <v>2015</v>
      </c>
      <c r="C165" s="47">
        <v>3971</v>
      </c>
      <c r="D165" s="47">
        <v>1611</v>
      </c>
      <c r="E165" s="47">
        <f t="shared" si="10"/>
        <v>2360</v>
      </c>
      <c r="F165" s="47">
        <v>3648</v>
      </c>
      <c r="G165" s="49">
        <f t="shared" si="11"/>
        <v>-1288</v>
      </c>
      <c r="H165" s="49">
        <f t="shared" si="15"/>
        <v>-574</v>
      </c>
      <c r="I165" s="191">
        <v>1295</v>
      </c>
      <c r="J165" s="63">
        <f>wacc!E26</f>
        <v>0.60586734693877553</v>
      </c>
      <c r="K165" s="49">
        <f t="shared" si="12"/>
        <v>3601</v>
      </c>
      <c r="L165" s="189">
        <f t="shared" si="13"/>
        <v>1419.2716836734694</v>
      </c>
      <c r="M165" s="47">
        <f t="shared" si="14"/>
        <v>721</v>
      </c>
      <c r="N165" s="47">
        <v>19163</v>
      </c>
      <c r="O165" s="62">
        <f t="shared" ref="O165:O173" si="17">M165/L165</f>
        <v>0.50800703508284739</v>
      </c>
      <c r="P165">
        <f t="shared" si="16"/>
        <v>26.578363384188627</v>
      </c>
      <c r="Q165" s="188"/>
      <c r="R165" s="2"/>
      <c r="S165" s="2">
        <v>0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ht="15.75" thickBot="1" x14ac:dyDescent="0.3">
      <c r="A166" s="2"/>
      <c r="B166" s="2">
        <v>2016</v>
      </c>
      <c r="C166" s="47">
        <v>4758</v>
      </c>
      <c r="D166" s="47">
        <v>2263</v>
      </c>
      <c r="E166" s="47">
        <f t="shared" si="10"/>
        <v>2495</v>
      </c>
      <c r="F166" s="47">
        <v>4547</v>
      </c>
      <c r="G166" s="49">
        <f t="shared" si="11"/>
        <v>-2052</v>
      </c>
      <c r="H166" s="49">
        <f t="shared" si="15"/>
        <v>-764</v>
      </c>
      <c r="I166" s="191">
        <v>1440</v>
      </c>
      <c r="J166" s="63">
        <f>wacc!E27</f>
        <v>0.36613566289825283</v>
      </c>
      <c r="K166" s="49">
        <f t="shared" si="12"/>
        <v>4172</v>
      </c>
      <c r="L166" s="189">
        <f t="shared" si="13"/>
        <v>2644.482014388489</v>
      </c>
      <c r="M166" s="47">
        <f t="shared" si="14"/>
        <v>676</v>
      </c>
      <c r="N166" s="47">
        <v>21316</v>
      </c>
      <c r="O166" s="62">
        <f t="shared" si="17"/>
        <v>0.25562662038233541</v>
      </c>
      <c r="P166">
        <f t="shared" si="16"/>
        <v>31.532544378698226</v>
      </c>
      <c r="Q166" s="188"/>
      <c r="R166" s="2"/>
      <c r="S166" s="2">
        <v>0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ht="15.75" thickBot="1" x14ac:dyDescent="0.3">
      <c r="A167" s="2"/>
      <c r="B167" s="2">
        <v>2017</v>
      </c>
      <c r="C167" s="47">
        <v>5283</v>
      </c>
      <c r="D167" s="47">
        <v>2691</v>
      </c>
      <c r="E167" s="47">
        <f t="shared" si="10"/>
        <v>2592</v>
      </c>
      <c r="F167" s="47">
        <v>4221</v>
      </c>
      <c r="G167" s="49">
        <f t="shared" si="11"/>
        <v>-1629</v>
      </c>
      <c r="H167" s="49">
        <f t="shared" si="15"/>
        <v>423</v>
      </c>
      <c r="I167" s="191">
        <v>1519</v>
      </c>
      <c r="J167" s="63">
        <f>wacc!E28</f>
        <v>0.20204939569101418</v>
      </c>
      <c r="K167" s="49">
        <f t="shared" si="12"/>
        <v>4135</v>
      </c>
      <c r="L167" s="189">
        <f t="shared" si="13"/>
        <v>3299.5257488176562</v>
      </c>
      <c r="M167" s="47">
        <f t="shared" si="14"/>
        <v>1942</v>
      </c>
      <c r="N167" s="47">
        <v>22387</v>
      </c>
      <c r="O167" s="62">
        <f t="shared" si="17"/>
        <v>0.5885694332574587</v>
      </c>
      <c r="P167">
        <f t="shared" si="16"/>
        <v>11.527806385169928</v>
      </c>
      <c r="Q167" s="188"/>
      <c r="R167" s="2"/>
      <c r="S167" s="2">
        <v>0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ht="15.75" thickBot="1" x14ac:dyDescent="0.3">
      <c r="A168" s="2"/>
      <c r="B168" s="2">
        <v>2018</v>
      </c>
      <c r="C168" s="47">
        <v>12494</v>
      </c>
      <c r="D168" s="47">
        <v>8938</v>
      </c>
      <c r="E168" s="47">
        <f t="shared" si="10"/>
        <v>3556</v>
      </c>
      <c r="F168" s="47">
        <v>5684</v>
      </c>
      <c r="G168" s="49">
        <f t="shared" si="11"/>
        <v>-2128</v>
      </c>
      <c r="H168" s="49">
        <f t="shared" si="15"/>
        <v>-499</v>
      </c>
      <c r="I168" s="191">
        <v>1976</v>
      </c>
      <c r="J168" s="63">
        <f>wacc!E29</f>
        <v>0.10629606606873279</v>
      </c>
      <c r="K168" s="49">
        <f t="shared" si="12"/>
        <v>3883</v>
      </c>
      <c r="L168" s="189">
        <f t="shared" si="13"/>
        <v>3470.2523754551107</v>
      </c>
      <c r="M168" s="47">
        <f t="shared" si="14"/>
        <v>1477</v>
      </c>
      <c r="N168" s="47">
        <v>24720</v>
      </c>
      <c r="O168" s="62">
        <f t="shared" si="17"/>
        <v>0.4256174595388893</v>
      </c>
      <c r="P168">
        <f t="shared" si="16"/>
        <v>16.736628300609343</v>
      </c>
      <c r="Q168" s="188"/>
      <c r="R168" s="2"/>
      <c r="S168" s="2">
        <v>0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ht="15.75" thickBot="1" x14ac:dyDescent="0.3">
      <c r="A169" s="2"/>
      <c r="B169" s="2">
        <v>2019</v>
      </c>
      <c r="C169" s="47">
        <v>5654</v>
      </c>
      <c r="D169" s="47">
        <v>2757</v>
      </c>
      <c r="E169" s="47">
        <f t="shared" si="10"/>
        <v>2897</v>
      </c>
      <c r="F169" s="47">
        <v>6169</v>
      </c>
      <c r="G169" s="49">
        <f t="shared" si="11"/>
        <v>-3272</v>
      </c>
      <c r="H169" s="49">
        <f t="shared" si="15"/>
        <v>-1144</v>
      </c>
      <c r="I169" s="191">
        <v>1807</v>
      </c>
      <c r="J169" s="63">
        <f>wacc!E30</f>
        <v>0.16986262163709215</v>
      </c>
      <c r="K169" s="49">
        <f t="shared" si="12"/>
        <v>4078</v>
      </c>
      <c r="L169" s="189">
        <f t="shared" si="13"/>
        <v>3385.300228963938</v>
      </c>
      <c r="M169" s="47">
        <f t="shared" si="14"/>
        <v>663</v>
      </c>
      <c r="N169" s="47">
        <v>26509</v>
      </c>
      <c r="O169" s="62">
        <f t="shared" si="17"/>
        <v>0.19584673593423332</v>
      </c>
      <c r="P169">
        <f t="shared" si="16"/>
        <v>39.983408748114627</v>
      </c>
      <c r="Q169" s="188"/>
      <c r="R169" s="2"/>
      <c r="S169" s="2">
        <v>0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ht="15.75" thickBot="1" x14ac:dyDescent="0.3">
      <c r="A170" s="2"/>
      <c r="B170" s="2">
        <v>2020</v>
      </c>
      <c r="C170" s="47">
        <v>7806</v>
      </c>
      <c r="D170" s="47">
        <v>4632</v>
      </c>
      <c r="E170" s="47">
        <f t="shared" si="10"/>
        <v>3174</v>
      </c>
      <c r="F170" s="47">
        <v>7347</v>
      </c>
      <c r="G170" s="49">
        <f t="shared" si="11"/>
        <v>-4173</v>
      </c>
      <c r="H170" s="49">
        <f t="shared" si="15"/>
        <v>-901</v>
      </c>
      <c r="I170" s="191">
        <v>1484</v>
      </c>
      <c r="J170" s="63">
        <f>wacc!E31</f>
        <v>0.1184134337000579</v>
      </c>
      <c r="K170" s="49">
        <f t="shared" si="12"/>
        <v>1562</v>
      </c>
      <c r="L170" s="189">
        <f t="shared" si="13"/>
        <v>1377.0382165605097</v>
      </c>
      <c r="M170" s="47">
        <f t="shared" si="14"/>
        <v>583</v>
      </c>
      <c r="N170" s="47">
        <v>23518</v>
      </c>
      <c r="O170" s="62">
        <f t="shared" si="17"/>
        <v>0.42337241841855727</v>
      </c>
      <c r="P170">
        <f t="shared" si="16"/>
        <v>40.339622641509436</v>
      </c>
      <c r="Q170" s="188"/>
      <c r="R170" s="2"/>
      <c r="S170" s="2">
        <v>0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ht="15.75" thickBot="1" x14ac:dyDescent="0.3">
      <c r="A171" s="2"/>
      <c r="B171" s="2">
        <v>2021</v>
      </c>
      <c r="C171" s="47">
        <v>9756</v>
      </c>
      <c r="D171" s="47">
        <v>6618</v>
      </c>
      <c r="E171" s="47">
        <f t="shared" si="10"/>
        <v>3138</v>
      </c>
      <c r="F171" s="47">
        <v>8151</v>
      </c>
      <c r="G171" s="49">
        <f t="shared" si="11"/>
        <v>-5013</v>
      </c>
      <c r="H171" s="49">
        <f t="shared" si="15"/>
        <v>-840</v>
      </c>
      <c r="I171" s="191">
        <v>1470</v>
      </c>
      <c r="J171" s="63">
        <f>wacc!E32</f>
        <v>0.12557993237398757</v>
      </c>
      <c r="K171" s="49">
        <f t="shared" si="12"/>
        <v>4872</v>
      </c>
      <c r="L171" s="189">
        <f t="shared" si="13"/>
        <v>4260.1745694739329</v>
      </c>
      <c r="M171" s="47">
        <f t="shared" si="14"/>
        <v>630</v>
      </c>
      <c r="N171" s="47">
        <v>29061</v>
      </c>
      <c r="O171" s="62">
        <f t="shared" si="17"/>
        <v>0.14788126395435375</v>
      </c>
      <c r="P171">
        <f t="shared" si="16"/>
        <v>46.128571428571426</v>
      </c>
      <c r="Q171" s="188"/>
      <c r="R171" s="2"/>
      <c r="S171" s="2">
        <v>0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ht="15.75" thickBot="1" x14ac:dyDescent="0.3">
      <c r="A172" s="2"/>
      <c r="B172" s="2">
        <v>2022</v>
      </c>
      <c r="C172" s="47">
        <v>7019</v>
      </c>
      <c r="D172" s="47">
        <v>3183</v>
      </c>
      <c r="E172" s="47">
        <f t="shared" si="10"/>
        <v>3836</v>
      </c>
      <c r="F172" s="47">
        <v>9152</v>
      </c>
      <c r="G172" s="49">
        <f t="shared" si="11"/>
        <v>-5316</v>
      </c>
      <c r="H172" s="49">
        <f t="shared" si="15"/>
        <v>-303</v>
      </c>
      <c r="I172" s="191">
        <v>1841</v>
      </c>
      <c r="J172" s="63">
        <f>wacc!E33</f>
        <v>0</v>
      </c>
      <c r="K172" s="49">
        <f t="shared" si="12"/>
        <v>4618</v>
      </c>
      <c r="L172" s="189">
        <f t="shared" si="13"/>
        <v>4618</v>
      </c>
      <c r="M172" s="47">
        <f t="shared" si="14"/>
        <v>1538</v>
      </c>
      <c r="N172" s="47">
        <v>32250</v>
      </c>
      <c r="O172" s="62">
        <f t="shared" si="17"/>
        <v>0.33304460805543523</v>
      </c>
      <c r="P172">
        <f t="shared" si="16"/>
        <v>20.968790637191159</v>
      </c>
      <c r="Q172" s="188"/>
      <c r="R172" s="2"/>
      <c r="S172" s="2">
        <v>0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5">
      <c r="A173" s="2"/>
      <c r="B173" s="2">
        <v>2023</v>
      </c>
      <c r="C173" s="47">
        <v>7303</v>
      </c>
      <c r="D173" s="47">
        <v>3953</v>
      </c>
      <c r="E173" s="47">
        <f t="shared" si="10"/>
        <v>3350</v>
      </c>
      <c r="F173" s="47">
        <v>9345</v>
      </c>
      <c r="G173" s="49">
        <f t="shared" si="11"/>
        <v>-5995</v>
      </c>
      <c r="H173" s="49">
        <f t="shared" si="15"/>
        <v>-679</v>
      </c>
      <c r="I173" s="191">
        <v>2224</v>
      </c>
      <c r="J173" s="63">
        <f>wacc!E34</f>
        <v>0.18947760598238284</v>
      </c>
      <c r="K173" s="49">
        <f t="shared" si="12"/>
        <v>5871</v>
      </c>
      <c r="L173" s="189">
        <f t="shared" si="13"/>
        <v>4758.5769752774304</v>
      </c>
      <c r="M173" s="47">
        <f>I173+H173</f>
        <v>1545</v>
      </c>
      <c r="N173" s="47">
        <v>35976</v>
      </c>
      <c r="O173" s="62">
        <f t="shared" si="17"/>
        <v>0.32467689564061841</v>
      </c>
      <c r="P173">
        <f t="shared" si="16"/>
        <v>23.285436893203883</v>
      </c>
      <c r="Q173" s="188"/>
      <c r="R173" s="2"/>
      <c r="S173" s="2">
        <v>0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5">
      <c r="A174" s="2"/>
      <c r="B174" s="2"/>
      <c r="C174" s="2"/>
      <c r="E174" s="2"/>
      <c r="F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5">
      <c r="A175" s="2"/>
      <c r="B175" s="2"/>
      <c r="C175" s="2"/>
      <c r="E175" s="2"/>
      <c r="F175" s="2"/>
      <c r="G175" s="2"/>
      <c r="H175" s="2"/>
      <c r="I175" s="47"/>
      <c r="J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5">
      <c r="A176" s="2"/>
      <c r="B176" s="2"/>
      <c r="C176" s="2"/>
      <c r="E176" s="2"/>
      <c r="F176" s="2"/>
      <c r="G176" s="2"/>
      <c r="H176" s="2"/>
      <c r="I176" s="47"/>
      <c r="J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5">
      <c r="A177" s="2"/>
      <c r="B177" s="2"/>
      <c r="C177" s="2"/>
      <c r="E177" s="2"/>
      <c r="F177" s="2"/>
      <c r="G177" s="2"/>
      <c r="H177" s="2"/>
      <c r="I177" s="47"/>
      <c r="J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5">
      <c r="A178" s="2"/>
      <c r="B178" s="2"/>
      <c r="C178" s="2"/>
      <c r="E178" s="2"/>
      <c r="F178" s="2"/>
      <c r="G178" s="2"/>
      <c r="H178" s="2"/>
      <c r="I178" s="47"/>
      <c r="J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179" spans="1:128" x14ac:dyDescent="0.25">
      <c r="A179" s="2"/>
      <c r="B179" s="2"/>
      <c r="C179" s="2"/>
      <c r="E179" s="2"/>
      <c r="F179" s="2"/>
      <c r="G179" s="2"/>
      <c r="H179" s="2"/>
      <c r="I179" s="47"/>
      <c r="J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</row>
    <row r="180" spans="1:128" x14ac:dyDescent="0.25">
      <c r="A180" s="2"/>
      <c r="B180" s="2"/>
      <c r="C180" s="2"/>
      <c r="E180" s="2"/>
      <c r="F180" s="2"/>
      <c r="G180" s="2"/>
      <c r="H180" s="2"/>
      <c r="I180" s="47"/>
      <c r="J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</row>
    <row r="181" spans="1:128" x14ac:dyDescent="0.25">
      <c r="A181" s="2"/>
      <c r="B181" s="2"/>
      <c r="C181" s="2"/>
      <c r="E181" s="2"/>
      <c r="F181" s="2"/>
      <c r="G181" s="2"/>
      <c r="H181" s="2"/>
      <c r="I181" s="47"/>
      <c r="J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</row>
    <row r="182" spans="1:128" x14ac:dyDescent="0.25">
      <c r="A182" s="2"/>
      <c r="B182" s="2"/>
      <c r="C182" s="2"/>
      <c r="E182" s="2"/>
      <c r="F182" s="2"/>
      <c r="G182" s="2"/>
      <c r="H182" s="2"/>
      <c r="I182" s="47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</row>
    <row r="183" spans="1:128" x14ac:dyDescent="0.25">
      <c r="A183" s="2"/>
      <c r="B183" s="2"/>
      <c r="C183" s="2"/>
      <c r="E183" s="2"/>
      <c r="F183" s="2"/>
      <c r="G183" s="2"/>
      <c r="H183" s="2"/>
      <c r="I183" s="47"/>
      <c r="J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</row>
    <row r="184" spans="1:128" x14ac:dyDescent="0.25">
      <c r="A184" s="2"/>
      <c r="B184" s="2"/>
      <c r="C184" s="2"/>
      <c r="E184" s="2"/>
      <c r="F184" s="2"/>
      <c r="G184" s="2"/>
      <c r="H184" s="2"/>
      <c r="I184" s="47"/>
      <c r="J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</row>
    <row r="185" spans="1:128" x14ac:dyDescent="0.25">
      <c r="A185" s="2"/>
      <c r="B185" s="2"/>
      <c r="C185" s="2"/>
      <c r="E185" s="2"/>
      <c r="F185" s="2"/>
      <c r="G185" s="2"/>
      <c r="H185" s="2"/>
      <c r="I185" s="47"/>
      <c r="J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</row>
    <row r="186" spans="1:128" x14ac:dyDescent="0.25">
      <c r="A186" s="2"/>
      <c r="B186" s="2"/>
      <c r="C186" s="2"/>
      <c r="E186" s="2"/>
      <c r="F186" s="2"/>
      <c r="G186" s="2"/>
      <c r="H186" s="2"/>
      <c r="I186" s="47"/>
      <c r="J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</row>
    <row r="187" spans="1:128" x14ac:dyDescent="0.25">
      <c r="A187" s="2"/>
      <c r="B187" s="2"/>
      <c r="C187" s="2"/>
      <c r="E187" s="2"/>
      <c r="F187" s="2"/>
      <c r="G187" s="2"/>
      <c r="H187" s="2"/>
      <c r="I187" s="47"/>
      <c r="J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</row>
    <row r="188" spans="1:128" x14ac:dyDescent="0.25">
      <c r="A188" s="2"/>
      <c r="B188" s="2"/>
      <c r="C188" s="2"/>
      <c r="E188" s="2"/>
      <c r="F188" s="2"/>
      <c r="G188" s="2"/>
      <c r="H188" s="2"/>
      <c r="I188" s="47"/>
      <c r="J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</row>
    <row r="189" spans="1:128" x14ac:dyDescent="0.25">
      <c r="A189" s="2"/>
      <c r="B189" s="2"/>
      <c r="C189" s="2"/>
      <c r="E189" s="2"/>
      <c r="F189" s="2"/>
      <c r="G189" s="2"/>
      <c r="H189" s="2"/>
      <c r="I189" s="47"/>
      <c r="J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</row>
    <row r="190" spans="1:128" x14ac:dyDescent="0.25">
      <c r="A190" s="2"/>
      <c r="B190" s="2"/>
      <c r="C190" s="2"/>
      <c r="E190" s="2"/>
      <c r="F190" s="2"/>
      <c r="G190" s="2"/>
      <c r="H190" s="2"/>
      <c r="I190" s="4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</row>
    <row r="191" spans="1:128" x14ac:dyDescent="0.25">
      <c r="A191" s="2"/>
      <c r="B191" s="2"/>
      <c r="C191" s="2"/>
      <c r="E191" s="2"/>
      <c r="F191" s="2"/>
      <c r="G191" s="2"/>
      <c r="H191" s="2"/>
      <c r="I191" s="4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</row>
    <row r="192" spans="1:128" x14ac:dyDescent="0.25">
      <c r="A192" s="2"/>
      <c r="B192" s="2"/>
      <c r="C192" s="2"/>
      <c r="E192" s="2"/>
      <c r="F192" s="2"/>
      <c r="G192" s="2"/>
      <c r="H192" s="2"/>
      <c r="I192" s="4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</row>
    <row r="193" spans="1:128" x14ac:dyDescent="0.25">
      <c r="A193" s="2"/>
      <c r="B193" s="2"/>
      <c r="C193" s="2"/>
      <c r="E193" s="2"/>
      <c r="F193" s="2"/>
      <c r="G193" s="2"/>
      <c r="H193" s="2"/>
      <c r="I193" s="4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</row>
    <row r="194" spans="1:128" x14ac:dyDescent="0.25">
      <c r="A194" s="2"/>
      <c r="B194" s="2"/>
      <c r="C194" s="2"/>
      <c r="E194" s="2"/>
      <c r="F194" s="2"/>
      <c r="G194" s="2"/>
      <c r="H194" s="2"/>
      <c r="I194" s="4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</row>
    <row r="195" spans="1:128" x14ac:dyDescent="0.25">
      <c r="A195" s="2"/>
      <c r="B195" s="2"/>
      <c r="C195" s="2"/>
      <c r="E195" s="2"/>
      <c r="F195" s="2"/>
      <c r="G195" s="2"/>
      <c r="H195" s="2"/>
      <c r="I195" s="4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</row>
    <row r="196" spans="1:128" x14ac:dyDescent="0.25">
      <c r="A196" s="2"/>
      <c r="B196" s="2"/>
      <c r="C196" s="2"/>
      <c r="E196" s="2"/>
      <c r="F196" s="2"/>
      <c r="G196" s="2"/>
      <c r="H196" s="2"/>
      <c r="I196" s="4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</row>
    <row r="197" spans="1:128" x14ac:dyDescent="0.25">
      <c r="A197" s="2"/>
      <c r="B197" s="2"/>
      <c r="C197" s="2"/>
      <c r="E197" s="2"/>
      <c r="F197" s="2"/>
      <c r="G197" s="2"/>
      <c r="H197" s="2"/>
      <c r="I197" s="4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</row>
    <row r="198" spans="1:128" x14ac:dyDescent="0.25">
      <c r="A198" s="2"/>
      <c r="B198" s="2"/>
      <c r="C198" s="2"/>
      <c r="E198" s="2"/>
      <c r="F198" s="2"/>
      <c r="G198" s="2"/>
      <c r="H198" s="2"/>
      <c r="I198" s="4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</row>
    <row r="199" spans="1:128" x14ac:dyDescent="0.25">
      <c r="A199" s="2"/>
      <c r="B199" s="2"/>
      <c r="C199" s="2"/>
      <c r="E199" s="2"/>
      <c r="F199" s="2"/>
      <c r="G199" s="2"/>
      <c r="H199" s="2"/>
      <c r="I199" s="4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</row>
    <row r="200" spans="1:128" x14ac:dyDescent="0.25">
      <c r="A200" s="2"/>
      <c r="B200" s="2"/>
      <c r="C200" s="2"/>
      <c r="E200" s="2"/>
      <c r="F200" s="2"/>
      <c r="G200" s="2"/>
      <c r="H200" s="2"/>
      <c r="I200" s="4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</row>
    <row r="201" spans="1:128" x14ac:dyDescent="0.25">
      <c r="A201" s="2"/>
      <c r="B201" s="2"/>
      <c r="C201" s="2"/>
      <c r="E201" s="2"/>
      <c r="F201" s="2"/>
      <c r="G201" s="2"/>
      <c r="H201" s="2"/>
      <c r="I201" s="4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</row>
    <row r="202" spans="1:128" x14ac:dyDescent="0.25">
      <c r="A202" s="2"/>
      <c r="B202" s="2"/>
      <c r="C202" s="2"/>
      <c r="E202" s="2"/>
      <c r="F202" s="2"/>
      <c r="G202" s="2"/>
      <c r="H202" s="2"/>
      <c r="I202" s="4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</row>
    <row r="203" spans="1:128" x14ac:dyDescent="0.25">
      <c r="A203" s="2"/>
      <c r="B203" s="2"/>
      <c r="C203" s="2"/>
      <c r="E203" s="2"/>
      <c r="F203" s="2"/>
      <c r="G203" s="2"/>
      <c r="H203" s="2"/>
      <c r="I203" s="4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</row>
    <row r="204" spans="1:128" x14ac:dyDescent="0.25">
      <c r="A204" s="2"/>
      <c r="B204" s="2"/>
      <c r="C204" s="2"/>
      <c r="E204" s="2"/>
      <c r="F204" s="2"/>
      <c r="G204" s="2"/>
      <c r="H204" s="2"/>
      <c r="I204" s="4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</row>
    <row r="205" spans="1:128" x14ac:dyDescent="0.25">
      <c r="A205" s="2"/>
      <c r="B205" s="2"/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</row>
    <row r="206" spans="1:128" x14ac:dyDescent="0.25">
      <c r="A206" s="2"/>
      <c r="B206" s="2"/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</row>
    <row r="207" spans="1:128" x14ac:dyDescent="0.25">
      <c r="A207" s="2"/>
      <c r="B207" s="2"/>
      <c r="C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</row>
    <row r="208" spans="1:128" x14ac:dyDescent="0.25">
      <c r="A208" s="2"/>
      <c r="B208" s="2"/>
      <c r="C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</row>
    <row r="209" spans="1:128" x14ac:dyDescent="0.25">
      <c r="A209" s="2"/>
      <c r="B209" s="2"/>
      <c r="C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</row>
    <row r="210" spans="1:128" x14ac:dyDescent="0.25">
      <c r="A210" s="2"/>
      <c r="B210" s="2"/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</row>
    <row r="211" spans="1:128" x14ac:dyDescent="0.25">
      <c r="A211" s="2"/>
      <c r="B211" s="2"/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</row>
    <row r="212" spans="1:128" x14ac:dyDescent="0.25">
      <c r="A212" s="2"/>
      <c r="B212" s="2"/>
      <c r="C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</row>
    <row r="213" spans="1:128" x14ac:dyDescent="0.25">
      <c r="A213" s="2"/>
      <c r="B213" s="2"/>
      <c r="C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</row>
    <row r="214" spans="1:128" x14ac:dyDescent="0.25">
      <c r="A214" s="2"/>
      <c r="B214" s="2"/>
      <c r="C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</row>
    <row r="215" spans="1:128" x14ac:dyDescent="0.25">
      <c r="A215" s="2"/>
      <c r="B215" s="2"/>
      <c r="C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</row>
    <row r="216" spans="1:128" x14ac:dyDescent="0.25">
      <c r="A216" s="2"/>
      <c r="B216" s="2"/>
      <c r="C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</row>
    <row r="217" spans="1:128" x14ac:dyDescent="0.25">
      <c r="A217" s="2"/>
      <c r="B217" s="2"/>
      <c r="C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</row>
    <row r="218" spans="1:128" x14ac:dyDescent="0.25">
      <c r="A218" s="2"/>
      <c r="B218" s="2"/>
      <c r="C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</row>
    <row r="219" spans="1:128" x14ac:dyDescent="0.25">
      <c r="A219" s="2"/>
      <c r="B219" s="2"/>
      <c r="C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</row>
    <row r="220" spans="1:128" x14ac:dyDescent="0.25">
      <c r="A220" s="2"/>
      <c r="B220" s="2"/>
      <c r="C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</row>
    <row r="221" spans="1:128" x14ac:dyDescent="0.25">
      <c r="A221" s="2"/>
      <c r="B221" s="2"/>
      <c r="C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</row>
    <row r="222" spans="1:128" x14ac:dyDescent="0.25">
      <c r="A222" s="2"/>
      <c r="B222" s="2"/>
      <c r="C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</row>
    <row r="223" spans="1:128" x14ac:dyDescent="0.25">
      <c r="A223" s="2"/>
      <c r="B223" s="2"/>
      <c r="C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</row>
    <row r="224" spans="1:128" x14ac:dyDescent="0.25">
      <c r="A224" s="2"/>
      <c r="B224" s="2"/>
      <c r="C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</row>
    <row r="225" spans="1:128" x14ac:dyDescent="0.25">
      <c r="A225" s="2"/>
      <c r="B225" s="2"/>
      <c r="C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</row>
    <row r="226" spans="1:128" x14ac:dyDescent="0.25">
      <c r="A226" s="2"/>
      <c r="B226" s="2"/>
      <c r="C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</row>
    <row r="227" spans="1:128" x14ac:dyDescent="0.25">
      <c r="A227" s="2"/>
      <c r="B227" s="2"/>
      <c r="C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</row>
    <row r="228" spans="1:128" x14ac:dyDescent="0.25">
      <c r="A228" s="2"/>
      <c r="B228" s="2"/>
      <c r="C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</row>
    <row r="229" spans="1:128" x14ac:dyDescent="0.25">
      <c r="A229" s="2"/>
      <c r="B229" s="2"/>
      <c r="C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</row>
    <row r="230" spans="1:128" x14ac:dyDescent="0.25">
      <c r="A230" s="2"/>
      <c r="B230" s="2"/>
      <c r="C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</row>
    <row r="231" spans="1:128" x14ac:dyDescent="0.25">
      <c r="A231" s="2"/>
      <c r="B231" s="2"/>
      <c r="C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</row>
    <row r="232" spans="1:128" x14ac:dyDescent="0.25">
      <c r="A232" s="2"/>
      <c r="B232" s="2"/>
      <c r="C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</row>
    <row r="233" spans="1:128" x14ac:dyDescent="0.25">
      <c r="A233" s="2"/>
      <c r="B233" s="2"/>
      <c r="C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</row>
    <row r="234" spans="1:128" x14ac:dyDescent="0.25">
      <c r="A234" s="2"/>
      <c r="B234" s="2"/>
      <c r="C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</row>
    <row r="235" spans="1:128" x14ac:dyDescent="0.25">
      <c r="A235" s="2"/>
      <c r="B235" s="2"/>
      <c r="C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</row>
    <row r="236" spans="1:128" x14ac:dyDescent="0.25">
      <c r="A236" s="2"/>
      <c r="B236" s="2"/>
      <c r="C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</row>
    <row r="237" spans="1:128" x14ac:dyDescent="0.25">
      <c r="A237" s="2"/>
      <c r="B237" s="2"/>
      <c r="C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</row>
    <row r="238" spans="1:128" x14ac:dyDescent="0.25">
      <c r="A238" s="2"/>
      <c r="B238" s="2"/>
      <c r="C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</row>
    <row r="239" spans="1:128" x14ac:dyDescent="0.25">
      <c r="A239" s="2"/>
      <c r="B239" s="2"/>
      <c r="C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</row>
    <row r="240" spans="1:128" x14ac:dyDescent="0.25">
      <c r="A240" s="2"/>
      <c r="B240" s="2"/>
      <c r="C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</row>
    <row r="241" spans="1:128" x14ac:dyDescent="0.25">
      <c r="A241" s="2"/>
      <c r="B241" s="2"/>
      <c r="C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</row>
    <row r="242" spans="1:128" x14ac:dyDescent="0.25">
      <c r="A242" s="2"/>
      <c r="B242" s="2"/>
      <c r="C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</row>
    <row r="243" spans="1:128" x14ac:dyDescent="0.25">
      <c r="A243" s="2"/>
      <c r="B243" s="2"/>
      <c r="C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</row>
    <row r="244" spans="1:128" x14ac:dyDescent="0.25">
      <c r="A244" s="2"/>
      <c r="B244" s="2"/>
      <c r="C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</row>
    <row r="245" spans="1:128" x14ac:dyDescent="0.25">
      <c r="A245" s="2"/>
      <c r="B245" s="2"/>
      <c r="C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</row>
    <row r="246" spans="1:128" x14ac:dyDescent="0.25">
      <c r="A246" s="2"/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</row>
    <row r="247" spans="1:128" x14ac:dyDescent="0.25">
      <c r="A247" s="2"/>
      <c r="B247" s="2"/>
      <c r="C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</row>
    <row r="248" spans="1:128" x14ac:dyDescent="0.25">
      <c r="A248" s="2"/>
      <c r="B248" s="2"/>
      <c r="C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</row>
    <row r="249" spans="1:128" x14ac:dyDescent="0.25">
      <c r="A249" s="2"/>
      <c r="B249" s="2"/>
      <c r="C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</row>
    <row r="250" spans="1:128" x14ac:dyDescent="0.25">
      <c r="A250" s="2"/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</row>
    <row r="251" spans="1:128" x14ac:dyDescent="0.25">
      <c r="A251" s="2"/>
      <c r="B251" s="2"/>
      <c r="C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</row>
    <row r="252" spans="1:128" x14ac:dyDescent="0.25">
      <c r="A252" s="2"/>
      <c r="B252" s="2"/>
      <c r="C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</row>
    <row r="253" spans="1:128" x14ac:dyDescent="0.25">
      <c r="A253" s="2"/>
      <c r="B253" s="2"/>
      <c r="C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</row>
    <row r="254" spans="1:128" x14ac:dyDescent="0.25">
      <c r="A254" s="2"/>
      <c r="B254" s="2"/>
      <c r="C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</row>
    <row r="255" spans="1:128" x14ac:dyDescent="0.25">
      <c r="A255" s="2"/>
      <c r="B255" s="2"/>
      <c r="C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</row>
    <row r="256" spans="1:128" x14ac:dyDescent="0.25">
      <c r="A256" s="2"/>
      <c r="B256" s="2"/>
      <c r="C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</row>
    <row r="257" spans="1:128" x14ac:dyDescent="0.25">
      <c r="A257" s="2"/>
      <c r="B257" s="2"/>
      <c r="C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</row>
    <row r="258" spans="1:128" x14ac:dyDescent="0.25">
      <c r="A258" s="2"/>
      <c r="B258" s="2"/>
      <c r="C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</row>
    <row r="259" spans="1:128" x14ac:dyDescent="0.25">
      <c r="A259" s="2"/>
      <c r="B259" s="2"/>
      <c r="C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</row>
    <row r="260" spans="1:128" x14ac:dyDescent="0.25">
      <c r="A260" s="2"/>
      <c r="B260" s="2"/>
      <c r="C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</row>
    <row r="261" spans="1:128" x14ac:dyDescent="0.25">
      <c r="A261" s="2"/>
      <c r="B261" s="2"/>
      <c r="C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</row>
    <row r="262" spans="1:128" x14ac:dyDescent="0.25">
      <c r="A262" s="2"/>
      <c r="B262" s="2"/>
      <c r="C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</row>
    <row r="263" spans="1:128" x14ac:dyDescent="0.25">
      <c r="A263" s="2"/>
      <c r="B263" s="2"/>
      <c r="C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</row>
    <row r="264" spans="1:128" x14ac:dyDescent="0.25">
      <c r="A264" s="2"/>
      <c r="B264" s="2"/>
      <c r="C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</row>
    <row r="265" spans="1:128" x14ac:dyDescent="0.25">
      <c r="A265" s="2"/>
      <c r="B265" s="2"/>
      <c r="C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</row>
    <row r="266" spans="1:128" x14ac:dyDescent="0.25">
      <c r="A266" s="2"/>
      <c r="B266" s="2"/>
      <c r="C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</row>
    <row r="267" spans="1:128" x14ac:dyDescent="0.25">
      <c r="A267" s="2"/>
      <c r="B267" s="2"/>
      <c r="C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</row>
    <row r="268" spans="1:128" x14ac:dyDescent="0.25">
      <c r="A268" s="2"/>
      <c r="B268" s="2"/>
      <c r="C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</row>
    <row r="269" spans="1:128" x14ac:dyDescent="0.25">
      <c r="A269" s="2"/>
      <c r="B269" s="2"/>
      <c r="C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</row>
    <row r="270" spans="1:128" x14ac:dyDescent="0.25">
      <c r="A270" s="2"/>
      <c r="B270" s="2"/>
      <c r="C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</row>
    <row r="271" spans="1:128" x14ac:dyDescent="0.25">
      <c r="A271" s="2"/>
      <c r="B271" s="2"/>
      <c r="C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</row>
    <row r="272" spans="1:128" x14ac:dyDescent="0.25">
      <c r="A272" s="2"/>
      <c r="B272" s="2"/>
      <c r="C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</row>
    <row r="273" spans="1:128" x14ac:dyDescent="0.25">
      <c r="A273" s="2"/>
      <c r="B273" s="2"/>
      <c r="C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</row>
    <row r="274" spans="1:128" x14ac:dyDescent="0.25">
      <c r="A274" s="2"/>
      <c r="B274" s="2"/>
      <c r="C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</row>
    <row r="275" spans="1:128" x14ac:dyDescent="0.25">
      <c r="A275" s="2"/>
      <c r="B275" s="2"/>
      <c r="C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</row>
    <row r="276" spans="1:128" x14ac:dyDescent="0.25">
      <c r="A276" s="2"/>
      <c r="B276" s="2"/>
      <c r="C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</row>
    <row r="277" spans="1:128" x14ac:dyDescent="0.25">
      <c r="A277" s="2"/>
      <c r="B277" s="2"/>
      <c r="C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</row>
    <row r="278" spans="1:128" x14ac:dyDescent="0.25">
      <c r="A278" s="2"/>
      <c r="B278" s="2"/>
      <c r="C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</row>
    <row r="279" spans="1:128" x14ac:dyDescent="0.25">
      <c r="A279" s="2"/>
      <c r="B279" s="2"/>
      <c r="C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</row>
    <row r="280" spans="1:128" x14ac:dyDescent="0.25">
      <c r="A280" s="2"/>
      <c r="B280" s="2"/>
      <c r="C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</row>
    <row r="281" spans="1:128" x14ac:dyDescent="0.25">
      <c r="A281" s="2"/>
      <c r="B281" s="2"/>
      <c r="C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</row>
    <row r="282" spans="1:128" x14ac:dyDescent="0.25">
      <c r="A282" s="2"/>
      <c r="B282" s="2"/>
      <c r="C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</row>
    <row r="283" spans="1:128" x14ac:dyDescent="0.25">
      <c r="A283" s="2"/>
      <c r="B283" s="2"/>
      <c r="C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</row>
    <row r="284" spans="1:128" x14ac:dyDescent="0.25">
      <c r="A284" s="2"/>
      <c r="B284" s="2"/>
      <c r="C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</row>
    <row r="285" spans="1:128" x14ac:dyDescent="0.25">
      <c r="A285" s="2"/>
      <c r="B285" s="2"/>
      <c r="C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</row>
    <row r="286" spans="1:128" x14ac:dyDescent="0.25">
      <c r="A286" s="2"/>
      <c r="B286" s="2"/>
      <c r="C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</row>
    <row r="287" spans="1:128" x14ac:dyDescent="0.25">
      <c r="A287" s="2"/>
      <c r="B287" s="2"/>
      <c r="C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</row>
    <row r="288" spans="1:128" x14ac:dyDescent="0.25">
      <c r="A288" s="2"/>
      <c r="B288" s="2"/>
      <c r="C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</row>
    <row r="289" spans="1:128" x14ac:dyDescent="0.25">
      <c r="A289" s="2"/>
      <c r="B289" s="2"/>
      <c r="C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</row>
    <row r="290" spans="1:128" x14ac:dyDescent="0.25">
      <c r="A290" s="2"/>
      <c r="B290" s="2"/>
      <c r="C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</row>
    <row r="291" spans="1:128" x14ac:dyDescent="0.25">
      <c r="A291" s="2"/>
      <c r="B291" s="2"/>
      <c r="C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</row>
    <row r="292" spans="1:128" x14ac:dyDescent="0.25">
      <c r="A292" s="2"/>
      <c r="B292" s="2"/>
      <c r="C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</row>
    <row r="293" spans="1:128" x14ac:dyDescent="0.25">
      <c r="A293" s="2"/>
      <c r="B293" s="2"/>
      <c r="C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</row>
    <row r="294" spans="1:128" x14ac:dyDescent="0.25">
      <c r="A294" s="2"/>
      <c r="B294" s="2"/>
      <c r="C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</row>
    <row r="295" spans="1:128" x14ac:dyDescent="0.25">
      <c r="A295" s="2"/>
      <c r="B295" s="2"/>
      <c r="C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</row>
    <row r="296" spans="1:128" x14ac:dyDescent="0.25">
      <c r="A296" s="2"/>
      <c r="B296" s="2"/>
      <c r="C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</row>
    <row r="297" spans="1:128" x14ac:dyDescent="0.25">
      <c r="A297" s="2"/>
      <c r="B297" s="2"/>
      <c r="C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</row>
    <row r="298" spans="1:128" x14ac:dyDescent="0.25">
      <c r="A298" s="2"/>
      <c r="B298" s="2"/>
      <c r="C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</row>
    <row r="299" spans="1:128" x14ac:dyDescent="0.25">
      <c r="A299" s="2"/>
      <c r="B299" s="2"/>
      <c r="C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</row>
    <row r="300" spans="1:128" x14ac:dyDescent="0.25">
      <c r="A300" s="2"/>
      <c r="B300" s="2"/>
      <c r="C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</row>
    <row r="301" spans="1:128" x14ac:dyDescent="0.25">
      <c r="A301" s="2"/>
      <c r="B301" s="2"/>
      <c r="C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</row>
    <row r="302" spans="1:128" x14ac:dyDescent="0.25">
      <c r="A302" s="2"/>
      <c r="B302" s="2"/>
      <c r="C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</row>
    <row r="303" spans="1:128" x14ac:dyDescent="0.25">
      <c r="A303" s="2"/>
      <c r="B303" s="2"/>
      <c r="C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</row>
    <row r="304" spans="1:128" x14ac:dyDescent="0.25">
      <c r="A304" s="2"/>
      <c r="B304" s="2"/>
      <c r="C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</row>
    <row r="305" spans="1:128" x14ac:dyDescent="0.25">
      <c r="A305" s="2"/>
      <c r="B305" s="2"/>
      <c r="C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</row>
    <row r="306" spans="1:128" x14ac:dyDescent="0.25">
      <c r="A306" s="2"/>
      <c r="B306" s="2"/>
      <c r="C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</row>
    <row r="307" spans="1:128" x14ac:dyDescent="0.25">
      <c r="A307" s="2"/>
      <c r="B307" s="2"/>
      <c r="C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</row>
    <row r="308" spans="1:128" x14ac:dyDescent="0.25">
      <c r="A308" s="2"/>
      <c r="B308" s="2"/>
      <c r="C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</row>
    <row r="309" spans="1:128" x14ac:dyDescent="0.25">
      <c r="A309" s="2"/>
      <c r="B309" s="2"/>
      <c r="C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</row>
    <row r="310" spans="1:128" x14ac:dyDescent="0.25">
      <c r="A310" s="2"/>
      <c r="B310" s="2"/>
      <c r="C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</row>
    <row r="311" spans="1:128" x14ac:dyDescent="0.25">
      <c r="A311" s="2"/>
      <c r="B311" s="2"/>
      <c r="C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</row>
    <row r="312" spans="1:128" x14ac:dyDescent="0.25">
      <c r="A312" s="2"/>
      <c r="B312" s="2"/>
      <c r="C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</row>
    <row r="313" spans="1:128" x14ac:dyDescent="0.25">
      <c r="A313" s="2"/>
      <c r="B313" s="2"/>
      <c r="C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</row>
    <row r="314" spans="1:128" x14ac:dyDescent="0.25">
      <c r="A314" s="2"/>
      <c r="B314" s="2"/>
      <c r="C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</row>
    <row r="315" spans="1:128" x14ac:dyDescent="0.25">
      <c r="A315" s="2"/>
      <c r="B315" s="2"/>
      <c r="C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</row>
    <row r="316" spans="1:128" x14ac:dyDescent="0.25">
      <c r="A316" s="2"/>
      <c r="B316" s="2"/>
      <c r="C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</row>
    <row r="317" spans="1:128" x14ac:dyDescent="0.25">
      <c r="A317" s="2"/>
      <c r="B317" s="2"/>
      <c r="C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</row>
    <row r="318" spans="1:128" x14ac:dyDescent="0.25">
      <c r="A318" s="2"/>
      <c r="B318" s="2"/>
      <c r="C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</row>
    <row r="319" spans="1:128" x14ac:dyDescent="0.25">
      <c r="A319" s="2"/>
      <c r="B319" s="2"/>
      <c r="C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</row>
    <row r="320" spans="1:128" x14ac:dyDescent="0.25">
      <c r="A320" s="2"/>
      <c r="B320" s="2"/>
      <c r="C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</row>
    <row r="321" spans="1:128" x14ac:dyDescent="0.25">
      <c r="A321" s="2"/>
      <c r="B321" s="2"/>
      <c r="C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</row>
    <row r="322" spans="1:128" x14ac:dyDescent="0.25">
      <c r="A322" s="2"/>
      <c r="B322" s="2"/>
      <c r="C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</row>
    <row r="323" spans="1:128" x14ac:dyDescent="0.25">
      <c r="A323" s="2"/>
      <c r="B323" s="2"/>
      <c r="C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</row>
    <row r="324" spans="1:128" x14ac:dyDescent="0.25">
      <c r="A324" s="2"/>
      <c r="B324" s="2"/>
      <c r="C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</row>
    <row r="325" spans="1:128" x14ac:dyDescent="0.25">
      <c r="A325" s="2"/>
      <c r="B325" s="2"/>
      <c r="C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</row>
    <row r="326" spans="1:128" x14ac:dyDescent="0.25">
      <c r="A326" s="2"/>
      <c r="B326" s="2"/>
      <c r="C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</row>
    <row r="327" spans="1:128" x14ac:dyDescent="0.25">
      <c r="A327" s="2"/>
      <c r="B327" s="2"/>
      <c r="C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</row>
    <row r="328" spans="1:128" x14ac:dyDescent="0.25">
      <c r="A328" s="2"/>
      <c r="B328" s="2"/>
      <c r="C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</row>
    <row r="329" spans="1:128" x14ac:dyDescent="0.25">
      <c r="A329" s="2"/>
      <c r="B329" s="2"/>
      <c r="C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</row>
    <row r="330" spans="1:128" x14ac:dyDescent="0.25">
      <c r="A330" s="2"/>
      <c r="B330" s="2"/>
      <c r="C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</row>
    <row r="331" spans="1:128" x14ac:dyDescent="0.25">
      <c r="A331" s="2"/>
      <c r="B331" s="2"/>
      <c r="C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</row>
    <row r="332" spans="1:128" x14ac:dyDescent="0.25">
      <c r="A332" s="2"/>
      <c r="B332" s="2"/>
      <c r="C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</row>
    <row r="333" spans="1:128" x14ac:dyDescent="0.25">
      <c r="A333" s="2"/>
      <c r="B333" s="2"/>
      <c r="C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</row>
    <row r="334" spans="1:128" x14ac:dyDescent="0.25">
      <c r="A334" s="2"/>
      <c r="B334" s="2"/>
      <c r="C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</row>
    <row r="335" spans="1:128" x14ac:dyDescent="0.25">
      <c r="A335" s="2"/>
      <c r="B335" s="2"/>
      <c r="C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</row>
    <row r="336" spans="1:128" x14ac:dyDescent="0.25">
      <c r="A336" s="2"/>
      <c r="B336" s="2"/>
      <c r="C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</row>
    <row r="337" spans="1:128" x14ac:dyDescent="0.25">
      <c r="A337" s="2"/>
      <c r="B337" s="2"/>
      <c r="C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</row>
    <row r="338" spans="1:128" x14ac:dyDescent="0.25">
      <c r="A338" s="2"/>
      <c r="B338" s="2"/>
      <c r="C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</row>
    <row r="339" spans="1:128" x14ac:dyDescent="0.25">
      <c r="A339" s="2"/>
      <c r="B339" s="2"/>
      <c r="C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</row>
    <row r="340" spans="1:128" x14ac:dyDescent="0.25">
      <c r="A340" s="2"/>
      <c r="B340" s="2"/>
      <c r="C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</row>
    <row r="341" spans="1:128" x14ac:dyDescent="0.25">
      <c r="A341" s="2"/>
      <c r="B341" s="2"/>
      <c r="C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</row>
    <row r="342" spans="1:128" x14ac:dyDescent="0.25">
      <c r="A342" s="2"/>
      <c r="B342" s="2"/>
      <c r="C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</row>
    <row r="343" spans="1:128" x14ac:dyDescent="0.25">
      <c r="A343" s="2"/>
      <c r="B343" s="2"/>
      <c r="C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</row>
    <row r="344" spans="1:128" x14ac:dyDescent="0.25">
      <c r="A344" s="2"/>
      <c r="B344" s="2"/>
      <c r="C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</row>
    <row r="345" spans="1:128" x14ac:dyDescent="0.25">
      <c r="A345" s="2"/>
      <c r="B345" s="2"/>
      <c r="C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</row>
    <row r="346" spans="1:128" x14ac:dyDescent="0.25">
      <c r="A346" s="2"/>
      <c r="B346" s="2"/>
      <c r="C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</row>
    <row r="347" spans="1:128" x14ac:dyDescent="0.25">
      <c r="A347" s="2"/>
      <c r="B347" s="2"/>
      <c r="C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</row>
    <row r="348" spans="1:128" x14ac:dyDescent="0.25">
      <c r="A348" s="2"/>
      <c r="B348" s="2"/>
      <c r="C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</row>
    <row r="349" spans="1:128" x14ac:dyDescent="0.25">
      <c r="A349" s="2"/>
      <c r="B349" s="2"/>
      <c r="C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</row>
    <row r="350" spans="1:128" x14ac:dyDescent="0.25">
      <c r="A350" s="2"/>
      <c r="B350" s="2"/>
      <c r="C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</row>
    <row r="351" spans="1:128" x14ac:dyDescent="0.25">
      <c r="A351" s="2"/>
      <c r="B351" s="2"/>
      <c r="C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</row>
    <row r="352" spans="1:128" x14ac:dyDescent="0.25">
      <c r="A352" s="2"/>
      <c r="B352" s="2"/>
      <c r="C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</row>
    <row r="353" spans="1:128" x14ac:dyDescent="0.25">
      <c r="A353" s="2"/>
      <c r="B353" s="2"/>
      <c r="C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</row>
    <row r="354" spans="1:128" x14ac:dyDescent="0.25">
      <c r="A354" s="2"/>
      <c r="B354" s="2"/>
      <c r="C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</row>
    <row r="355" spans="1:128" x14ac:dyDescent="0.25">
      <c r="A355" s="2"/>
      <c r="B355" s="2"/>
      <c r="C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</row>
    <row r="356" spans="1:128" x14ac:dyDescent="0.25">
      <c r="A356" s="2"/>
      <c r="B356" s="2"/>
      <c r="C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</row>
    <row r="357" spans="1:128" x14ac:dyDescent="0.25">
      <c r="A357" s="2"/>
      <c r="B357" s="2"/>
      <c r="C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</row>
    <row r="358" spans="1:128" x14ac:dyDescent="0.25">
      <c r="A358" s="2"/>
      <c r="B358" s="2"/>
      <c r="C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</row>
    <row r="359" spans="1:128" x14ac:dyDescent="0.25">
      <c r="A359" s="2"/>
      <c r="B359" s="2"/>
      <c r="C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</row>
    <row r="360" spans="1:128" x14ac:dyDescent="0.25">
      <c r="A360" s="2"/>
      <c r="B360" s="2"/>
      <c r="C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</row>
    <row r="361" spans="1:128" x14ac:dyDescent="0.25">
      <c r="A361" s="2"/>
      <c r="B361" s="2"/>
      <c r="C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</row>
    <row r="362" spans="1:128" x14ac:dyDescent="0.25">
      <c r="A362" s="2"/>
      <c r="B362" s="2"/>
      <c r="C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</row>
    <row r="363" spans="1:128" x14ac:dyDescent="0.25">
      <c r="A363" s="2"/>
      <c r="B363" s="2"/>
      <c r="C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</row>
    <row r="364" spans="1:128" x14ac:dyDescent="0.25">
      <c r="A364" s="2"/>
      <c r="B364" s="2"/>
      <c r="C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</row>
    <row r="365" spans="1:128" x14ac:dyDescent="0.25">
      <c r="A365" s="2"/>
      <c r="B365" s="2"/>
      <c r="C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</row>
    <row r="366" spans="1:128" x14ac:dyDescent="0.25">
      <c r="A366" s="2"/>
      <c r="B366" s="2"/>
      <c r="C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</row>
    <row r="367" spans="1:128" x14ac:dyDescent="0.25">
      <c r="A367" s="2"/>
      <c r="B367" s="2"/>
      <c r="C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</row>
    <row r="368" spans="1:128" x14ac:dyDescent="0.25">
      <c r="A368" s="2"/>
      <c r="B368" s="2"/>
      <c r="C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</row>
    <row r="369" spans="1:128" x14ac:dyDescent="0.25">
      <c r="A369" s="2"/>
      <c r="B369" s="2"/>
      <c r="C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</row>
    <row r="370" spans="1:128" x14ac:dyDescent="0.25">
      <c r="A370" s="2"/>
      <c r="B370" s="2"/>
      <c r="C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</row>
    <row r="371" spans="1:128" x14ac:dyDescent="0.25">
      <c r="A371" s="2"/>
      <c r="B371" s="2"/>
      <c r="C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</row>
    <row r="372" spans="1:128" x14ac:dyDescent="0.25">
      <c r="A372" s="2"/>
      <c r="B372" s="2"/>
      <c r="C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</row>
    <row r="373" spans="1:128" x14ac:dyDescent="0.25">
      <c r="A373" s="2"/>
      <c r="B373" s="2"/>
      <c r="C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</row>
    <row r="374" spans="1:128" x14ac:dyDescent="0.25">
      <c r="A374" s="2"/>
      <c r="B374" s="2"/>
      <c r="C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</row>
    <row r="375" spans="1:128" x14ac:dyDescent="0.25">
      <c r="A375" s="2"/>
      <c r="B375" s="2"/>
      <c r="C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</row>
    <row r="376" spans="1:128" x14ac:dyDescent="0.25">
      <c r="A376" s="2"/>
      <c r="B376" s="2"/>
      <c r="C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</row>
    <row r="377" spans="1:128" x14ac:dyDescent="0.25">
      <c r="A377" s="2"/>
      <c r="B377" s="2"/>
      <c r="C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</row>
    <row r="378" spans="1:128" x14ac:dyDescent="0.25">
      <c r="A378" s="2"/>
      <c r="B378" s="2"/>
      <c r="C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</row>
    <row r="379" spans="1:128" x14ac:dyDescent="0.25">
      <c r="A379" s="2"/>
      <c r="B379" s="2"/>
      <c r="C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</row>
    <row r="380" spans="1:128" x14ac:dyDescent="0.25">
      <c r="A380" s="2"/>
      <c r="B380" s="2"/>
      <c r="C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</row>
    <row r="381" spans="1:128" x14ac:dyDescent="0.25">
      <c r="A381" s="2"/>
      <c r="B381" s="2"/>
      <c r="C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</row>
    <row r="382" spans="1:128" x14ac:dyDescent="0.25">
      <c r="A382" s="2"/>
      <c r="B382" s="2"/>
      <c r="C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</row>
    <row r="383" spans="1:128" x14ac:dyDescent="0.25">
      <c r="A383" s="2"/>
      <c r="B383" s="2"/>
      <c r="C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</row>
    <row r="384" spans="1:128" x14ac:dyDescent="0.25">
      <c r="A384" s="2"/>
      <c r="B384" s="2"/>
      <c r="C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</row>
    <row r="385" spans="1:128" x14ac:dyDescent="0.25">
      <c r="A385" s="2"/>
      <c r="B385" s="2"/>
      <c r="C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</row>
    <row r="386" spans="1:128" x14ac:dyDescent="0.25">
      <c r="A386" s="2"/>
      <c r="B386" s="2"/>
      <c r="C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</row>
    <row r="387" spans="1:128" x14ac:dyDescent="0.25">
      <c r="A387" s="2"/>
      <c r="B387" s="2"/>
      <c r="C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</row>
    <row r="388" spans="1:128" x14ac:dyDescent="0.25">
      <c r="A388" s="2"/>
      <c r="B388" s="2"/>
      <c r="C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</row>
    <row r="389" spans="1:128" x14ac:dyDescent="0.25">
      <c r="A389" s="2"/>
      <c r="B389" s="2"/>
      <c r="C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</row>
    <row r="390" spans="1:128" x14ac:dyDescent="0.25">
      <c r="A390" s="2"/>
      <c r="B390" s="2"/>
      <c r="C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</row>
    <row r="391" spans="1:128" x14ac:dyDescent="0.25">
      <c r="A391" s="2"/>
      <c r="B391" s="2"/>
      <c r="C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</row>
    <row r="392" spans="1:128" x14ac:dyDescent="0.25">
      <c r="A392" s="2"/>
      <c r="B392" s="2"/>
      <c r="C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</row>
    <row r="393" spans="1:128" x14ac:dyDescent="0.25">
      <c r="A393" s="2"/>
      <c r="B393" s="2"/>
      <c r="C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</row>
    <row r="394" spans="1:128" x14ac:dyDescent="0.25">
      <c r="A394" s="2"/>
      <c r="B394" s="2"/>
      <c r="C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</row>
    <row r="395" spans="1:128" x14ac:dyDescent="0.25">
      <c r="A395" s="2"/>
      <c r="B395" s="2"/>
      <c r="C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</row>
    <row r="396" spans="1:128" x14ac:dyDescent="0.25">
      <c r="A396" s="2"/>
      <c r="B396" s="2"/>
      <c r="C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</row>
    <row r="397" spans="1:128" x14ac:dyDescent="0.25">
      <c r="A397" s="2"/>
      <c r="B397" s="2"/>
      <c r="C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</row>
    <row r="398" spans="1:128" x14ac:dyDescent="0.25">
      <c r="A398" s="2"/>
      <c r="B398" s="2"/>
      <c r="C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</row>
    <row r="399" spans="1:128" x14ac:dyDescent="0.25">
      <c r="A399" s="2"/>
      <c r="B399" s="2"/>
      <c r="C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</row>
    <row r="400" spans="1:128" x14ac:dyDescent="0.25">
      <c r="A400" s="2"/>
      <c r="B400" s="2"/>
      <c r="C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</row>
    <row r="401" spans="1:128" x14ac:dyDescent="0.25">
      <c r="A401" s="2"/>
      <c r="B401" s="2"/>
      <c r="C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</row>
    <row r="402" spans="1:128" x14ac:dyDescent="0.25">
      <c r="A402" s="2"/>
      <c r="B402" s="2"/>
      <c r="C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</row>
    <row r="403" spans="1:128" x14ac:dyDescent="0.25">
      <c r="A403" s="2"/>
      <c r="B403" s="2"/>
      <c r="C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</row>
    <row r="404" spans="1:128" x14ac:dyDescent="0.25">
      <c r="A404" s="2"/>
      <c r="B404" s="2"/>
      <c r="C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</row>
    <row r="405" spans="1:128" x14ac:dyDescent="0.25">
      <c r="A405" s="2"/>
      <c r="B405" s="2"/>
      <c r="C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</row>
    <row r="406" spans="1:128" x14ac:dyDescent="0.25">
      <c r="A406" s="2"/>
      <c r="B406" s="2"/>
      <c r="C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</row>
    <row r="407" spans="1:128" x14ac:dyDescent="0.25">
      <c r="A407" s="2"/>
      <c r="B407" s="2"/>
      <c r="C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</row>
    <row r="408" spans="1:128" x14ac:dyDescent="0.25">
      <c r="A408" s="2"/>
      <c r="B408" s="2"/>
      <c r="C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</row>
    <row r="409" spans="1:128" x14ac:dyDescent="0.25">
      <c r="A409" s="2"/>
      <c r="B409" s="2"/>
      <c r="C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</row>
    <row r="410" spans="1:128" x14ac:dyDescent="0.25">
      <c r="A410" s="2"/>
      <c r="B410" s="2"/>
      <c r="C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</row>
    <row r="411" spans="1:128" x14ac:dyDescent="0.25">
      <c r="A411" s="2"/>
      <c r="B411" s="2"/>
      <c r="C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</row>
    <row r="412" spans="1:128" x14ac:dyDescent="0.25">
      <c r="A412" s="2"/>
      <c r="B412" s="2"/>
      <c r="C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</row>
    <row r="413" spans="1:128" x14ac:dyDescent="0.25">
      <c r="A413" s="2"/>
      <c r="B413" s="2"/>
      <c r="C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</row>
    <row r="414" spans="1:128" x14ac:dyDescent="0.25">
      <c r="A414" s="2"/>
      <c r="B414" s="2"/>
      <c r="C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</row>
    <row r="415" spans="1:128" x14ac:dyDescent="0.25">
      <c r="A415" s="2"/>
      <c r="B415" s="2"/>
      <c r="C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</row>
    <row r="416" spans="1:128" x14ac:dyDescent="0.25">
      <c r="A416" s="2"/>
      <c r="B416" s="2"/>
      <c r="C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</row>
    <row r="417" spans="1:128" x14ac:dyDescent="0.25">
      <c r="A417" s="2"/>
      <c r="B417" s="2"/>
      <c r="C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</row>
    <row r="418" spans="1:128" x14ac:dyDescent="0.25">
      <c r="A418" s="2"/>
      <c r="B418" s="2"/>
      <c r="C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</row>
    <row r="419" spans="1:128" x14ac:dyDescent="0.25">
      <c r="A419" s="2"/>
      <c r="B419" s="2"/>
      <c r="C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</row>
    <row r="420" spans="1:128" x14ac:dyDescent="0.25">
      <c r="A420" s="2"/>
      <c r="B420" s="2"/>
      <c r="C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</row>
    <row r="421" spans="1:128" x14ac:dyDescent="0.25">
      <c r="A421" s="2"/>
      <c r="B421" s="2"/>
      <c r="C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</row>
    <row r="422" spans="1:128" x14ac:dyDescent="0.25">
      <c r="A422" s="2"/>
      <c r="B422" s="2"/>
      <c r="C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</row>
    <row r="423" spans="1:128" x14ac:dyDescent="0.25">
      <c r="A423" s="2"/>
      <c r="B423" s="2"/>
      <c r="C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</row>
    <row r="424" spans="1:128" x14ac:dyDescent="0.25">
      <c r="A424" s="2"/>
      <c r="B424" s="2"/>
      <c r="C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</row>
    <row r="425" spans="1:128" x14ac:dyDescent="0.25">
      <c r="A425" s="2"/>
      <c r="B425" s="2"/>
      <c r="C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</row>
    <row r="426" spans="1:128" x14ac:dyDescent="0.25">
      <c r="A426" s="2"/>
      <c r="B426" s="2"/>
      <c r="C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</row>
    <row r="427" spans="1:128" x14ac:dyDescent="0.25">
      <c r="A427" s="2"/>
      <c r="B427" s="2"/>
      <c r="C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</row>
    <row r="428" spans="1:128" x14ac:dyDescent="0.25">
      <c r="A428" s="2"/>
      <c r="B428" s="2"/>
      <c r="C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</row>
    <row r="429" spans="1:128" x14ac:dyDescent="0.25">
      <c r="A429" s="2"/>
      <c r="B429" s="2"/>
      <c r="C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</row>
    <row r="430" spans="1:128" x14ac:dyDescent="0.25">
      <c r="A430" s="2"/>
      <c r="B430" s="2"/>
      <c r="C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</row>
    <row r="431" spans="1:128" x14ac:dyDescent="0.25">
      <c r="A431" s="2"/>
      <c r="B431" s="2"/>
      <c r="C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</row>
    <row r="432" spans="1:128" x14ac:dyDescent="0.25">
      <c r="A432" s="2"/>
      <c r="B432" s="2"/>
      <c r="C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</row>
    <row r="433" spans="1:128" x14ac:dyDescent="0.25">
      <c r="A433" s="2"/>
      <c r="B433" s="2"/>
      <c r="C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</row>
    <row r="434" spans="1:128" x14ac:dyDescent="0.25">
      <c r="A434" s="2"/>
      <c r="B434" s="2"/>
      <c r="C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</row>
    <row r="435" spans="1:128" x14ac:dyDescent="0.25">
      <c r="A435" s="2"/>
      <c r="B435" s="2"/>
      <c r="C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</row>
    <row r="436" spans="1:128" x14ac:dyDescent="0.25">
      <c r="A436" s="2"/>
      <c r="B436" s="2"/>
      <c r="C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</row>
    <row r="437" spans="1:128" x14ac:dyDescent="0.25">
      <c r="A437" s="2"/>
      <c r="B437" s="2"/>
      <c r="C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</row>
    <row r="438" spans="1:128" x14ac:dyDescent="0.25">
      <c r="A438" s="2"/>
      <c r="B438" s="2"/>
      <c r="C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</row>
    <row r="439" spans="1:128" x14ac:dyDescent="0.25">
      <c r="A439" s="2"/>
      <c r="B439" s="2"/>
      <c r="C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</row>
    <row r="440" spans="1:128" x14ac:dyDescent="0.25">
      <c r="A440" s="2"/>
      <c r="B440" s="2"/>
      <c r="C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</row>
    <row r="441" spans="1:128" x14ac:dyDescent="0.25">
      <c r="A441" s="2"/>
      <c r="B441" s="2"/>
      <c r="C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</row>
    <row r="442" spans="1:128" x14ac:dyDescent="0.25">
      <c r="A442" s="2"/>
      <c r="B442" s="2"/>
      <c r="C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</row>
    <row r="443" spans="1:128" x14ac:dyDescent="0.25">
      <c r="A443" s="2"/>
      <c r="B443" s="2"/>
      <c r="C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</row>
    <row r="444" spans="1:128" x14ac:dyDescent="0.25">
      <c r="A444" s="2"/>
      <c r="B444" s="2"/>
      <c r="C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</row>
    <row r="445" spans="1:128" x14ac:dyDescent="0.25">
      <c r="A445" s="2"/>
      <c r="B445" s="2"/>
      <c r="C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</row>
    <row r="446" spans="1:128" x14ac:dyDescent="0.25">
      <c r="A446" s="2"/>
      <c r="B446" s="2"/>
      <c r="C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</row>
    <row r="447" spans="1:128" x14ac:dyDescent="0.25">
      <c r="A447" s="2"/>
      <c r="B447" s="2"/>
      <c r="C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</row>
    <row r="448" spans="1:128" x14ac:dyDescent="0.25">
      <c r="A448" s="2"/>
      <c r="B448" s="2"/>
      <c r="C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</row>
    <row r="449" spans="1:128" x14ac:dyDescent="0.25">
      <c r="A449" s="2"/>
      <c r="B449" s="2"/>
      <c r="C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</row>
    <row r="450" spans="1:128" x14ac:dyDescent="0.25">
      <c r="A450" s="2"/>
      <c r="B450" s="2"/>
      <c r="C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</row>
    <row r="451" spans="1:128" x14ac:dyDescent="0.25">
      <c r="A451" s="2"/>
      <c r="B451" s="2"/>
      <c r="C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</row>
    <row r="452" spans="1:128" x14ac:dyDescent="0.25">
      <c r="A452" s="2"/>
      <c r="B452" s="2"/>
      <c r="C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</row>
    <row r="453" spans="1:128" x14ac:dyDescent="0.25">
      <c r="A453" s="2"/>
      <c r="B453" s="2"/>
      <c r="C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</row>
    <row r="454" spans="1:128" x14ac:dyDescent="0.25">
      <c r="A454" s="2"/>
      <c r="B454" s="2"/>
      <c r="C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</row>
    <row r="455" spans="1:128" x14ac:dyDescent="0.25">
      <c r="A455" s="2"/>
      <c r="B455" s="2"/>
      <c r="C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</row>
    <row r="456" spans="1:128" x14ac:dyDescent="0.25">
      <c r="A456" s="2"/>
      <c r="B456" s="2"/>
      <c r="C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</row>
    <row r="457" spans="1:128" x14ac:dyDescent="0.25">
      <c r="A457" s="2"/>
      <c r="B457" s="2"/>
      <c r="C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</row>
    <row r="458" spans="1:128" x14ac:dyDescent="0.25">
      <c r="A458" s="2"/>
      <c r="B458" s="2"/>
      <c r="C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</row>
    <row r="459" spans="1:128" x14ac:dyDescent="0.25">
      <c r="A459" s="2"/>
      <c r="B459" s="2"/>
      <c r="C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</row>
    <row r="460" spans="1:128" x14ac:dyDescent="0.25">
      <c r="A460" s="2"/>
      <c r="B460" s="2"/>
      <c r="C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</row>
    <row r="461" spans="1:128" x14ac:dyDescent="0.25">
      <c r="A461" s="2"/>
      <c r="B461" s="2"/>
      <c r="C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</row>
    <row r="462" spans="1:128" x14ac:dyDescent="0.25">
      <c r="A462" s="2"/>
      <c r="B462" s="2"/>
      <c r="C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</row>
    <row r="463" spans="1:128" x14ac:dyDescent="0.25">
      <c r="A463" s="2"/>
      <c r="B463" s="2"/>
      <c r="C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</row>
    <row r="464" spans="1:128" x14ac:dyDescent="0.25">
      <c r="A464" s="2"/>
      <c r="B464" s="2"/>
      <c r="C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</row>
    <row r="465" spans="1:128" x14ac:dyDescent="0.25">
      <c r="A465" s="2"/>
      <c r="B465" s="2"/>
      <c r="C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</row>
    <row r="466" spans="1:128" x14ac:dyDescent="0.25">
      <c r="A466" s="2"/>
      <c r="B466" s="2"/>
      <c r="C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</row>
    <row r="467" spans="1:128" x14ac:dyDescent="0.25">
      <c r="A467" s="2"/>
      <c r="B467" s="2"/>
      <c r="C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</row>
    <row r="468" spans="1:128" x14ac:dyDescent="0.25">
      <c r="A468" s="2"/>
      <c r="B468" s="2"/>
      <c r="C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</row>
    <row r="469" spans="1:128" x14ac:dyDescent="0.25">
      <c r="A469" s="2"/>
      <c r="B469" s="2"/>
      <c r="C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</row>
    <row r="470" spans="1:128" x14ac:dyDescent="0.25">
      <c r="A470" s="2"/>
      <c r="B470" s="2"/>
      <c r="C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</row>
    <row r="471" spans="1:128" x14ac:dyDescent="0.25">
      <c r="A471" s="2"/>
      <c r="B471" s="2"/>
      <c r="C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</row>
    <row r="472" spans="1:128" x14ac:dyDescent="0.25">
      <c r="A472" s="2"/>
      <c r="B472" s="2"/>
      <c r="C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</row>
    <row r="473" spans="1:128" x14ac:dyDescent="0.25">
      <c r="A473" s="2"/>
      <c r="B473" s="2"/>
      <c r="C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</row>
    <row r="474" spans="1:128" x14ac:dyDescent="0.25">
      <c r="A474" s="2"/>
      <c r="B474" s="2"/>
      <c r="C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</row>
    <row r="475" spans="1:128" x14ac:dyDescent="0.25">
      <c r="A475" s="2"/>
      <c r="B475" s="2"/>
      <c r="C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</row>
    <row r="476" spans="1:128" x14ac:dyDescent="0.25">
      <c r="A476" s="2"/>
      <c r="B476" s="2"/>
      <c r="C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</row>
    <row r="477" spans="1:128" x14ac:dyDescent="0.25">
      <c r="A477" s="2"/>
      <c r="B477" s="2"/>
      <c r="C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</row>
    <row r="478" spans="1:128" x14ac:dyDescent="0.25">
      <c r="A478" s="2"/>
      <c r="B478" s="2"/>
      <c r="C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</row>
    <row r="479" spans="1:128" x14ac:dyDescent="0.25">
      <c r="A479" s="2"/>
      <c r="B479" s="2"/>
      <c r="C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</row>
    <row r="480" spans="1:128" x14ac:dyDescent="0.25">
      <c r="A480" s="2"/>
      <c r="B480" s="2"/>
      <c r="C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</row>
    <row r="481" spans="1:128" x14ac:dyDescent="0.25">
      <c r="A481" s="2"/>
      <c r="B481" s="2"/>
      <c r="C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</row>
    <row r="482" spans="1:128" x14ac:dyDescent="0.25">
      <c r="A482" s="2"/>
      <c r="B482" s="2"/>
      <c r="C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</row>
    <row r="483" spans="1:128" x14ac:dyDescent="0.25">
      <c r="A483" s="2"/>
      <c r="B483" s="2"/>
      <c r="C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</row>
    <row r="484" spans="1:128" x14ac:dyDescent="0.25">
      <c r="A484" s="2"/>
      <c r="B484" s="2"/>
      <c r="C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</row>
    <row r="485" spans="1:128" x14ac:dyDescent="0.25">
      <c r="A485" s="2"/>
      <c r="B485" s="2"/>
      <c r="C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</row>
    <row r="486" spans="1:128" x14ac:dyDescent="0.25">
      <c r="A486" s="2"/>
      <c r="B486" s="2"/>
      <c r="C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</row>
    <row r="487" spans="1:128" x14ac:dyDescent="0.25">
      <c r="A487" s="2"/>
      <c r="B487" s="2"/>
      <c r="C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</row>
    <row r="488" spans="1:128" x14ac:dyDescent="0.25">
      <c r="A488" s="2"/>
      <c r="B488" s="2"/>
      <c r="C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</row>
    <row r="489" spans="1:128" x14ac:dyDescent="0.25">
      <c r="A489" s="2"/>
      <c r="B489" s="2"/>
      <c r="C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</row>
    <row r="490" spans="1:128" x14ac:dyDescent="0.25">
      <c r="A490" s="2"/>
      <c r="B490" s="2"/>
      <c r="C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</row>
    <row r="491" spans="1:128" x14ac:dyDescent="0.25">
      <c r="A491" s="2"/>
      <c r="B491" s="2"/>
      <c r="C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</row>
    <row r="492" spans="1:128" x14ac:dyDescent="0.25">
      <c r="A492" s="2"/>
      <c r="B492" s="2"/>
      <c r="C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</row>
    <row r="493" spans="1:128" x14ac:dyDescent="0.25">
      <c r="A493" s="2"/>
      <c r="B493" s="2"/>
      <c r="C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</row>
    <row r="494" spans="1:128" x14ac:dyDescent="0.25">
      <c r="A494" s="2"/>
      <c r="B494" s="2"/>
      <c r="C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</row>
    <row r="495" spans="1:128" x14ac:dyDescent="0.25">
      <c r="A495" s="2"/>
      <c r="B495" s="2"/>
      <c r="C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</row>
    <row r="496" spans="1:128" x14ac:dyDescent="0.25">
      <c r="A496" s="2"/>
      <c r="B496" s="2"/>
      <c r="C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</row>
    <row r="497" spans="1:128" x14ac:dyDescent="0.25">
      <c r="A497" s="2"/>
      <c r="B497" s="2"/>
      <c r="C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</row>
    <row r="498" spans="1:128" x14ac:dyDescent="0.25">
      <c r="A498" s="2"/>
      <c r="B498" s="2"/>
      <c r="C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</row>
    <row r="499" spans="1:128" x14ac:dyDescent="0.25">
      <c r="A499" s="2"/>
      <c r="B499" s="2"/>
      <c r="C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</row>
    <row r="500" spans="1:128" x14ac:dyDescent="0.25">
      <c r="A500" s="2"/>
      <c r="B500" s="2"/>
      <c r="C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</row>
    <row r="501" spans="1:128" x14ac:dyDescent="0.25">
      <c r="A501" s="2"/>
      <c r="B501" s="2"/>
      <c r="C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</row>
    <row r="502" spans="1:128" x14ac:dyDescent="0.25">
      <c r="A502" s="2"/>
      <c r="B502" s="2"/>
      <c r="C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</row>
    <row r="503" spans="1:128" x14ac:dyDescent="0.25">
      <c r="A503" s="2"/>
      <c r="B503" s="2"/>
      <c r="C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</row>
    <row r="504" spans="1:128" x14ac:dyDescent="0.25">
      <c r="A504" s="2"/>
      <c r="B504" s="2"/>
      <c r="C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</row>
    <row r="505" spans="1:128" x14ac:dyDescent="0.25">
      <c r="A505" s="2"/>
      <c r="B505" s="2"/>
      <c r="C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</row>
    <row r="506" spans="1:128" x14ac:dyDescent="0.25">
      <c r="A506" s="2"/>
      <c r="B506" s="2"/>
      <c r="C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</row>
    <row r="507" spans="1:128" x14ac:dyDescent="0.25">
      <c r="A507" s="2"/>
      <c r="B507" s="2"/>
      <c r="C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</row>
    <row r="508" spans="1:128" x14ac:dyDescent="0.25">
      <c r="A508" s="2"/>
      <c r="B508" s="2"/>
      <c r="C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</row>
    <row r="509" spans="1:128" x14ac:dyDescent="0.25">
      <c r="A509" s="2"/>
      <c r="B509" s="2"/>
      <c r="C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</row>
    <row r="510" spans="1:128" x14ac:dyDescent="0.25">
      <c r="A510" s="2"/>
      <c r="B510" s="2"/>
      <c r="C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</row>
    <row r="511" spans="1:128" x14ac:dyDescent="0.25">
      <c r="A511" s="2"/>
      <c r="B511" s="2"/>
      <c r="C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</row>
    <row r="512" spans="1:128" x14ac:dyDescent="0.25">
      <c r="A512" s="2"/>
      <c r="B512" s="2"/>
      <c r="C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</row>
    <row r="513" spans="1:128" x14ac:dyDescent="0.25">
      <c r="A513" s="2"/>
      <c r="B513" s="2"/>
      <c r="C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</row>
    <row r="514" spans="1:128" x14ac:dyDescent="0.25">
      <c r="A514" s="2"/>
      <c r="B514" s="2"/>
      <c r="C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</row>
    <row r="515" spans="1:128" x14ac:dyDescent="0.25">
      <c r="A515" s="2"/>
      <c r="B515" s="2"/>
      <c r="C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</row>
    <row r="516" spans="1:128" x14ac:dyDescent="0.25">
      <c r="A516" s="2"/>
      <c r="B516" s="2"/>
      <c r="C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</row>
    <row r="517" spans="1:128" x14ac:dyDescent="0.25">
      <c r="A517" s="2"/>
      <c r="B517" s="2"/>
      <c r="C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</row>
    <row r="518" spans="1:128" x14ac:dyDescent="0.25">
      <c r="A518" s="2"/>
      <c r="B518" s="2"/>
      <c r="C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</row>
    <row r="519" spans="1:128" x14ac:dyDescent="0.25">
      <c r="A519" s="2"/>
      <c r="B519" s="2"/>
      <c r="C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</row>
    <row r="520" spans="1:128" x14ac:dyDescent="0.25">
      <c r="A520" s="2"/>
      <c r="B520" s="2"/>
      <c r="C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</row>
    <row r="521" spans="1:128" x14ac:dyDescent="0.25">
      <c r="A521" s="2"/>
      <c r="B521" s="2"/>
      <c r="C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</row>
    <row r="522" spans="1:128" x14ac:dyDescent="0.25">
      <c r="A522" s="2"/>
      <c r="B522" s="2"/>
      <c r="C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</row>
    <row r="523" spans="1:128" x14ac:dyDescent="0.25">
      <c r="A523" s="2"/>
      <c r="B523" s="2"/>
      <c r="C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</row>
    <row r="524" spans="1:128" x14ac:dyDescent="0.25">
      <c r="A524" s="2"/>
      <c r="B524" s="2"/>
      <c r="C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</row>
    <row r="525" spans="1:128" x14ac:dyDescent="0.25">
      <c r="A525" s="2"/>
      <c r="B525" s="2"/>
      <c r="C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</row>
    <row r="526" spans="1:128" x14ac:dyDescent="0.25">
      <c r="A526" s="2"/>
      <c r="B526" s="2"/>
      <c r="C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</row>
    <row r="527" spans="1:128" x14ac:dyDescent="0.25">
      <c r="A527" s="2"/>
      <c r="B527" s="2"/>
      <c r="C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</row>
    <row r="528" spans="1:128" x14ac:dyDescent="0.25">
      <c r="A528" s="2"/>
      <c r="B528" s="2"/>
      <c r="C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</row>
    <row r="529" spans="1:128" x14ac:dyDescent="0.25">
      <c r="A529" s="2"/>
      <c r="B529" s="2"/>
      <c r="C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</row>
    <row r="530" spans="1:128" x14ac:dyDescent="0.25">
      <c r="A530" s="2"/>
      <c r="B530" s="2"/>
      <c r="C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</row>
    <row r="531" spans="1:128" x14ac:dyDescent="0.25">
      <c r="A531" s="2"/>
      <c r="B531" s="2"/>
      <c r="C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</row>
    <row r="532" spans="1:128" x14ac:dyDescent="0.25">
      <c r="A532" s="2"/>
      <c r="B532" s="2"/>
      <c r="C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</row>
    <row r="533" spans="1:128" x14ac:dyDescent="0.25">
      <c r="A533" s="2"/>
      <c r="B533" s="2"/>
      <c r="C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</row>
    <row r="534" spans="1:128" x14ac:dyDescent="0.25">
      <c r="A534" s="2"/>
      <c r="B534" s="2"/>
      <c r="C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</row>
    <row r="535" spans="1:128" x14ac:dyDescent="0.25">
      <c r="A535" s="2"/>
      <c r="B535" s="2"/>
      <c r="C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</row>
    <row r="536" spans="1:128" x14ac:dyDescent="0.25">
      <c r="A536" s="2"/>
      <c r="B536" s="2"/>
      <c r="C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</row>
    <row r="537" spans="1:128" x14ac:dyDescent="0.25">
      <c r="A537" s="2"/>
      <c r="B537" s="2"/>
      <c r="C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</row>
    <row r="538" spans="1:128" x14ac:dyDescent="0.25">
      <c r="A538" s="2"/>
      <c r="B538" s="2"/>
      <c r="C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</row>
    <row r="539" spans="1:128" x14ac:dyDescent="0.25">
      <c r="A539" s="2"/>
      <c r="B539" s="2"/>
      <c r="C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</row>
    <row r="540" spans="1:128" x14ac:dyDescent="0.25">
      <c r="A540" s="2"/>
      <c r="B540" s="2"/>
      <c r="C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</row>
    <row r="541" spans="1:128" x14ac:dyDescent="0.25">
      <c r="A541" s="2"/>
      <c r="B541" s="2"/>
      <c r="C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</row>
    <row r="542" spans="1:128" x14ac:dyDescent="0.25">
      <c r="A542" s="2"/>
      <c r="B542" s="2"/>
      <c r="C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</row>
    <row r="543" spans="1:128" x14ac:dyDescent="0.25">
      <c r="A543" s="2"/>
      <c r="B543" s="2"/>
      <c r="C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</row>
    <row r="544" spans="1:128" x14ac:dyDescent="0.25">
      <c r="A544" s="2"/>
      <c r="B544" s="2"/>
      <c r="C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</row>
    <row r="545" spans="1:128" x14ac:dyDescent="0.25">
      <c r="A545" s="2"/>
      <c r="B545" s="2"/>
      <c r="C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</row>
    <row r="546" spans="1:128" x14ac:dyDescent="0.25">
      <c r="A546" s="2"/>
      <c r="B546" s="2"/>
      <c r="C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</row>
    <row r="547" spans="1:128" x14ac:dyDescent="0.25">
      <c r="A547" s="2"/>
      <c r="B547" s="2"/>
      <c r="C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</row>
    <row r="548" spans="1:128" x14ac:dyDescent="0.25">
      <c r="A548" s="2"/>
      <c r="B548" s="2"/>
      <c r="C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</row>
    <row r="549" spans="1:128" x14ac:dyDescent="0.25">
      <c r="A549" s="2"/>
      <c r="B549" s="2"/>
      <c r="C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</row>
    <row r="550" spans="1:128" x14ac:dyDescent="0.25">
      <c r="A550" s="2"/>
      <c r="B550" s="2"/>
      <c r="C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</row>
    <row r="551" spans="1:128" x14ac:dyDescent="0.25">
      <c r="A551" s="2"/>
      <c r="B551" s="2"/>
      <c r="C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</row>
    <row r="552" spans="1:128" x14ac:dyDescent="0.25">
      <c r="A552" s="2"/>
      <c r="B552" s="2"/>
      <c r="C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</row>
    <row r="553" spans="1:128" x14ac:dyDescent="0.25">
      <c r="A553" s="2"/>
      <c r="B553" s="2"/>
      <c r="C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</row>
    <row r="554" spans="1:128" x14ac:dyDescent="0.25">
      <c r="A554" s="2"/>
      <c r="B554" s="2"/>
      <c r="C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</row>
    <row r="555" spans="1:128" x14ac:dyDescent="0.25">
      <c r="A555" s="2"/>
      <c r="B555" s="2"/>
      <c r="C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</row>
    <row r="556" spans="1:128" x14ac:dyDescent="0.25">
      <c r="A556" s="2"/>
      <c r="B556" s="2"/>
      <c r="C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</row>
    <row r="557" spans="1:128" x14ac:dyDescent="0.25">
      <c r="A557" s="2"/>
      <c r="B557" s="2"/>
      <c r="C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</row>
    <row r="558" spans="1:128" x14ac:dyDescent="0.25">
      <c r="A558" s="2"/>
      <c r="B558" s="2"/>
      <c r="C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</row>
    <row r="559" spans="1:128" x14ac:dyDescent="0.25">
      <c r="A559" s="2"/>
      <c r="B559" s="2"/>
      <c r="C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</row>
    <row r="560" spans="1:128" x14ac:dyDescent="0.25">
      <c r="A560" s="2"/>
      <c r="B560" s="2"/>
      <c r="C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</row>
    <row r="561" spans="1:128" x14ac:dyDescent="0.25">
      <c r="A561" s="2"/>
      <c r="B561" s="2"/>
      <c r="C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</row>
    <row r="562" spans="1:128" x14ac:dyDescent="0.25">
      <c r="A562" s="2"/>
      <c r="B562" s="2"/>
      <c r="C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</row>
    <row r="563" spans="1:128" x14ac:dyDescent="0.25">
      <c r="A563" s="2"/>
      <c r="B563" s="2"/>
      <c r="C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</row>
    <row r="564" spans="1:128" x14ac:dyDescent="0.25">
      <c r="A564" s="2"/>
      <c r="B564" s="2"/>
      <c r="C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</row>
    <row r="565" spans="1:128" x14ac:dyDescent="0.25">
      <c r="A565" s="2"/>
      <c r="B565" s="2"/>
      <c r="C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</row>
    <row r="566" spans="1:128" x14ac:dyDescent="0.25">
      <c r="A566" s="2"/>
      <c r="B566" s="2"/>
      <c r="C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</row>
    <row r="567" spans="1:128" x14ac:dyDescent="0.25">
      <c r="A567" s="2"/>
      <c r="B567" s="2"/>
      <c r="C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</row>
    <row r="568" spans="1:128" x14ac:dyDescent="0.25">
      <c r="A568" s="2"/>
      <c r="B568" s="2"/>
      <c r="C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</row>
    <row r="569" spans="1:128" x14ac:dyDescent="0.25">
      <c r="A569" s="2"/>
      <c r="B569" s="2"/>
      <c r="C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</row>
    <row r="570" spans="1:128" x14ac:dyDescent="0.25">
      <c r="A570" s="2"/>
      <c r="B570" s="2"/>
      <c r="C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</row>
    <row r="571" spans="1:128" x14ac:dyDescent="0.25">
      <c r="A571" s="2"/>
      <c r="B571" s="2"/>
      <c r="C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</row>
    <row r="572" spans="1:128" x14ac:dyDescent="0.25">
      <c r="A572" s="2"/>
      <c r="B572" s="2"/>
      <c r="C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</row>
    <row r="573" spans="1:128" x14ac:dyDescent="0.25">
      <c r="A573" s="2"/>
      <c r="B573" s="2"/>
      <c r="C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</row>
    <row r="574" spans="1:128" x14ac:dyDescent="0.25">
      <c r="A574" s="2"/>
      <c r="B574" s="2"/>
      <c r="C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</row>
    <row r="575" spans="1:128" x14ac:dyDescent="0.25">
      <c r="A575" s="2"/>
      <c r="B575" s="2"/>
      <c r="C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</row>
    <row r="576" spans="1:128" x14ac:dyDescent="0.25">
      <c r="A576" s="2"/>
      <c r="B576" s="2"/>
      <c r="C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</row>
    <row r="577" spans="1:128" x14ac:dyDescent="0.25">
      <c r="A577" s="2"/>
      <c r="B577" s="2"/>
      <c r="C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</row>
    <row r="578" spans="1:128" x14ac:dyDescent="0.25">
      <c r="A578" s="2"/>
      <c r="B578" s="2"/>
      <c r="C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</row>
    <row r="579" spans="1:128" x14ac:dyDescent="0.25">
      <c r="A579" s="2"/>
      <c r="B579" s="2"/>
      <c r="C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</row>
    <row r="580" spans="1:128" x14ac:dyDescent="0.25">
      <c r="A580" s="2"/>
      <c r="B580" s="2"/>
      <c r="C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</row>
    <row r="581" spans="1:128" x14ac:dyDescent="0.25">
      <c r="A581" s="2"/>
      <c r="B581" s="2"/>
      <c r="C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</row>
    <row r="582" spans="1:128" x14ac:dyDescent="0.25">
      <c r="A582" s="2"/>
      <c r="B582" s="2"/>
      <c r="C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</row>
    <row r="583" spans="1:128" x14ac:dyDescent="0.25">
      <c r="A583" s="2"/>
      <c r="B583" s="2"/>
      <c r="C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</row>
    <row r="584" spans="1:128" x14ac:dyDescent="0.25">
      <c r="A584" s="2"/>
      <c r="B584" s="2"/>
      <c r="C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</row>
    <row r="585" spans="1:128" x14ac:dyDescent="0.25">
      <c r="A585" s="2"/>
      <c r="B585" s="2"/>
      <c r="C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</row>
    <row r="586" spans="1:128" x14ac:dyDescent="0.25">
      <c r="A586" s="2"/>
      <c r="B586" s="2"/>
      <c r="C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</row>
    <row r="587" spans="1:128" x14ac:dyDescent="0.25">
      <c r="A587" s="2"/>
      <c r="B587" s="2"/>
      <c r="C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</row>
    <row r="588" spans="1:128" x14ac:dyDescent="0.25">
      <c r="A588" s="2"/>
      <c r="B588" s="2"/>
      <c r="C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</row>
    <row r="589" spans="1:128" x14ac:dyDescent="0.25">
      <c r="A589" s="2"/>
      <c r="B589" s="2"/>
      <c r="C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</row>
    <row r="590" spans="1:128" x14ac:dyDescent="0.25">
      <c r="A590" s="2"/>
      <c r="B590" s="2"/>
      <c r="C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</row>
    <row r="591" spans="1:128" x14ac:dyDescent="0.25">
      <c r="A591" s="2"/>
      <c r="B591" s="2"/>
      <c r="C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</row>
    <row r="592" spans="1:128" x14ac:dyDescent="0.25">
      <c r="A592" s="2"/>
      <c r="B592" s="2"/>
      <c r="C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</row>
    <row r="593" spans="1:128" x14ac:dyDescent="0.25">
      <c r="A593" s="2"/>
      <c r="B593" s="2"/>
      <c r="C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</row>
    <row r="594" spans="1:128" x14ac:dyDescent="0.25">
      <c r="A594" s="2"/>
      <c r="B594" s="2"/>
      <c r="C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</row>
    <row r="595" spans="1:128" x14ac:dyDescent="0.25">
      <c r="A595" s="2"/>
      <c r="B595" s="2"/>
      <c r="C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</row>
    <row r="596" spans="1:128" x14ac:dyDescent="0.25">
      <c r="A596" s="2"/>
      <c r="B596" s="2"/>
      <c r="C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</row>
    <row r="597" spans="1:128" x14ac:dyDescent="0.25">
      <c r="A597" s="2"/>
      <c r="B597" s="2"/>
      <c r="C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</row>
    <row r="598" spans="1:128" x14ac:dyDescent="0.25">
      <c r="A598" s="2"/>
      <c r="B598" s="2"/>
      <c r="C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</row>
    <row r="599" spans="1:128" x14ac:dyDescent="0.25">
      <c r="A599" s="2"/>
      <c r="B599" s="2"/>
      <c r="C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</row>
    <row r="600" spans="1:128" x14ac:dyDescent="0.25">
      <c r="A600" s="2"/>
      <c r="B600" s="2"/>
      <c r="C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</row>
    <row r="601" spans="1:128" x14ac:dyDescent="0.25">
      <c r="A601" s="2"/>
      <c r="B601" s="2"/>
      <c r="C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</row>
    <row r="602" spans="1:128" x14ac:dyDescent="0.25">
      <c r="A602" s="2"/>
      <c r="B602" s="2"/>
      <c r="C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</row>
    <row r="603" spans="1:128" x14ac:dyDescent="0.25">
      <c r="A603" s="2"/>
      <c r="B603" s="2"/>
      <c r="C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</row>
    <row r="604" spans="1:128" x14ac:dyDescent="0.25">
      <c r="A604" s="2"/>
      <c r="B604" s="2"/>
      <c r="C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</row>
    <row r="605" spans="1:128" x14ac:dyDescent="0.25">
      <c r="A605" s="2"/>
      <c r="B605" s="2"/>
      <c r="C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</row>
    <row r="606" spans="1:128" x14ac:dyDescent="0.25">
      <c r="A606" s="2"/>
      <c r="B606" s="2"/>
      <c r="C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</row>
    <row r="607" spans="1:128" x14ac:dyDescent="0.25">
      <c r="A607" s="2"/>
      <c r="B607" s="2"/>
      <c r="C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</row>
    <row r="608" spans="1:128" x14ac:dyDescent="0.25">
      <c r="A608" s="2"/>
      <c r="B608" s="2"/>
      <c r="C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</row>
    <row r="609" spans="1:128" x14ac:dyDescent="0.25">
      <c r="A609" s="2"/>
      <c r="B609" s="2"/>
      <c r="C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</row>
    <row r="610" spans="1:128" x14ac:dyDescent="0.25">
      <c r="A610" s="2"/>
      <c r="B610" s="2"/>
      <c r="C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</row>
    <row r="611" spans="1:128" x14ac:dyDescent="0.25">
      <c r="A611" s="2"/>
      <c r="B611" s="2"/>
      <c r="C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</row>
    <row r="612" spans="1:128" x14ac:dyDescent="0.25">
      <c r="A612" s="2"/>
      <c r="B612" s="2"/>
      <c r="C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</row>
    <row r="613" spans="1:128" x14ac:dyDescent="0.25">
      <c r="A613" s="2"/>
      <c r="B613" s="2"/>
      <c r="C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</row>
    <row r="614" spans="1:128" x14ac:dyDescent="0.25">
      <c r="A614" s="2"/>
      <c r="B614" s="2"/>
      <c r="C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</row>
    <row r="615" spans="1:128" x14ac:dyDescent="0.25">
      <c r="A615" s="2"/>
      <c r="B615" s="2"/>
      <c r="C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</row>
    <row r="616" spans="1:128" x14ac:dyDescent="0.25">
      <c r="A616" s="2"/>
      <c r="B616" s="2"/>
      <c r="C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</row>
    <row r="617" spans="1:128" x14ac:dyDescent="0.25">
      <c r="A617" s="2"/>
      <c r="B617" s="2"/>
      <c r="C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</row>
    <row r="618" spans="1:128" x14ac:dyDescent="0.25">
      <c r="A618" s="2"/>
      <c r="B618" s="2"/>
      <c r="C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</row>
    <row r="619" spans="1:128" x14ac:dyDescent="0.25">
      <c r="A619" s="2"/>
      <c r="B619" s="2"/>
      <c r="C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</row>
    <row r="620" spans="1:128" x14ac:dyDescent="0.25">
      <c r="A620" s="2"/>
      <c r="B620" s="2"/>
      <c r="C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</row>
    <row r="621" spans="1:128" x14ac:dyDescent="0.25">
      <c r="A621" s="2"/>
      <c r="B621" s="2"/>
      <c r="C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</row>
    <row r="622" spans="1:128" x14ac:dyDescent="0.25">
      <c r="A622" s="2"/>
      <c r="B622" s="2"/>
      <c r="C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</row>
    <row r="623" spans="1:128" x14ac:dyDescent="0.25">
      <c r="A623" s="2"/>
      <c r="B623" s="2"/>
      <c r="C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</row>
    <row r="624" spans="1:128" x14ac:dyDescent="0.25">
      <c r="A624" s="2"/>
      <c r="B624" s="2"/>
      <c r="C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</row>
    <row r="625" spans="1:128" x14ac:dyDescent="0.25">
      <c r="A625" s="2"/>
      <c r="B625" s="2"/>
      <c r="C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</row>
    <row r="626" spans="1:128" x14ac:dyDescent="0.25">
      <c r="A626" s="2"/>
      <c r="B626" s="2"/>
      <c r="C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</row>
    <row r="627" spans="1:128" x14ac:dyDescent="0.25">
      <c r="A627" s="2"/>
      <c r="B627" s="2"/>
      <c r="C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</row>
    <row r="628" spans="1:128" x14ac:dyDescent="0.25">
      <c r="A628" s="2"/>
      <c r="B628" s="2"/>
      <c r="C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</row>
    <row r="629" spans="1:128" x14ac:dyDescent="0.25">
      <c r="A629" s="2"/>
      <c r="B629" s="2"/>
      <c r="C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</row>
    <row r="630" spans="1:128" x14ac:dyDescent="0.25">
      <c r="A630" s="2"/>
      <c r="B630" s="2"/>
      <c r="C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</row>
    <row r="631" spans="1:128" x14ac:dyDescent="0.25">
      <c r="A631" s="2"/>
      <c r="B631" s="2"/>
      <c r="C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</row>
    <row r="632" spans="1:128" x14ac:dyDescent="0.25">
      <c r="A632" s="2"/>
      <c r="B632" s="2"/>
      <c r="C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</row>
    <row r="633" spans="1:128" x14ac:dyDescent="0.25">
      <c r="A633" s="2"/>
      <c r="B633" s="2"/>
      <c r="C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</row>
    <row r="634" spans="1:128" x14ac:dyDescent="0.25">
      <c r="A634" s="2"/>
      <c r="B634" s="2"/>
      <c r="C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</row>
    <row r="635" spans="1:128" x14ac:dyDescent="0.25">
      <c r="A635" s="2"/>
      <c r="B635" s="2"/>
      <c r="C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</row>
    <row r="636" spans="1:128" x14ac:dyDescent="0.25">
      <c r="A636" s="2"/>
      <c r="B636" s="2"/>
      <c r="C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</row>
    <row r="637" spans="1:128" x14ac:dyDescent="0.25">
      <c r="A637" s="2"/>
      <c r="B637" s="2"/>
      <c r="C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</row>
    <row r="638" spans="1:128" x14ac:dyDescent="0.25">
      <c r="A638" s="2"/>
      <c r="B638" s="2"/>
      <c r="C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</row>
    <row r="639" spans="1:128" x14ac:dyDescent="0.25">
      <c r="A639" s="2"/>
      <c r="B639" s="2"/>
      <c r="C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</row>
    <row r="640" spans="1:128" x14ac:dyDescent="0.25">
      <c r="A640" s="2"/>
      <c r="B640" s="2"/>
      <c r="C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</row>
    <row r="641" spans="1:128" x14ac:dyDescent="0.25">
      <c r="A641" s="2"/>
      <c r="B641" s="2"/>
      <c r="C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</row>
    <row r="642" spans="1:128" x14ac:dyDescent="0.25">
      <c r="A642" s="2"/>
      <c r="B642" s="2"/>
      <c r="C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</row>
    <row r="643" spans="1:128" x14ac:dyDescent="0.25">
      <c r="A643" s="2"/>
      <c r="B643" s="2"/>
      <c r="C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</row>
    <row r="644" spans="1:128" x14ac:dyDescent="0.25">
      <c r="A644" s="2"/>
      <c r="B644" s="2"/>
      <c r="C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</row>
    <row r="645" spans="1:128" x14ac:dyDescent="0.25">
      <c r="A645" s="2"/>
      <c r="B645" s="2"/>
      <c r="C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</row>
    <row r="646" spans="1:128" x14ac:dyDescent="0.25">
      <c r="A646" s="2"/>
      <c r="B646" s="2"/>
      <c r="C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</row>
    <row r="647" spans="1:128" x14ac:dyDescent="0.25">
      <c r="A647" s="2"/>
      <c r="B647" s="2"/>
      <c r="C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</row>
    <row r="648" spans="1:128" x14ac:dyDescent="0.25">
      <c r="A648" s="2"/>
      <c r="B648" s="2"/>
      <c r="C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</row>
    <row r="649" spans="1:128" x14ac:dyDescent="0.25">
      <c r="A649" s="2"/>
      <c r="B649" s="2"/>
      <c r="C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</row>
    <row r="650" spans="1:128" x14ac:dyDescent="0.25">
      <c r="A650" s="2"/>
      <c r="B650" s="2"/>
      <c r="C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</row>
    <row r="651" spans="1:128" x14ac:dyDescent="0.25">
      <c r="A651" s="2"/>
      <c r="B651" s="2"/>
      <c r="C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</row>
    <row r="652" spans="1:128" x14ac:dyDescent="0.25">
      <c r="A652" s="2"/>
      <c r="B652" s="2"/>
      <c r="C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</row>
    <row r="653" spans="1:128" x14ac:dyDescent="0.25">
      <c r="A653" s="2"/>
      <c r="B653" s="2"/>
      <c r="C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</row>
    <row r="654" spans="1:128" x14ac:dyDescent="0.25">
      <c r="A654" s="2"/>
      <c r="B654" s="2"/>
      <c r="C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</row>
    <row r="655" spans="1:128" x14ac:dyDescent="0.25">
      <c r="A655" s="2"/>
      <c r="B655" s="2"/>
      <c r="C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</row>
    <row r="656" spans="1:128" x14ac:dyDescent="0.25">
      <c r="A656" s="2"/>
      <c r="B656" s="2"/>
      <c r="C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</row>
    <row r="657" spans="1:128" x14ac:dyDescent="0.25">
      <c r="A657" s="2"/>
      <c r="B657" s="2"/>
      <c r="C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</row>
    <row r="658" spans="1:128" x14ac:dyDescent="0.25">
      <c r="A658" s="2"/>
      <c r="B658" s="2"/>
      <c r="C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</row>
    <row r="659" spans="1:128" x14ac:dyDescent="0.25">
      <c r="A659" s="2"/>
      <c r="B659" s="2"/>
      <c r="C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</row>
    <row r="660" spans="1:128" x14ac:dyDescent="0.25">
      <c r="A660" s="2"/>
      <c r="B660" s="2"/>
      <c r="C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</row>
    <row r="661" spans="1:128" x14ac:dyDescent="0.25">
      <c r="A661" s="2"/>
      <c r="B661" s="2"/>
      <c r="C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</row>
    <row r="662" spans="1:128" x14ac:dyDescent="0.25">
      <c r="A662" s="2"/>
      <c r="B662" s="2"/>
      <c r="C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</row>
    <row r="663" spans="1:128" x14ac:dyDescent="0.25">
      <c r="A663" s="2"/>
      <c r="B663" s="2"/>
      <c r="C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</row>
    <row r="664" spans="1:128" x14ac:dyDescent="0.25">
      <c r="A664" s="2"/>
      <c r="B664" s="2"/>
      <c r="C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</row>
    <row r="665" spans="1:128" x14ac:dyDescent="0.25">
      <c r="A665" s="2"/>
      <c r="B665" s="2"/>
      <c r="C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</row>
    <row r="666" spans="1:128" x14ac:dyDescent="0.25">
      <c r="A666" s="2"/>
      <c r="B666" s="2"/>
      <c r="C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</row>
    <row r="667" spans="1:128" x14ac:dyDescent="0.25">
      <c r="A667" s="2"/>
      <c r="B667" s="2"/>
      <c r="C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</row>
    <row r="668" spans="1:128" x14ac:dyDescent="0.25">
      <c r="A668" s="2"/>
      <c r="B668" s="2"/>
      <c r="C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</row>
    <row r="669" spans="1:128" x14ac:dyDescent="0.25">
      <c r="A669" s="2"/>
      <c r="B669" s="2"/>
      <c r="C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</row>
    <row r="670" spans="1:128" x14ac:dyDescent="0.25">
      <c r="A670" s="2"/>
      <c r="B670" s="2"/>
      <c r="C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</row>
    <row r="671" spans="1:128" x14ac:dyDescent="0.25">
      <c r="A671" s="2"/>
      <c r="B671" s="2"/>
      <c r="C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</row>
    <row r="672" spans="1:128" x14ac:dyDescent="0.25">
      <c r="A672" s="2"/>
      <c r="B672" s="2"/>
      <c r="C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</row>
    <row r="673" spans="1:128" x14ac:dyDescent="0.25">
      <c r="A673" s="2"/>
      <c r="B673" s="2"/>
      <c r="C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</row>
    <row r="674" spans="1:128" x14ac:dyDescent="0.25">
      <c r="A674" s="2"/>
      <c r="B674" s="2"/>
      <c r="C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</row>
    <row r="675" spans="1:128" x14ac:dyDescent="0.25">
      <c r="A675" s="2"/>
      <c r="B675" s="2"/>
      <c r="C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</row>
    <row r="676" spans="1:128" x14ac:dyDescent="0.25">
      <c r="A676" s="2"/>
      <c r="B676" s="2"/>
      <c r="C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</row>
    <row r="677" spans="1:128" x14ac:dyDescent="0.25">
      <c r="A677" s="2"/>
      <c r="B677" s="2"/>
      <c r="C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</row>
    <row r="678" spans="1:128" x14ac:dyDescent="0.25">
      <c r="A678" s="2"/>
      <c r="B678" s="2"/>
      <c r="C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</row>
    <row r="679" spans="1:128" x14ac:dyDescent="0.25">
      <c r="A679" s="2"/>
      <c r="B679" s="2"/>
      <c r="C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</row>
    <row r="680" spans="1:128" x14ac:dyDescent="0.25">
      <c r="A680" s="2"/>
      <c r="B680" s="2"/>
      <c r="C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</row>
    <row r="681" spans="1:128" x14ac:dyDescent="0.25">
      <c r="A681" s="2"/>
      <c r="B681" s="2"/>
      <c r="C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</row>
    <row r="682" spans="1:128" x14ac:dyDescent="0.25">
      <c r="A682" s="2"/>
      <c r="B682" s="2"/>
      <c r="C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</row>
    <row r="683" spans="1:128" x14ac:dyDescent="0.25">
      <c r="A683" s="2"/>
      <c r="B683" s="2"/>
      <c r="C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</row>
    <row r="684" spans="1:128" x14ac:dyDescent="0.25">
      <c r="A684" s="2"/>
      <c r="B684" s="2"/>
      <c r="C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</row>
    <row r="685" spans="1:128" x14ac:dyDescent="0.25">
      <c r="A685" s="2"/>
      <c r="B685" s="2"/>
      <c r="C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</row>
    <row r="686" spans="1:128" x14ac:dyDescent="0.25">
      <c r="A686" s="2"/>
      <c r="B686" s="2"/>
      <c r="C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</row>
    <row r="687" spans="1:128" x14ac:dyDescent="0.25">
      <c r="A687" s="2"/>
      <c r="B687" s="2"/>
      <c r="C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</row>
    <row r="688" spans="1:128" x14ac:dyDescent="0.25">
      <c r="A688" s="2"/>
      <c r="B688" s="2"/>
      <c r="C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</row>
    <row r="689" spans="1:128" x14ac:dyDescent="0.25">
      <c r="A689" s="2"/>
      <c r="B689" s="2"/>
      <c r="C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</row>
    <row r="690" spans="1:128" x14ac:dyDescent="0.25">
      <c r="A690" s="2"/>
      <c r="B690" s="2"/>
      <c r="C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</row>
    <row r="691" spans="1:128" x14ac:dyDescent="0.25">
      <c r="A691" s="2"/>
      <c r="B691" s="2"/>
      <c r="C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</row>
    <row r="692" spans="1:128" x14ac:dyDescent="0.25">
      <c r="A692" s="2"/>
      <c r="B692" s="2"/>
      <c r="C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</row>
    <row r="693" spans="1:128" x14ac:dyDescent="0.25">
      <c r="A693" s="2"/>
      <c r="B693" s="2"/>
      <c r="C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</row>
    <row r="694" spans="1:128" x14ac:dyDescent="0.25">
      <c r="A694" s="2"/>
      <c r="B694" s="2"/>
      <c r="C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</row>
    <row r="695" spans="1:128" x14ac:dyDescent="0.25">
      <c r="A695" s="2"/>
      <c r="B695" s="2"/>
      <c r="C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</row>
    <row r="696" spans="1:128" x14ac:dyDescent="0.25">
      <c r="A696" s="2"/>
      <c r="B696" s="2"/>
      <c r="C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</row>
    <row r="697" spans="1:128" x14ac:dyDescent="0.25">
      <c r="A697" s="2"/>
      <c r="B697" s="2"/>
      <c r="C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</row>
    <row r="698" spans="1:128" x14ac:dyDescent="0.25">
      <c r="A698" s="2"/>
      <c r="B698" s="2"/>
      <c r="C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</row>
    <row r="699" spans="1:128" x14ac:dyDescent="0.25">
      <c r="A699" s="2"/>
      <c r="B699" s="2"/>
      <c r="C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</row>
    <row r="700" spans="1:128" x14ac:dyDescent="0.25">
      <c r="A700" s="2"/>
      <c r="B700" s="2"/>
      <c r="C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</row>
    <row r="701" spans="1:128" x14ac:dyDescent="0.25">
      <c r="A701" s="2"/>
      <c r="B701" s="2"/>
      <c r="C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</row>
    <row r="702" spans="1:128" x14ac:dyDescent="0.25">
      <c r="A702" s="2"/>
      <c r="B702" s="2"/>
      <c r="C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</row>
    <row r="703" spans="1:128" x14ac:dyDescent="0.25">
      <c r="A703" s="2"/>
      <c r="B703" s="2"/>
      <c r="C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</row>
    <row r="704" spans="1:128" x14ac:dyDescent="0.25">
      <c r="A704" s="2"/>
      <c r="B704" s="2"/>
      <c r="C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</row>
    <row r="705" spans="1:128" x14ac:dyDescent="0.25">
      <c r="A705" s="2"/>
      <c r="B705" s="2"/>
      <c r="C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</row>
    <row r="706" spans="1:128" x14ac:dyDescent="0.25">
      <c r="A706" s="2"/>
      <c r="B706" s="2"/>
      <c r="C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</row>
    <row r="707" spans="1:128" x14ac:dyDescent="0.25">
      <c r="A707" s="2"/>
      <c r="B707" s="2"/>
      <c r="C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</row>
    <row r="708" spans="1:128" x14ac:dyDescent="0.25">
      <c r="A708" s="2"/>
      <c r="B708" s="2"/>
      <c r="C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</row>
    <row r="709" spans="1:128" x14ac:dyDescent="0.25">
      <c r="A709" s="2"/>
      <c r="B709" s="2"/>
      <c r="C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</row>
    <row r="710" spans="1:128" x14ac:dyDescent="0.25">
      <c r="A710" s="2"/>
      <c r="B710" s="2"/>
      <c r="C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</row>
    <row r="711" spans="1:128" x14ac:dyDescent="0.25">
      <c r="A711" s="2"/>
      <c r="B711" s="2"/>
      <c r="C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</row>
    <row r="712" spans="1:128" x14ac:dyDescent="0.25">
      <c r="A712" s="2"/>
      <c r="B712" s="2"/>
      <c r="C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</row>
    <row r="713" spans="1:128" x14ac:dyDescent="0.25">
      <c r="A713" s="2"/>
      <c r="B713" s="2"/>
      <c r="C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</row>
    <row r="714" spans="1:128" x14ac:dyDescent="0.25">
      <c r="A714" s="2"/>
      <c r="B714" s="2"/>
      <c r="C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</row>
    <row r="715" spans="1:128" x14ac:dyDescent="0.25">
      <c r="A715" s="2"/>
      <c r="B715" s="2"/>
      <c r="C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</row>
    <row r="716" spans="1:128" x14ac:dyDescent="0.25">
      <c r="A716" s="2"/>
      <c r="B716" s="2"/>
      <c r="C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</row>
    <row r="717" spans="1:128" x14ac:dyDescent="0.25">
      <c r="A717" s="2"/>
      <c r="B717" s="2"/>
      <c r="C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</row>
    <row r="718" spans="1:128" x14ac:dyDescent="0.25">
      <c r="A718" s="2"/>
      <c r="B718" s="2"/>
      <c r="C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</row>
    <row r="719" spans="1:128" x14ac:dyDescent="0.25">
      <c r="A719" s="2"/>
      <c r="B719" s="2"/>
      <c r="C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</row>
    <row r="720" spans="1:128" x14ac:dyDescent="0.25">
      <c r="A720" s="2"/>
      <c r="B720" s="2"/>
      <c r="C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</row>
    <row r="721" spans="1:128" x14ac:dyDescent="0.25">
      <c r="A721" s="2"/>
      <c r="B721" s="2"/>
      <c r="C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</row>
    <row r="722" spans="1:128" x14ac:dyDescent="0.25">
      <c r="A722" s="2"/>
      <c r="B722" s="2"/>
      <c r="C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</row>
    <row r="723" spans="1:128" x14ac:dyDescent="0.25">
      <c r="A723" s="2"/>
      <c r="B723" s="2"/>
      <c r="C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</row>
    <row r="724" spans="1:128" x14ac:dyDescent="0.25">
      <c r="A724" s="2"/>
      <c r="B724" s="2"/>
      <c r="C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</row>
    <row r="725" spans="1:128" x14ac:dyDescent="0.25">
      <c r="A725" s="2"/>
      <c r="B725" s="2"/>
      <c r="C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</row>
    <row r="726" spans="1:128" x14ac:dyDescent="0.25">
      <c r="A726" s="2"/>
      <c r="B726" s="2"/>
      <c r="C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</row>
    <row r="727" spans="1:128" x14ac:dyDescent="0.25">
      <c r="A727" s="2"/>
      <c r="B727" s="2"/>
      <c r="C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</row>
    <row r="728" spans="1:128" x14ac:dyDescent="0.25">
      <c r="A728" s="2"/>
      <c r="B728" s="2"/>
      <c r="C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</row>
    <row r="729" spans="1:128" x14ac:dyDescent="0.25">
      <c r="A729" s="2"/>
      <c r="B729" s="2"/>
      <c r="C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</row>
    <row r="730" spans="1:128" x14ac:dyDescent="0.25">
      <c r="A730" s="2"/>
      <c r="B730" s="2"/>
      <c r="C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</row>
    <row r="731" spans="1:128" x14ac:dyDescent="0.25">
      <c r="A731" s="2"/>
      <c r="B731" s="2"/>
      <c r="C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</row>
    <row r="732" spans="1:128" x14ac:dyDescent="0.25">
      <c r="A732" s="2"/>
      <c r="B732" s="2"/>
      <c r="C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</row>
    <row r="733" spans="1:128" x14ac:dyDescent="0.25">
      <c r="A733" s="2"/>
      <c r="B733" s="2"/>
      <c r="C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</row>
    <row r="734" spans="1:128" x14ac:dyDescent="0.25">
      <c r="A734" s="2"/>
      <c r="B734" s="2"/>
      <c r="C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</row>
    <row r="735" spans="1:128" x14ac:dyDescent="0.25">
      <c r="A735" s="2"/>
      <c r="B735" s="2"/>
      <c r="C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</row>
    <row r="736" spans="1:128" x14ac:dyDescent="0.25">
      <c r="A736" s="2"/>
      <c r="B736" s="2"/>
      <c r="C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</row>
    <row r="737" spans="1:128" x14ac:dyDescent="0.25">
      <c r="A737" s="2"/>
      <c r="B737" s="2"/>
      <c r="C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</row>
    <row r="738" spans="1:128" x14ac:dyDescent="0.25">
      <c r="A738" s="2"/>
      <c r="B738" s="2"/>
      <c r="C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</row>
    <row r="739" spans="1:128" x14ac:dyDescent="0.25">
      <c r="A739" s="2"/>
      <c r="B739" s="2"/>
      <c r="C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</row>
    <row r="740" spans="1:128" x14ac:dyDescent="0.25">
      <c r="A740" s="2"/>
      <c r="B740" s="2"/>
      <c r="C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</row>
    <row r="741" spans="1:128" x14ac:dyDescent="0.25">
      <c r="A741" s="2"/>
      <c r="B741" s="2"/>
      <c r="C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</row>
    <row r="742" spans="1:128" x14ac:dyDescent="0.25">
      <c r="A742" s="2"/>
      <c r="B742" s="2"/>
      <c r="C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</row>
    <row r="743" spans="1:128" x14ac:dyDescent="0.25">
      <c r="A743" s="2"/>
      <c r="B743" s="2"/>
      <c r="C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</row>
    <row r="744" spans="1:128" x14ac:dyDescent="0.25">
      <c r="A744" s="2"/>
      <c r="B744" s="2"/>
      <c r="C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</row>
    <row r="745" spans="1:128" x14ac:dyDescent="0.25">
      <c r="A745" s="2"/>
      <c r="B745" s="2"/>
      <c r="C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</row>
    <row r="746" spans="1:128" x14ac:dyDescent="0.25">
      <c r="A746" s="2"/>
      <c r="B746" s="2"/>
      <c r="C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</row>
    <row r="747" spans="1:128" x14ac:dyDescent="0.25">
      <c r="A747" s="2"/>
      <c r="B747" s="2"/>
      <c r="C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</row>
    <row r="748" spans="1:128" x14ac:dyDescent="0.25">
      <c r="A748" s="2"/>
      <c r="B748" s="2"/>
      <c r="C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</row>
    <row r="749" spans="1:128" x14ac:dyDescent="0.25">
      <c r="A749" s="2"/>
      <c r="B749" s="2"/>
      <c r="C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</row>
    <row r="750" spans="1:128" x14ac:dyDescent="0.25">
      <c r="A750" s="2"/>
      <c r="B750" s="2"/>
      <c r="C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</row>
    <row r="751" spans="1:128" x14ac:dyDescent="0.25">
      <c r="A751" s="2"/>
      <c r="B751" s="2"/>
      <c r="C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</row>
    <row r="752" spans="1:128" x14ac:dyDescent="0.25">
      <c r="A752" s="2"/>
      <c r="B752" s="2"/>
      <c r="C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</row>
    <row r="753" spans="1:128" x14ac:dyDescent="0.25">
      <c r="A753" s="2"/>
      <c r="B753" s="2"/>
      <c r="C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</row>
    <row r="754" spans="1:128" x14ac:dyDescent="0.25">
      <c r="A754" s="2"/>
      <c r="B754" s="2"/>
      <c r="C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</row>
    <row r="755" spans="1:128" x14ac:dyDescent="0.25">
      <c r="A755" s="2"/>
      <c r="B755" s="2"/>
      <c r="C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</row>
    <row r="756" spans="1:128" x14ac:dyDescent="0.25">
      <c r="A756" s="2"/>
      <c r="B756" s="2"/>
      <c r="C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</row>
    <row r="757" spans="1:128" x14ac:dyDescent="0.25">
      <c r="A757" s="2"/>
      <c r="B757" s="2"/>
      <c r="C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</row>
    <row r="758" spans="1:128" x14ac:dyDescent="0.25">
      <c r="A758" s="2"/>
      <c r="B758" s="2"/>
      <c r="C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</row>
    <row r="759" spans="1:128" x14ac:dyDescent="0.25">
      <c r="A759" s="2"/>
      <c r="B759" s="2"/>
      <c r="C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</row>
    <row r="760" spans="1:128" x14ac:dyDescent="0.25">
      <c r="A760" s="2"/>
      <c r="B760" s="2"/>
      <c r="C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</row>
    <row r="761" spans="1:128" x14ac:dyDescent="0.25">
      <c r="A761" s="2"/>
      <c r="B761" s="2"/>
      <c r="C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</row>
    <row r="762" spans="1:128" x14ac:dyDescent="0.25">
      <c r="A762" s="2"/>
      <c r="B762" s="2"/>
      <c r="C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</row>
    <row r="763" spans="1:128" x14ac:dyDescent="0.25">
      <c r="A763" s="2"/>
      <c r="B763" s="2"/>
      <c r="C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</row>
    <row r="764" spans="1:128" x14ac:dyDescent="0.25">
      <c r="A764" s="2"/>
      <c r="B764" s="2"/>
      <c r="C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</row>
    <row r="765" spans="1:128" x14ac:dyDescent="0.25">
      <c r="A765" s="2"/>
      <c r="B765" s="2"/>
      <c r="C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</row>
    <row r="766" spans="1:128" x14ac:dyDescent="0.25">
      <c r="A766" s="2"/>
      <c r="B766" s="2"/>
      <c r="C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</row>
    <row r="767" spans="1:128" x14ac:dyDescent="0.25">
      <c r="A767" s="2"/>
      <c r="B767" s="2"/>
      <c r="C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</row>
    <row r="768" spans="1:128" x14ac:dyDescent="0.25">
      <c r="A768" s="2"/>
      <c r="B768" s="2"/>
      <c r="C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</row>
    <row r="769" spans="1:128" x14ac:dyDescent="0.25">
      <c r="A769" s="2"/>
      <c r="B769" s="2"/>
      <c r="C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</row>
    <row r="770" spans="1:128" x14ac:dyDescent="0.25">
      <c r="A770" s="2"/>
      <c r="B770" s="2"/>
      <c r="C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</row>
    <row r="771" spans="1:128" x14ac:dyDescent="0.25">
      <c r="A771" s="2"/>
      <c r="B771" s="2"/>
      <c r="C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</row>
    <row r="772" spans="1:128" x14ac:dyDescent="0.25">
      <c r="A772" s="2"/>
      <c r="B772" s="2"/>
      <c r="C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</row>
    <row r="773" spans="1:128" x14ac:dyDescent="0.25">
      <c r="A773" s="2"/>
      <c r="B773" s="2"/>
      <c r="C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</row>
    <row r="774" spans="1:128" x14ac:dyDescent="0.25">
      <c r="A774" s="2"/>
      <c r="B774" s="2"/>
      <c r="C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</row>
    <row r="775" spans="1:128" x14ac:dyDescent="0.25">
      <c r="A775" s="2"/>
      <c r="B775" s="2"/>
      <c r="C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</row>
    <row r="776" spans="1:128" x14ac:dyDescent="0.25">
      <c r="A776" s="2"/>
      <c r="B776" s="2"/>
      <c r="C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</row>
    <row r="777" spans="1:128" x14ac:dyDescent="0.25">
      <c r="A777" s="2"/>
      <c r="B777" s="2"/>
      <c r="C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</row>
    <row r="778" spans="1:128" x14ac:dyDescent="0.25">
      <c r="A778" s="2"/>
      <c r="B778" s="2"/>
      <c r="C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</row>
    <row r="779" spans="1:128" x14ac:dyDescent="0.25">
      <c r="A779" s="2"/>
      <c r="B779" s="2"/>
      <c r="C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</row>
    <row r="780" spans="1:128" x14ac:dyDescent="0.25">
      <c r="A780" s="2"/>
      <c r="B780" s="2"/>
      <c r="C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</row>
    <row r="781" spans="1:128" x14ac:dyDescent="0.25">
      <c r="A781" s="2"/>
      <c r="B781" s="2"/>
      <c r="C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</row>
    <row r="782" spans="1:128" x14ac:dyDescent="0.25">
      <c r="A782" s="2"/>
      <c r="B782" s="2"/>
      <c r="C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</row>
    <row r="783" spans="1:128" x14ac:dyDescent="0.25">
      <c r="A783" s="2"/>
      <c r="B783" s="2"/>
      <c r="C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</row>
    <row r="784" spans="1:128" x14ac:dyDescent="0.25">
      <c r="A784" s="2"/>
      <c r="B784" s="2"/>
      <c r="C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</row>
    <row r="785" spans="1:128" x14ac:dyDescent="0.25">
      <c r="A785" s="2"/>
      <c r="B785" s="2"/>
      <c r="C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</row>
    <row r="786" spans="1:128" x14ac:dyDescent="0.25">
      <c r="A786" s="2"/>
      <c r="B786" s="2"/>
      <c r="C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</row>
    <row r="787" spans="1:128" x14ac:dyDescent="0.25">
      <c r="A787" s="2"/>
      <c r="B787" s="2"/>
      <c r="C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</row>
    <row r="788" spans="1:128" x14ac:dyDescent="0.25">
      <c r="A788" s="2"/>
      <c r="B788" s="2"/>
      <c r="C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</row>
    <row r="789" spans="1:128" x14ac:dyDescent="0.25">
      <c r="A789" s="2"/>
      <c r="B789" s="2"/>
      <c r="C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</row>
    <row r="790" spans="1:128" x14ac:dyDescent="0.25">
      <c r="A790" s="2"/>
      <c r="B790" s="2"/>
      <c r="C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</row>
    <row r="791" spans="1:128" x14ac:dyDescent="0.25">
      <c r="A791" s="2"/>
      <c r="B791" s="2"/>
      <c r="C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</row>
    <row r="792" spans="1:128" x14ac:dyDescent="0.25">
      <c r="A792" s="2"/>
      <c r="B792" s="2"/>
      <c r="C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</row>
    <row r="793" spans="1:128" x14ac:dyDescent="0.25">
      <c r="A793" s="2"/>
      <c r="B793" s="2"/>
      <c r="C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</row>
    <row r="794" spans="1:128" x14ac:dyDescent="0.25">
      <c r="A794" s="2"/>
      <c r="B794" s="2"/>
      <c r="C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</row>
    <row r="795" spans="1:128" x14ac:dyDescent="0.25">
      <c r="A795" s="2"/>
      <c r="B795" s="2"/>
      <c r="C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</row>
    <row r="796" spans="1:128" x14ac:dyDescent="0.25">
      <c r="A796" s="2"/>
      <c r="B796" s="2"/>
      <c r="C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</row>
    <row r="797" spans="1:128" x14ac:dyDescent="0.25">
      <c r="A797" s="2"/>
      <c r="B797" s="2"/>
      <c r="C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</row>
    <row r="798" spans="1:128" x14ac:dyDescent="0.25">
      <c r="A798" s="2"/>
      <c r="B798" s="2"/>
      <c r="C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</row>
    <row r="799" spans="1:128" x14ac:dyDescent="0.25">
      <c r="A799" s="2"/>
      <c r="B799" s="2"/>
      <c r="C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</row>
    <row r="800" spans="1:128" x14ac:dyDescent="0.25">
      <c r="A800" s="2"/>
      <c r="B800" s="2"/>
      <c r="C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</row>
    <row r="801" spans="1:128" x14ac:dyDescent="0.25">
      <c r="A801" s="2"/>
      <c r="B801" s="2"/>
      <c r="C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</row>
    <row r="802" spans="1:128" x14ac:dyDescent="0.25">
      <c r="A802" s="2"/>
      <c r="B802" s="2"/>
      <c r="C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</row>
    <row r="803" spans="1:128" x14ac:dyDescent="0.25">
      <c r="A803" s="2"/>
      <c r="B803" s="2"/>
      <c r="C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</row>
    <row r="804" spans="1:128" x14ac:dyDescent="0.25">
      <c r="A804" s="2"/>
      <c r="B804" s="2"/>
      <c r="C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</row>
    <row r="805" spans="1:128" x14ac:dyDescent="0.25">
      <c r="A805" s="2"/>
      <c r="B805" s="2"/>
      <c r="C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</row>
    <row r="806" spans="1:128" x14ac:dyDescent="0.25">
      <c r="A806" s="2"/>
      <c r="B806" s="2"/>
      <c r="C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</row>
    <row r="807" spans="1:128" x14ac:dyDescent="0.25">
      <c r="A807" s="2"/>
      <c r="B807" s="2"/>
      <c r="C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</row>
    <row r="808" spans="1:128" x14ac:dyDescent="0.25">
      <c r="A808" s="2"/>
      <c r="B808" s="2"/>
      <c r="C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</row>
    <row r="809" spans="1:128" x14ac:dyDescent="0.25">
      <c r="A809" s="2"/>
      <c r="B809" s="2"/>
      <c r="C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</row>
    <row r="810" spans="1:128" x14ac:dyDescent="0.25">
      <c r="A810" s="2"/>
      <c r="B810" s="2"/>
      <c r="C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</row>
    <row r="811" spans="1:128" x14ac:dyDescent="0.25">
      <c r="A811" s="2"/>
      <c r="B811" s="2"/>
      <c r="C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</row>
    <row r="812" spans="1:128" x14ac:dyDescent="0.25">
      <c r="A812" s="2"/>
      <c r="B812" s="2"/>
      <c r="C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</row>
    <row r="813" spans="1:128" x14ac:dyDescent="0.25">
      <c r="A813" s="2"/>
      <c r="B813" s="2"/>
      <c r="C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</row>
    <row r="814" spans="1:128" x14ac:dyDescent="0.25">
      <c r="A814" s="2"/>
      <c r="B814" s="2"/>
      <c r="C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</row>
    <row r="815" spans="1:128" x14ac:dyDescent="0.25">
      <c r="A815" s="2"/>
      <c r="B815" s="2"/>
      <c r="C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</row>
    <row r="816" spans="1:128" x14ac:dyDescent="0.25">
      <c r="A816" s="2"/>
      <c r="B816" s="2"/>
      <c r="C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</row>
    <row r="817" spans="1:128" x14ac:dyDescent="0.25">
      <c r="A817" s="2"/>
      <c r="B817" s="2"/>
      <c r="C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</row>
    <row r="818" spans="1:128" x14ac:dyDescent="0.25">
      <c r="A818" s="2"/>
      <c r="B818" s="2"/>
      <c r="C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</row>
    <row r="819" spans="1:128" x14ac:dyDescent="0.25">
      <c r="A819" s="2"/>
      <c r="B819" s="2"/>
      <c r="C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</row>
    <row r="820" spans="1:128" x14ac:dyDescent="0.25">
      <c r="A820" s="2"/>
      <c r="B820" s="2"/>
      <c r="C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</row>
    <row r="821" spans="1:128" x14ac:dyDescent="0.25">
      <c r="A821" s="2"/>
      <c r="B821" s="2"/>
      <c r="C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</row>
    <row r="822" spans="1:128" x14ac:dyDescent="0.25">
      <c r="A822" s="2"/>
      <c r="B822" s="2"/>
      <c r="C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</row>
    <row r="823" spans="1:128" x14ac:dyDescent="0.25">
      <c r="A823" s="2"/>
      <c r="B823" s="2"/>
      <c r="C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</row>
    <row r="824" spans="1:128" x14ac:dyDescent="0.25">
      <c r="A824" s="2"/>
      <c r="B824" s="2"/>
      <c r="C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</row>
    <row r="825" spans="1:128" x14ac:dyDescent="0.25">
      <c r="A825" s="2"/>
      <c r="B825" s="2"/>
      <c r="C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</row>
    <row r="826" spans="1:128" x14ac:dyDescent="0.25">
      <c r="A826" s="2"/>
      <c r="B826" s="2"/>
      <c r="C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</row>
    <row r="827" spans="1:128" x14ac:dyDescent="0.25">
      <c r="A827" s="2"/>
      <c r="B827" s="2"/>
      <c r="C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</row>
    <row r="828" spans="1:128" x14ac:dyDescent="0.25">
      <c r="A828" s="2"/>
      <c r="B828" s="2"/>
      <c r="C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</row>
    <row r="829" spans="1:128" x14ac:dyDescent="0.25">
      <c r="A829" s="2"/>
      <c r="B829" s="2"/>
      <c r="C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</row>
    <row r="830" spans="1:128" x14ac:dyDescent="0.25">
      <c r="A830" s="2"/>
      <c r="B830" s="2"/>
      <c r="C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</row>
    <row r="831" spans="1:128" x14ac:dyDescent="0.25">
      <c r="A831" s="2"/>
      <c r="B831" s="2"/>
      <c r="C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</row>
    <row r="832" spans="1:128" x14ac:dyDescent="0.25">
      <c r="A832" s="2"/>
      <c r="B832" s="2"/>
      <c r="C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</row>
    <row r="833" spans="1:128" x14ac:dyDescent="0.25">
      <c r="A833" s="2"/>
      <c r="B833" s="2"/>
      <c r="C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</row>
    <row r="834" spans="1:128" x14ac:dyDescent="0.25">
      <c r="A834" s="2"/>
      <c r="B834" s="2"/>
      <c r="C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</row>
    <row r="835" spans="1:128" x14ac:dyDescent="0.25">
      <c r="A835" s="2"/>
      <c r="B835" s="2"/>
      <c r="C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</row>
    <row r="836" spans="1:128" x14ac:dyDescent="0.25">
      <c r="A836" s="2"/>
      <c r="B836" s="2"/>
      <c r="C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</row>
    <row r="837" spans="1:128" x14ac:dyDescent="0.25">
      <c r="A837" s="2"/>
      <c r="B837" s="2"/>
      <c r="C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</row>
    <row r="838" spans="1:128" x14ac:dyDescent="0.25">
      <c r="A838" s="2"/>
      <c r="B838" s="2"/>
      <c r="C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</row>
    <row r="839" spans="1:128" x14ac:dyDescent="0.25">
      <c r="A839" s="2"/>
      <c r="B839" s="2"/>
      <c r="C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</row>
    <row r="840" spans="1:128" x14ac:dyDescent="0.25">
      <c r="A840" s="2"/>
      <c r="B840" s="2"/>
      <c r="C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</row>
    <row r="841" spans="1:128" x14ac:dyDescent="0.25">
      <c r="A841" s="2"/>
      <c r="B841" s="2"/>
      <c r="C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</row>
    <row r="842" spans="1:128" x14ac:dyDescent="0.25">
      <c r="A842" s="2"/>
      <c r="B842" s="2"/>
      <c r="C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</row>
    <row r="843" spans="1:128" x14ac:dyDescent="0.25">
      <c r="A843" s="2"/>
      <c r="B843" s="2"/>
      <c r="C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</row>
    <row r="844" spans="1:128" x14ac:dyDescent="0.25">
      <c r="A844" s="2"/>
      <c r="B844" s="2"/>
      <c r="C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</row>
    <row r="845" spans="1:128" x14ac:dyDescent="0.25">
      <c r="A845" s="2"/>
      <c r="B845" s="2"/>
      <c r="C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</row>
    <row r="846" spans="1:128" x14ac:dyDescent="0.25">
      <c r="A846" s="2"/>
      <c r="B846" s="2"/>
      <c r="C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</row>
    <row r="847" spans="1:128" x14ac:dyDescent="0.25">
      <c r="A847" s="2"/>
      <c r="B847" s="2"/>
      <c r="C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</row>
    <row r="848" spans="1:128" x14ac:dyDescent="0.25">
      <c r="A848" s="2"/>
      <c r="B848" s="2"/>
      <c r="C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</row>
    <row r="849" spans="1:128" x14ac:dyDescent="0.25">
      <c r="A849" s="2"/>
      <c r="B849" s="2"/>
      <c r="C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</row>
    <row r="850" spans="1:128" x14ac:dyDescent="0.25">
      <c r="A850" s="2"/>
      <c r="B850" s="2"/>
      <c r="C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</row>
    <row r="851" spans="1:128" x14ac:dyDescent="0.25">
      <c r="A851" s="2"/>
      <c r="B851" s="2"/>
      <c r="C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</row>
    <row r="852" spans="1:128" x14ac:dyDescent="0.25">
      <c r="A852" s="2"/>
      <c r="B852" s="2"/>
      <c r="C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</row>
    <row r="853" spans="1:128" x14ac:dyDescent="0.25">
      <c r="A853" s="2"/>
      <c r="B853" s="2"/>
      <c r="C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</row>
    <row r="854" spans="1:128" x14ac:dyDescent="0.25">
      <c r="A854" s="2"/>
      <c r="B854" s="2"/>
      <c r="C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</row>
    <row r="855" spans="1:128" x14ac:dyDescent="0.25">
      <c r="A855" s="2"/>
      <c r="B855" s="2"/>
      <c r="C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</row>
    <row r="856" spans="1:128" x14ac:dyDescent="0.25">
      <c r="A856" s="2"/>
      <c r="B856" s="2"/>
      <c r="C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</row>
    <row r="857" spans="1:128" x14ac:dyDescent="0.25">
      <c r="A857" s="2"/>
      <c r="B857" s="2"/>
      <c r="C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</row>
    <row r="858" spans="1:128" x14ac:dyDescent="0.25">
      <c r="A858" s="2"/>
      <c r="B858" s="2"/>
      <c r="C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</row>
    <row r="859" spans="1:128" x14ac:dyDescent="0.25">
      <c r="A859" s="2"/>
      <c r="B859" s="2"/>
      <c r="C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</row>
    <row r="860" spans="1:128" x14ac:dyDescent="0.25">
      <c r="A860" s="2"/>
      <c r="B860" s="2"/>
      <c r="C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</row>
    <row r="861" spans="1:128" x14ac:dyDescent="0.25">
      <c r="A861" s="2"/>
      <c r="B861" s="2"/>
      <c r="C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</row>
    <row r="862" spans="1:128" x14ac:dyDescent="0.25">
      <c r="A862" s="2"/>
      <c r="B862" s="2"/>
      <c r="C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</row>
    <row r="863" spans="1:128" x14ac:dyDescent="0.25">
      <c r="A863" s="2"/>
      <c r="B863" s="2"/>
      <c r="C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</row>
    <row r="864" spans="1:128" x14ac:dyDescent="0.25">
      <c r="A864" s="2"/>
      <c r="B864" s="2"/>
      <c r="C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</row>
    <row r="865" spans="1:128" x14ac:dyDescent="0.25">
      <c r="A865" s="2"/>
      <c r="B865" s="2"/>
      <c r="C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</row>
    <row r="866" spans="1:128" x14ac:dyDescent="0.25">
      <c r="A866" s="2"/>
      <c r="B866" s="2"/>
      <c r="C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</row>
    <row r="867" spans="1:128" x14ac:dyDescent="0.25">
      <c r="A867" s="2"/>
      <c r="B867" s="2"/>
      <c r="C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</row>
    <row r="868" spans="1:128" x14ac:dyDescent="0.25">
      <c r="A868" s="2"/>
      <c r="B868" s="2"/>
      <c r="C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</row>
    <row r="869" spans="1:128" x14ac:dyDescent="0.25">
      <c r="A869" s="2"/>
      <c r="B869" s="2"/>
      <c r="C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</row>
    <row r="870" spans="1:128" x14ac:dyDescent="0.25">
      <c r="A870" s="2"/>
      <c r="B870" s="2"/>
      <c r="C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</row>
    <row r="871" spans="1:128" x14ac:dyDescent="0.25">
      <c r="A871" s="2"/>
      <c r="B871" s="2"/>
      <c r="C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</row>
    <row r="872" spans="1:128" x14ac:dyDescent="0.25">
      <c r="A872" s="2"/>
      <c r="B872" s="2"/>
      <c r="C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</row>
    <row r="873" spans="1:128" x14ac:dyDescent="0.25">
      <c r="A873" s="2"/>
      <c r="B873" s="2"/>
      <c r="C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</row>
    <row r="874" spans="1:128" x14ac:dyDescent="0.25">
      <c r="A874" s="2"/>
      <c r="B874" s="2"/>
      <c r="C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</row>
    <row r="875" spans="1:128" x14ac:dyDescent="0.25">
      <c r="A875" s="2"/>
      <c r="B875" s="2"/>
      <c r="C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</row>
    <row r="876" spans="1:128" x14ac:dyDescent="0.25">
      <c r="A876" s="2"/>
      <c r="B876" s="2"/>
      <c r="C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</row>
    <row r="877" spans="1:128" x14ac:dyDescent="0.25">
      <c r="A877" s="2"/>
      <c r="B877" s="2"/>
      <c r="C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</row>
    <row r="878" spans="1:128" x14ac:dyDescent="0.25">
      <c r="A878" s="2"/>
      <c r="B878" s="2"/>
      <c r="C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</row>
    <row r="879" spans="1:128" x14ac:dyDescent="0.25">
      <c r="A879" s="2"/>
      <c r="B879" s="2"/>
      <c r="C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</row>
    <row r="880" spans="1:128" x14ac:dyDescent="0.25">
      <c r="A880" s="2"/>
      <c r="B880" s="2"/>
      <c r="C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</row>
    <row r="881" spans="1:128" x14ac:dyDescent="0.25">
      <c r="A881" s="2"/>
      <c r="B881" s="2"/>
      <c r="C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</row>
    <row r="882" spans="1:128" x14ac:dyDescent="0.25">
      <c r="A882" s="2"/>
      <c r="B882" s="2"/>
      <c r="C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</row>
    <row r="883" spans="1:128" x14ac:dyDescent="0.25">
      <c r="A883" s="2"/>
      <c r="B883" s="2"/>
      <c r="C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</row>
    <row r="884" spans="1:128" x14ac:dyDescent="0.25">
      <c r="A884" s="2"/>
      <c r="B884" s="2"/>
      <c r="C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</row>
    <row r="885" spans="1:128" x14ac:dyDescent="0.25">
      <c r="A885" s="2"/>
      <c r="B885" s="2"/>
      <c r="C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</row>
    <row r="886" spans="1:128" x14ac:dyDescent="0.25">
      <c r="A886" s="2"/>
      <c r="B886" s="2"/>
      <c r="C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</row>
    <row r="887" spans="1:128" x14ac:dyDescent="0.25">
      <c r="A887" s="2"/>
      <c r="B887" s="2"/>
      <c r="C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</row>
    <row r="888" spans="1:128" x14ac:dyDescent="0.25">
      <c r="A888" s="2"/>
      <c r="B888" s="2"/>
      <c r="C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</row>
    <row r="889" spans="1:128" x14ac:dyDescent="0.25">
      <c r="A889" s="2"/>
      <c r="B889" s="2"/>
      <c r="C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</row>
    <row r="890" spans="1:128" x14ac:dyDescent="0.25">
      <c r="A890" s="2"/>
      <c r="B890" s="2"/>
      <c r="C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</row>
    <row r="891" spans="1:128" x14ac:dyDescent="0.25">
      <c r="A891" s="2"/>
      <c r="B891" s="2"/>
      <c r="C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</row>
    <row r="892" spans="1:128" x14ac:dyDescent="0.25">
      <c r="A892" s="2"/>
      <c r="B892" s="2"/>
      <c r="C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</row>
    <row r="893" spans="1:128" x14ac:dyDescent="0.25">
      <c r="A893" s="2"/>
      <c r="B893" s="2"/>
      <c r="C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</row>
    <row r="894" spans="1:128" x14ac:dyDescent="0.25">
      <c r="A894" s="2"/>
      <c r="B894" s="2"/>
      <c r="C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</row>
    <row r="895" spans="1:128" x14ac:dyDescent="0.25">
      <c r="A895" s="2"/>
      <c r="B895" s="2"/>
      <c r="C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</row>
    <row r="896" spans="1:128" x14ac:dyDescent="0.25">
      <c r="A896" s="2"/>
      <c r="B896" s="2"/>
      <c r="C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</row>
    <row r="897" spans="1:128" x14ac:dyDescent="0.25">
      <c r="A897" s="2"/>
      <c r="B897" s="2"/>
      <c r="C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</row>
    <row r="898" spans="1:128" x14ac:dyDescent="0.25">
      <c r="A898" s="2"/>
      <c r="B898" s="2"/>
      <c r="C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</row>
    <row r="899" spans="1:128" x14ac:dyDescent="0.25">
      <c r="A899" s="2"/>
      <c r="B899" s="2"/>
      <c r="C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</row>
    <row r="900" spans="1:128" x14ac:dyDescent="0.25">
      <c r="A900" s="2"/>
      <c r="B900" s="2"/>
      <c r="C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</row>
    <row r="901" spans="1:128" x14ac:dyDescent="0.25">
      <c r="A901" s="2"/>
      <c r="B901" s="2"/>
      <c r="C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</row>
    <row r="902" spans="1:128" x14ac:dyDescent="0.25">
      <c r="A902" s="2"/>
      <c r="B902" s="2"/>
      <c r="C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</row>
    <row r="903" spans="1:128" x14ac:dyDescent="0.25">
      <c r="A903" s="2"/>
      <c r="B903" s="2"/>
      <c r="C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</row>
    <row r="904" spans="1:128" x14ac:dyDescent="0.25">
      <c r="A904" s="2"/>
      <c r="B904" s="2"/>
      <c r="C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</row>
    <row r="905" spans="1:128" x14ac:dyDescent="0.25">
      <c r="A905" s="2"/>
      <c r="B905" s="2"/>
      <c r="C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</row>
    <row r="906" spans="1:128" x14ac:dyDescent="0.25">
      <c r="A906" s="2"/>
      <c r="B906" s="2"/>
      <c r="C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</row>
    <row r="907" spans="1:128" x14ac:dyDescent="0.25">
      <c r="A907" s="2"/>
      <c r="B907" s="2"/>
      <c r="C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</row>
    <row r="908" spans="1:128" x14ac:dyDescent="0.25">
      <c r="A908" s="2"/>
      <c r="B908" s="2"/>
      <c r="C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</row>
    <row r="909" spans="1:128" x14ac:dyDescent="0.25">
      <c r="A909" s="2"/>
      <c r="B909" s="2"/>
      <c r="C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</row>
    <row r="910" spans="1:128" x14ac:dyDescent="0.25">
      <c r="A910" s="2"/>
      <c r="B910" s="2"/>
      <c r="C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</row>
    <row r="911" spans="1:128" x14ac:dyDescent="0.25">
      <c r="A911" s="2"/>
      <c r="B911" s="2"/>
      <c r="C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</row>
    <row r="912" spans="1:128" x14ac:dyDescent="0.25">
      <c r="A912" s="2"/>
      <c r="B912" s="2"/>
      <c r="C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</row>
    <row r="913" spans="1:128" x14ac:dyDescent="0.25">
      <c r="A913" s="2"/>
      <c r="B913" s="2"/>
      <c r="C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</row>
    <row r="914" spans="1:128" x14ac:dyDescent="0.25">
      <c r="A914" s="2"/>
      <c r="B914" s="2"/>
      <c r="C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</row>
    <row r="915" spans="1:128" x14ac:dyDescent="0.25">
      <c r="A915" s="2"/>
      <c r="B915" s="2"/>
      <c r="C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</row>
    <row r="916" spans="1:128" x14ac:dyDescent="0.25">
      <c r="A916" s="2"/>
      <c r="B916" s="2"/>
      <c r="C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</row>
    <row r="917" spans="1:128" x14ac:dyDescent="0.25">
      <c r="A917" s="2"/>
      <c r="B917" s="2"/>
      <c r="C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</row>
    <row r="918" spans="1:128" x14ac:dyDescent="0.25">
      <c r="A918" s="2"/>
      <c r="B918" s="2"/>
      <c r="C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</row>
    <row r="919" spans="1:128" x14ac:dyDescent="0.25">
      <c r="A919" s="2"/>
      <c r="B919" s="2"/>
      <c r="C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</row>
    <row r="920" spans="1:128" x14ac:dyDescent="0.25">
      <c r="A920" s="2"/>
      <c r="B920" s="2"/>
      <c r="C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</row>
    <row r="921" spans="1:128" x14ac:dyDescent="0.25">
      <c r="A921" s="2"/>
      <c r="B921" s="2"/>
      <c r="C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</row>
    <row r="922" spans="1:128" x14ac:dyDescent="0.25">
      <c r="A922" s="2"/>
      <c r="B922" s="2"/>
      <c r="C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</row>
    <row r="923" spans="1:128" x14ac:dyDescent="0.25">
      <c r="A923" s="2"/>
      <c r="B923" s="2"/>
      <c r="C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</row>
    <row r="924" spans="1:128" x14ac:dyDescent="0.25">
      <c r="A924" s="2"/>
      <c r="B924" s="2"/>
      <c r="C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</row>
    <row r="925" spans="1:128" x14ac:dyDescent="0.25">
      <c r="A925" s="2"/>
      <c r="B925" s="2"/>
      <c r="C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</row>
    <row r="926" spans="1:128" x14ac:dyDescent="0.25">
      <c r="A926" s="2"/>
      <c r="B926" s="2"/>
      <c r="C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</row>
    <row r="927" spans="1:128" x14ac:dyDescent="0.25">
      <c r="A927" s="2"/>
      <c r="B927" s="2"/>
      <c r="C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</row>
    <row r="928" spans="1:128" x14ac:dyDescent="0.25">
      <c r="A928" s="2"/>
      <c r="B928" s="2"/>
      <c r="C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</row>
    <row r="929" spans="1:128" x14ac:dyDescent="0.25">
      <c r="A929" s="2"/>
      <c r="B929" s="2"/>
      <c r="C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</row>
    <row r="930" spans="1:128" x14ac:dyDescent="0.25">
      <c r="A930" s="2"/>
      <c r="B930" s="2"/>
      <c r="C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</row>
    <row r="931" spans="1:128" x14ac:dyDescent="0.25">
      <c r="A931" s="2"/>
      <c r="B931" s="2"/>
      <c r="C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</row>
    <row r="932" spans="1:128" x14ac:dyDescent="0.25">
      <c r="A932" s="2"/>
      <c r="B932" s="2"/>
      <c r="C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</row>
    <row r="933" spans="1:128" x14ac:dyDescent="0.25">
      <c r="A933" s="2"/>
      <c r="B933" s="2"/>
      <c r="C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</row>
    <row r="934" spans="1:128" x14ac:dyDescent="0.25">
      <c r="A934" s="2"/>
      <c r="B934" s="2"/>
      <c r="C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</row>
    <row r="935" spans="1:128" x14ac:dyDescent="0.25">
      <c r="A935" s="2"/>
      <c r="B935" s="2"/>
      <c r="C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</row>
    <row r="936" spans="1:128" x14ac:dyDescent="0.25">
      <c r="A936" s="2"/>
      <c r="B936" s="2"/>
      <c r="C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</row>
    <row r="937" spans="1:128" x14ac:dyDescent="0.25">
      <c r="A937" s="2"/>
      <c r="B937" s="2"/>
      <c r="C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</row>
    <row r="938" spans="1:128" x14ac:dyDescent="0.25">
      <c r="A938" s="2"/>
      <c r="B938" s="2"/>
      <c r="C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</row>
    <row r="939" spans="1:128" x14ac:dyDescent="0.25">
      <c r="A939" s="2"/>
      <c r="B939" s="2"/>
      <c r="C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</row>
    <row r="940" spans="1:128" x14ac:dyDescent="0.25">
      <c r="A940" s="2"/>
      <c r="B940" s="2"/>
      <c r="C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</row>
    <row r="941" spans="1:128" x14ac:dyDescent="0.25">
      <c r="A941" s="2"/>
      <c r="B941" s="2"/>
      <c r="C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</row>
    <row r="942" spans="1:128" x14ac:dyDescent="0.25">
      <c r="A942" s="2"/>
      <c r="B942" s="2"/>
      <c r="C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</row>
    <row r="943" spans="1:128" x14ac:dyDescent="0.25">
      <c r="A943" s="2"/>
      <c r="B943" s="2"/>
      <c r="C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</row>
    <row r="944" spans="1:128" x14ac:dyDescent="0.25">
      <c r="A944" s="2"/>
      <c r="B944" s="2"/>
      <c r="C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</row>
    <row r="945" spans="1:128" x14ac:dyDescent="0.25">
      <c r="A945" s="2"/>
      <c r="B945" s="2"/>
      <c r="C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</row>
    <row r="946" spans="1:128" x14ac:dyDescent="0.25">
      <c r="A946" s="2"/>
      <c r="B946" s="2"/>
      <c r="C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</row>
    <row r="947" spans="1:128" x14ac:dyDescent="0.25">
      <c r="A947" s="2"/>
      <c r="B947" s="2"/>
      <c r="C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</row>
    <row r="948" spans="1:128" x14ac:dyDescent="0.25">
      <c r="A948" s="2"/>
      <c r="B948" s="2"/>
      <c r="C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</row>
    <row r="949" spans="1:128" x14ac:dyDescent="0.25">
      <c r="A949" s="2"/>
      <c r="B949" s="2"/>
      <c r="C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</row>
    <row r="950" spans="1:128" x14ac:dyDescent="0.25">
      <c r="A950" s="2"/>
      <c r="B950" s="2"/>
      <c r="C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</row>
    <row r="951" spans="1:128" x14ac:dyDescent="0.25">
      <c r="A951" s="2"/>
      <c r="B951" s="2"/>
      <c r="C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</row>
    <row r="952" spans="1:128" x14ac:dyDescent="0.25">
      <c r="A952" s="2"/>
      <c r="B952" s="2"/>
      <c r="C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</row>
    <row r="953" spans="1:128" x14ac:dyDescent="0.25">
      <c r="A953" s="2"/>
      <c r="B953" s="2"/>
      <c r="C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</row>
    <row r="954" spans="1:128" x14ac:dyDescent="0.25">
      <c r="A954" s="2"/>
      <c r="B954" s="2"/>
      <c r="C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</row>
    <row r="955" spans="1:128" x14ac:dyDescent="0.25">
      <c r="A955" s="2"/>
      <c r="B955" s="2"/>
      <c r="C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</row>
    <row r="956" spans="1:128" x14ac:dyDescent="0.25">
      <c r="A956" s="2"/>
      <c r="B956" s="2"/>
      <c r="C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</row>
    <row r="957" spans="1:128" x14ac:dyDescent="0.25">
      <c r="A957" s="2"/>
      <c r="B957" s="2"/>
      <c r="C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</row>
    <row r="958" spans="1:128" x14ac:dyDescent="0.25">
      <c r="A958" s="2"/>
      <c r="B958" s="2"/>
      <c r="C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</row>
    <row r="959" spans="1:128" x14ac:dyDescent="0.25">
      <c r="A959" s="2"/>
      <c r="B959" s="2"/>
      <c r="C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</row>
    <row r="960" spans="1:128" x14ac:dyDescent="0.25">
      <c r="A960" s="2"/>
      <c r="B960" s="2"/>
      <c r="C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</row>
    <row r="961" spans="1:128" x14ac:dyDescent="0.25">
      <c r="A961" s="2"/>
      <c r="B961" s="2"/>
      <c r="C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</row>
    <row r="962" spans="1:128" x14ac:dyDescent="0.25">
      <c r="A962" s="2"/>
      <c r="B962" s="2"/>
      <c r="C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</row>
    <row r="963" spans="1:128" x14ac:dyDescent="0.25">
      <c r="A963" s="2"/>
      <c r="B963" s="2"/>
      <c r="C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</row>
    <row r="964" spans="1:128" x14ac:dyDescent="0.25">
      <c r="A964" s="2"/>
      <c r="B964" s="2"/>
      <c r="C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</row>
    <row r="965" spans="1:128" x14ac:dyDescent="0.25">
      <c r="A965" s="2"/>
      <c r="B965" s="2"/>
      <c r="C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</row>
    <row r="966" spans="1:128" x14ac:dyDescent="0.25">
      <c r="A966" s="2"/>
      <c r="B966" s="2"/>
      <c r="C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</row>
    <row r="967" spans="1:128" x14ac:dyDescent="0.25">
      <c r="A967" s="2"/>
      <c r="B967" s="2"/>
      <c r="C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</row>
    <row r="968" spans="1:128" x14ac:dyDescent="0.25">
      <c r="A968" s="2"/>
      <c r="B968" s="2"/>
      <c r="C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</row>
    <row r="969" spans="1:128" x14ac:dyDescent="0.25">
      <c r="A969" s="2"/>
      <c r="B969" s="2"/>
      <c r="C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</row>
    <row r="970" spans="1:128" x14ac:dyDescent="0.25">
      <c r="A970" s="2"/>
      <c r="B970" s="2"/>
      <c r="C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</row>
    <row r="971" spans="1:128" x14ac:dyDescent="0.25">
      <c r="A971" s="2"/>
      <c r="B971" s="2"/>
      <c r="C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</row>
    <row r="972" spans="1:128" x14ac:dyDescent="0.25">
      <c r="A972" s="2"/>
      <c r="B972" s="2"/>
      <c r="C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</row>
    <row r="973" spans="1:128" x14ac:dyDescent="0.25">
      <c r="A973" s="2"/>
      <c r="B973" s="2"/>
      <c r="C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</row>
    <row r="974" spans="1:128" x14ac:dyDescent="0.25">
      <c r="A974" s="2"/>
      <c r="B974" s="2"/>
      <c r="C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</row>
    <row r="975" spans="1:128" x14ac:dyDescent="0.25">
      <c r="A975" s="2"/>
      <c r="B975" s="2"/>
      <c r="C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</row>
    <row r="976" spans="1:128" x14ac:dyDescent="0.25">
      <c r="A976" s="2"/>
      <c r="B976" s="2"/>
      <c r="C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</row>
    <row r="977" spans="1:128" x14ac:dyDescent="0.25">
      <c r="A977" s="2"/>
      <c r="B977" s="2"/>
      <c r="C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</row>
    <row r="978" spans="1:128" x14ac:dyDescent="0.25">
      <c r="A978" s="2"/>
      <c r="B978" s="2"/>
      <c r="C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</row>
    <row r="979" spans="1:128" x14ac:dyDescent="0.25">
      <c r="A979" s="2"/>
      <c r="B979" s="2"/>
      <c r="C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</row>
    <row r="980" spans="1:128" x14ac:dyDescent="0.25">
      <c r="A980" s="2"/>
      <c r="B980" s="2"/>
      <c r="C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</row>
    <row r="981" spans="1:128" x14ac:dyDescent="0.25">
      <c r="A981" s="2"/>
      <c r="B981" s="2"/>
      <c r="C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</row>
    <row r="982" spans="1:128" x14ac:dyDescent="0.25">
      <c r="A982" s="2"/>
      <c r="B982" s="2"/>
      <c r="C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</row>
    <row r="983" spans="1:128" x14ac:dyDescent="0.25">
      <c r="A983" s="2"/>
      <c r="B983" s="2"/>
      <c r="C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</row>
    <row r="984" spans="1:128" x14ac:dyDescent="0.25">
      <c r="A984" s="2"/>
      <c r="B984" s="2"/>
      <c r="C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</row>
    <row r="985" spans="1:128" x14ac:dyDescent="0.25">
      <c r="A985" s="2"/>
      <c r="B985" s="2"/>
      <c r="C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</row>
    <row r="986" spans="1:128" x14ac:dyDescent="0.25">
      <c r="A986" s="2"/>
      <c r="B986" s="2"/>
      <c r="C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</row>
    <row r="987" spans="1:128" x14ac:dyDescent="0.25">
      <c r="A987" s="2"/>
      <c r="B987" s="2"/>
      <c r="C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</row>
    <row r="988" spans="1:128" x14ac:dyDescent="0.25">
      <c r="A988" s="2"/>
      <c r="B988" s="2"/>
      <c r="C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</row>
    <row r="989" spans="1:128" x14ac:dyDescent="0.25">
      <c r="A989" s="2"/>
      <c r="B989" s="2"/>
      <c r="C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</row>
    <row r="990" spans="1:128" x14ac:dyDescent="0.25">
      <c r="A990" s="2"/>
      <c r="B990" s="2"/>
      <c r="C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</row>
    <row r="991" spans="1:128" x14ac:dyDescent="0.25">
      <c r="A991" s="2"/>
      <c r="B991" s="2"/>
      <c r="C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</row>
    <row r="992" spans="1:128" x14ac:dyDescent="0.25">
      <c r="A992" s="2"/>
      <c r="B992" s="2"/>
      <c r="C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</row>
    <row r="993" spans="1:128" x14ac:dyDescent="0.25">
      <c r="A993" s="2"/>
      <c r="B993" s="2"/>
      <c r="C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</row>
    <row r="994" spans="1:128" x14ac:dyDescent="0.25">
      <c r="A994" s="2"/>
      <c r="B994" s="2"/>
      <c r="C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</row>
    <row r="995" spans="1:128" x14ac:dyDescent="0.25">
      <c r="A995" s="2"/>
      <c r="B995" s="2"/>
      <c r="C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</row>
    <row r="996" spans="1:128" x14ac:dyDescent="0.25">
      <c r="A996" s="2"/>
      <c r="B996" s="2"/>
      <c r="C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</row>
    <row r="997" spans="1:128" x14ac:dyDescent="0.25">
      <c r="A997" s="2"/>
      <c r="B997" s="2"/>
      <c r="C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</row>
    <row r="998" spans="1:128" x14ac:dyDescent="0.25">
      <c r="A998" s="2"/>
      <c r="B998" s="2"/>
      <c r="C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</row>
    <row r="999" spans="1:128" x14ac:dyDescent="0.25">
      <c r="A999" s="2"/>
      <c r="B999" s="2"/>
      <c r="C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</row>
    <row r="1000" spans="1:128" x14ac:dyDescent="0.25">
      <c r="A1000" s="2"/>
      <c r="B1000" s="2"/>
      <c r="C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</row>
    <row r="1001" spans="1:128" x14ac:dyDescent="0.25">
      <c r="A1001" s="2"/>
      <c r="B1001" s="2"/>
      <c r="C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</row>
    <row r="1002" spans="1:128" x14ac:dyDescent="0.25">
      <c r="A1002" s="2"/>
      <c r="B1002" s="2"/>
      <c r="C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</row>
    <row r="1003" spans="1:128" x14ac:dyDescent="0.25">
      <c r="A1003" s="2"/>
      <c r="B1003" s="2"/>
      <c r="C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</row>
    <row r="1004" spans="1:128" x14ac:dyDescent="0.25">
      <c r="A1004" s="2"/>
      <c r="B1004" s="2"/>
      <c r="C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</row>
    <row r="1005" spans="1:128" x14ac:dyDescent="0.25">
      <c r="A1005" s="2"/>
      <c r="B1005" s="2"/>
      <c r="C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</row>
    <row r="1006" spans="1:128" x14ac:dyDescent="0.25">
      <c r="A1006" s="2"/>
      <c r="B1006" s="2"/>
      <c r="C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</row>
    <row r="1007" spans="1:128" x14ac:dyDescent="0.25">
      <c r="A1007" s="2"/>
      <c r="B1007" s="2"/>
      <c r="C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</row>
    <row r="1008" spans="1:128" x14ac:dyDescent="0.25">
      <c r="A1008" s="2"/>
      <c r="B1008" s="2"/>
      <c r="C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</row>
    <row r="1009" spans="1:128" x14ac:dyDescent="0.25">
      <c r="A1009" s="2"/>
      <c r="B1009" s="2"/>
      <c r="C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</row>
    <row r="1010" spans="1:128" x14ac:dyDescent="0.25">
      <c r="A1010" s="2"/>
      <c r="B1010" s="2"/>
      <c r="C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</row>
    <row r="1011" spans="1:128" x14ac:dyDescent="0.25">
      <c r="A1011" s="2"/>
      <c r="B1011" s="2"/>
      <c r="C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</row>
    <row r="1012" spans="1:128" x14ac:dyDescent="0.25">
      <c r="A1012" s="2"/>
      <c r="B1012" s="2"/>
      <c r="C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</row>
    <row r="1013" spans="1:128" x14ac:dyDescent="0.25">
      <c r="A1013" s="2"/>
      <c r="B1013" s="2"/>
      <c r="C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</row>
    <row r="1014" spans="1:128" x14ac:dyDescent="0.25">
      <c r="A1014" s="2"/>
      <c r="B1014" s="2"/>
      <c r="C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</row>
    <row r="1015" spans="1:128" x14ac:dyDescent="0.25">
      <c r="A1015" s="2"/>
      <c r="B1015" s="2"/>
      <c r="C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</row>
    <row r="1016" spans="1:128" x14ac:dyDescent="0.25">
      <c r="A1016" s="2"/>
      <c r="B1016" s="2"/>
      <c r="C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</row>
    <row r="1017" spans="1:128" x14ac:dyDescent="0.25">
      <c r="A1017" s="2"/>
      <c r="B1017" s="2"/>
      <c r="C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</row>
    <row r="1018" spans="1:128" x14ac:dyDescent="0.25">
      <c r="A1018" s="2"/>
      <c r="B1018" s="2"/>
      <c r="C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</row>
    <row r="1019" spans="1:128" x14ac:dyDescent="0.25">
      <c r="A1019" s="2"/>
      <c r="B1019" s="2"/>
      <c r="C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</row>
    <row r="1020" spans="1:128" x14ac:dyDescent="0.25">
      <c r="A1020" s="2"/>
      <c r="B1020" s="2"/>
      <c r="C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</row>
    <row r="1021" spans="1:128" x14ac:dyDescent="0.25">
      <c r="A1021" s="2"/>
      <c r="B1021" s="2"/>
      <c r="C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</row>
    <row r="1022" spans="1:128" x14ac:dyDescent="0.25">
      <c r="A1022" s="2"/>
      <c r="B1022" s="2"/>
      <c r="C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</row>
    <row r="1023" spans="1:128" x14ac:dyDescent="0.25">
      <c r="A1023" s="2"/>
      <c r="B1023" s="2"/>
      <c r="C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</row>
    <row r="1024" spans="1:128" x14ac:dyDescent="0.25">
      <c r="A1024" s="2"/>
      <c r="B1024" s="2"/>
      <c r="C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</row>
    <row r="1025" spans="1:128" x14ac:dyDescent="0.25">
      <c r="A1025" s="2"/>
      <c r="B1025" s="2"/>
      <c r="C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</row>
    <row r="1026" spans="1:128" x14ac:dyDescent="0.25">
      <c r="A1026" s="2"/>
      <c r="B1026" s="2"/>
      <c r="C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</row>
    <row r="1027" spans="1:128" x14ac:dyDescent="0.25">
      <c r="A1027" s="2"/>
      <c r="B1027" s="2"/>
      <c r="C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</row>
    <row r="1028" spans="1:128" x14ac:dyDescent="0.25">
      <c r="A1028" s="2"/>
      <c r="B1028" s="2"/>
      <c r="C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</row>
    <row r="1029" spans="1:128" x14ac:dyDescent="0.25">
      <c r="A1029" s="2"/>
      <c r="B1029" s="2"/>
      <c r="C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</row>
    <row r="1030" spans="1:128" x14ac:dyDescent="0.25">
      <c r="A1030" s="2"/>
      <c r="B1030" s="2"/>
      <c r="C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</row>
    <row r="1031" spans="1:128" x14ac:dyDescent="0.25">
      <c r="A1031" s="2"/>
      <c r="B1031" s="2"/>
      <c r="C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</row>
    <row r="1032" spans="1:128" x14ac:dyDescent="0.25">
      <c r="A1032" s="2"/>
      <c r="B1032" s="2"/>
      <c r="C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</row>
    <row r="1033" spans="1:128" x14ac:dyDescent="0.25">
      <c r="A1033" s="2"/>
      <c r="B1033" s="2"/>
      <c r="C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</row>
    <row r="1034" spans="1:128" x14ac:dyDescent="0.25">
      <c r="A1034" s="2"/>
      <c r="B1034" s="2"/>
      <c r="C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</row>
    <row r="1035" spans="1:128" x14ac:dyDescent="0.25">
      <c r="A1035" s="2"/>
      <c r="B1035" s="2"/>
      <c r="C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</row>
    <row r="1036" spans="1:128" x14ac:dyDescent="0.25">
      <c r="A1036" s="2"/>
      <c r="B1036" s="2"/>
      <c r="C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</row>
    <row r="1037" spans="1:128" x14ac:dyDescent="0.25">
      <c r="A1037" s="2"/>
      <c r="B1037" s="2"/>
      <c r="C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</row>
    <row r="1038" spans="1:128" x14ac:dyDescent="0.25">
      <c r="A1038" s="2"/>
      <c r="B1038" s="2"/>
      <c r="C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</row>
    <row r="1039" spans="1:128" x14ac:dyDescent="0.25">
      <c r="A1039" s="2"/>
      <c r="B1039" s="2"/>
      <c r="C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</row>
    <row r="1040" spans="1:128" x14ac:dyDescent="0.25">
      <c r="A1040" s="2"/>
      <c r="B1040" s="2"/>
      <c r="C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</row>
    <row r="1041" spans="1:128" x14ac:dyDescent="0.25">
      <c r="A1041" s="2"/>
      <c r="B1041" s="2"/>
      <c r="C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</row>
    <row r="1042" spans="1:128" x14ac:dyDescent="0.25">
      <c r="A1042" s="2"/>
      <c r="B1042" s="2"/>
      <c r="C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</row>
    <row r="1043" spans="1:128" x14ac:dyDescent="0.25">
      <c r="A1043" s="2"/>
      <c r="B1043" s="2"/>
      <c r="C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</row>
    <row r="1044" spans="1:128" x14ac:dyDescent="0.25">
      <c r="A1044" s="2"/>
      <c r="B1044" s="2"/>
      <c r="C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</row>
    <row r="1045" spans="1:128" x14ac:dyDescent="0.25">
      <c r="A1045" s="2"/>
      <c r="B1045" s="2"/>
      <c r="C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</row>
    <row r="1046" spans="1:128" x14ac:dyDescent="0.25">
      <c r="A1046" s="2"/>
      <c r="B1046" s="2"/>
      <c r="C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</row>
    <row r="1047" spans="1:128" x14ac:dyDescent="0.25">
      <c r="A1047" s="2"/>
      <c r="B1047" s="2"/>
      <c r="C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</row>
    <row r="1048" spans="1:128" x14ac:dyDescent="0.25">
      <c r="A1048" s="2"/>
      <c r="B1048" s="2"/>
      <c r="C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</row>
    <row r="1049" spans="1:128" x14ac:dyDescent="0.25">
      <c r="A1049" s="2"/>
      <c r="B1049" s="2"/>
      <c r="C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</row>
    <row r="1050" spans="1:128" x14ac:dyDescent="0.25">
      <c r="A1050" s="2"/>
      <c r="B1050" s="2"/>
      <c r="C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</row>
    <row r="1051" spans="1:128" x14ac:dyDescent="0.25">
      <c r="A1051" s="2"/>
      <c r="B1051" s="2"/>
      <c r="C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</row>
    <row r="1052" spans="1:128" x14ac:dyDescent="0.25">
      <c r="A1052" s="2"/>
      <c r="B1052" s="2"/>
      <c r="C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</row>
    <row r="1053" spans="1:128" x14ac:dyDescent="0.25">
      <c r="A1053" s="2"/>
      <c r="B1053" s="2"/>
      <c r="C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</row>
    <row r="1054" spans="1:128" x14ac:dyDescent="0.25">
      <c r="A1054" s="2"/>
      <c r="B1054" s="2"/>
      <c r="C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</row>
    <row r="1055" spans="1:128" x14ac:dyDescent="0.25">
      <c r="A1055" s="2"/>
      <c r="B1055" s="2"/>
      <c r="C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</row>
    <row r="1056" spans="1:128" x14ac:dyDescent="0.25">
      <c r="A1056" s="2"/>
      <c r="B1056" s="2"/>
      <c r="C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</row>
    <row r="1057" spans="1:128" x14ac:dyDescent="0.25">
      <c r="A1057" s="2"/>
      <c r="B1057" s="2"/>
      <c r="C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</row>
    <row r="1058" spans="1:128" x14ac:dyDescent="0.25">
      <c r="A1058" s="2"/>
      <c r="B1058" s="2"/>
      <c r="C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</row>
    <row r="1059" spans="1:128" x14ac:dyDescent="0.25">
      <c r="A1059" s="2"/>
      <c r="B1059" s="2"/>
      <c r="C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</row>
    <row r="1060" spans="1:128" x14ac:dyDescent="0.25">
      <c r="A1060" s="2"/>
      <c r="B1060" s="2"/>
      <c r="C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</row>
    <row r="1061" spans="1:128" x14ac:dyDescent="0.25">
      <c r="A1061" s="2"/>
      <c r="B1061" s="2"/>
      <c r="C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</row>
    <row r="1062" spans="1:128" x14ac:dyDescent="0.25">
      <c r="A1062" s="2"/>
      <c r="B1062" s="2"/>
      <c r="C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</row>
    <row r="1063" spans="1:128" x14ac:dyDescent="0.25">
      <c r="A1063" s="2"/>
      <c r="B1063" s="2"/>
      <c r="C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</row>
    <row r="1064" spans="1:128" x14ac:dyDescent="0.25">
      <c r="A1064" s="2"/>
      <c r="B1064" s="2"/>
      <c r="C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</row>
    <row r="1065" spans="1:128" x14ac:dyDescent="0.25">
      <c r="A1065" s="2"/>
      <c r="B1065" s="2"/>
      <c r="C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</row>
    <row r="1066" spans="1:128" x14ac:dyDescent="0.25">
      <c r="A1066" s="2"/>
      <c r="B1066" s="2"/>
      <c r="C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</row>
    <row r="1067" spans="1:128" x14ac:dyDescent="0.25">
      <c r="A1067" s="2"/>
      <c r="B1067" s="2"/>
      <c r="C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</row>
    <row r="1068" spans="1:128" x14ac:dyDescent="0.25">
      <c r="A1068" s="2"/>
      <c r="B1068" s="2"/>
      <c r="C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</row>
    <row r="1069" spans="1:128" x14ac:dyDescent="0.25">
      <c r="A1069" s="2"/>
      <c r="B1069" s="2"/>
      <c r="C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</row>
    <row r="1070" spans="1:128" x14ac:dyDescent="0.25">
      <c r="A1070" s="2"/>
      <c r="B1070" s="2"/>
      <c r="C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</row>
    <row r="1071" spans="1:128" x14ac:dyDescent="0.25">
      <c r="A1071" s="2"/>
      <c r="B1071" s="2"/>
      <c r="C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</row>
    <row r="1072" spans="1:128" x14ac:dyDescent="0.25">
      <c r="A1072" s="2"/>
      <c r="B1072" s="2"/>
      <c r="C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</row>
    <row r="1073" spans="1:128" x14ac:dyDescent="0.25">
      <c r="A1073" s="2"/>
      <c r="B1073" s="2"/>
      <c r="C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</row>
    <row r="1074" spans="1:128" x14ac:dyDescent="0.25">
      <c r="A1074" s="2"/>
      <c r="B1074" s="2"/>
      <c r="C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</row>
    <row r="1075" spans="1:128" x14ac:dyDescent="0.25">
      <c r="A1075" s="2"/>
      <c r="B1075" s="2"/>
      <c r="C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</row>
    <row r="1076" spans="1:128" x14ac:dyDescent="0.25">
      <c r="A1076" s="2"/>
      <c r="B1076" s="2"/>
      <c r="C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</row>
    <row r="1077" spans="1:128" x14ac:dyDescent="0.25">
      <c r="A1077" s="2"/>
      <c r="B1077" s="2"/>
      <c r="C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</row>
    <row r="1078" spans="1:128" x14ac:dyDescent="0.25">
      <c r="A1078" s="2"/>
      <c r="B1078" s="2"/>
      <c r="C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</row>
    <row r="1079" spans="1:128" x14ac:dyDescent="0.25">
      <c r="A1079" s="2"/>
      <c r="B1079" s="2"/>
      <c r="C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</row>
    <row r="1080" spans="1:128" x14ac:dyDescent="0.25">
      <c r="A1080" s="2"/>
      <c r="B1080" s="2"/>
      <c r="C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126-841C-4718-B415-AA8CBC8BFC3A}">
  <sheetPr>
    <tabColor rgb="FF00B050"/>
  </sheetPr>
  <dimension ref="A1:AE173"/>
  <sheetViews>
    <sheetView showGridLines="0" showRowColHeaders="0" tabSelected="1" topLeftCell="C98" zoomScaleNormal="100" workbookViewId="0">
      <selection activeCell="V102" sqref="V102"/>
    </sheetView>
  </sheetViews>
  <sheetFormatPr defaultColWidth="9.5703125" defaultRowHeight="15" outlineLevelRow="1" outlineLevelCol="1" x14ac:dyDescent="0.25"/>
  <cols>
    <col min="1" max="1" width="3.5703125" customWidth="1"/>
    <col min="2" max="2" width="21.140625" customWidth="1"/>
    <col min="3" max="3" width="10.140625" bestFit="1" customWidth="1"/>
    <col min="5" max="7" width="9.5703125" customWidth="1" outlineLevel="1"/>
    <col min="8" max="8" width="11.42578125" customWidth="1" outlineLevel="1"/>
    <col min="9" max="9" width="13" customWidth="1" outlineLevel="1"/>
    <col min="10" max="10" width="12.28515625" customWidth="1" outlineLevel="1"/>
    <col min="11" max="11" width="11.85546875" customWidth="1"/>
    <col min="12" max="12" width="10.7109375" customWidth="1"/>
    <col min="13" max="13" width="11.85546875" customWidth="1"/>
    <col min="14" max="14" width="13.5703125" customWidth="1"/>
    <col min="15" max="15" width="12.140625" customWidth="1"/>
    <col min="16" max="16" width="12.28515625" customWidth="1"/>
    <col min="18" max="22" width="10.42578125" bestFit="1" customWidth="1"/>
    <col min="23" max="23" width="12" bestFit="1" customWidth="1"/>
    <col min="26" max="26" width="10.42578125" bestFit="1" customWidth="1"/>
  </cols>
  <sheetData>
    <row r="1" spans="1:2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3" s="87" customFormat="1" ht="20.25" x14ac:dyDescent="0.3">
      <c r="A2" s="88"/>
      <c r="B2" s="89" t="s">
        <v>112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1:23" x14ac:dyDescent="0.25">
      <c r="A3" s="2"/>
      <c r="B3" s="90" t="s">
        <v>109</v>
      </c>
      <c r="C3" s="91"/>
      <c r="D3" s="91"/>
      <c r="E3" s="91"/>
      <c r="F3" s="91"/>
      <c r="G3" s="91"/>
      <c r="H3" s="91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3" ht="15" customHeight="1" x14ac:dyDescent="0.25">
      <c r="A5" s="2"/>
      <c r="B5" s="2" t="s">
        <v>108</v>
      </c>
      <c r="C5" s="92" t="s">
        <v>110</v>
      </c>
      <c r="D5" s="2"/>
      <c r="E5" s="2"/>
      <c r="F5" s="2"/>
      <c r="G5" s="93"/>
      <c r="H5" s="2"/>
      <c r="I5" s="2" t="s">
        <v>107</v>
      </c>
      <c r="J5" s="2"/>
      <c r="K5" s="94">
        <v>2024</v>
      </c>
      <c r="L5" s="2"/>
      <c r="M5" s="95"/>
      <c r="N5" s="182"/>
      <c r="O5" s="182"/>
      <c r="P5" s="182"/>
      <c r="Q5" s="182"/>
      <c r="R5" s="182"/>
    </row>
    <row r="6" spans="1:23" ht="15" customHeight="1" x14ac:dyDescent="0.25">
      <c r="A6" s="2"/>
      <c r="B6" s="2" t="s">
        <v>106</v>
      </c>
      <c r="C6" s="96" t="s">
        <v>111</v>
      </c>
      <c r="D6" s="2"/>
      <c r="E6" s="2"/>
      <c r="F6" s="2"/>
      <c r="G6" s="93"/>
      <c r="H6" s="2"/>
      <c r="I6" s="2"/>
      <c r="J6" s="2"/>
      <c r="K6" s="97"/>
      <c r="L6" s="2"/>
      <c r="M6" s="95"/>
      <c r="N6" s="182"/>
      <c r="O6" s="182"/>
      <c r="P6" s="182"/>
      <c r="Q6" s="182"/>
      <c r="R6" s="182"/>
    </row>
    <row r="7" spans="1:23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82"/>
      <c r="O7" s="182"/>
      <c r="P7" s="182"/>
      <c r="Q7" s="182"/>
      <c r="R7" s="182"/>
    </row>
    <row r="8" spans="1:23" x14ac:dyDescent="0.25">
      <c r="A8" s="2"/>
      <c r="B8" s="98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2"/>
      <c r="P8" s="2"/>
      <c r="Q8" s="2"/>
      <c r="R8" s="2"/>
    </row>
    <row r="9" spans="1:23" x14ac:dyDescent="0.25">
      <c r="A9" s="2"/>
      <c r="B9" s="17"/>
      <c r="C9" s="100"/>
      <c r="D9" s="100"/>
      <c r="E9" s="10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3" x14ac:dyDescent="0.25">
      <c r="A10" s="2"/>
      <c r="B10" s="2"/>
      <c r="C10" s="100"/>
      <c r="D10" s="101"/>
      <c r="E10" s="10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3" x14ac:dyDescent="0.25">
      <c r="A11" s="2"/>
      <c r="B11" s="2"/>
      <c r="C11" s="100"/>
      <c r="D11" s="101"/>
      <c r="E11" s="10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3" outlineLevel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00"/>
      <c r="P12" s="2"/>
      <c r="Q12" s="2"/>
      <c r="R12" s="2"/>
    </row>
    <row r="13" spans="1:23" x14ac:dyDescent="0.25">
      <c r="A13" s="2"/>
      <c r="B13" s="98" t="s">
        <v>103</v>
      </c>
      <c r="C13" s="99"/>
      <c r="D13" s="99"/>
      <c r="E13" s="98"/>
      <c r="F13" s="98"/>
      <c r="G13" s="98"/>
      <c r="H13" s="98"/>
      <c r="I13" s="102" t="s">
        <v>102</v>
      </c>
      <c r="J13" s="102">
        <v>1</v>
      </c>
      <c r="K13" s="102">
        <v>2</v>
      </c>
      <c r="L13" s="102">
        <v>3</v>
      </c>
      <c r="M13" s="102">
        <v>4</v>
      </c>
      <c r="N13" s="102">
        <v>5</v>
      </c>
      <c r="O13" s="102">
        <v>6</v>
      </c>
      <c r="P13" s="20" t="s">
        <v>2</v>
      </c>
      <c r="Q13" s="2"/>
      <c r="R13" s="2"/>
    </row>
    <row r="14" spans="1:23" x14ac:dyDescent="0.25">
      <c r="A14" s="2"/>
      <c r="B14" s="2"/>
      <c r="C14" s="2"/>
      <c r="D14" s="2"/>
      <c r="E14" s="103"/>
      <c r="F14" s="103"/>
      <c r="G14" s="103"/>
      <c r="H14" s="103"/>
      <c r="I14" s="104"/>
      <c r="J14" s="105"/>
      <c r="K14" s="105"/>
      <c r="L14" s="105"/>
      <c r="M14" s="105"/>
      <c r="N14" s="105"/>
      <c r="O14" s="100"/>
      <c r="P14" s="2"/>
      <c r="Q14" s="2"/>
      <c r="R14" s="2"/>
    </row>
    <row r="15" spans="1:23" x14ac:dyDescent="0.25">
      <c r="A15" s="2"/>
      <c r="B15" s="106" t="s">
        <v>101</v>
      </c>
      <c r="C15" s="2"/>
      <c r="D15" s="2"/>
      <c r="E15" s="107"/>
      <c r="F15" s="107"/>
      <c r="G15" s="107"/>
      <c r="H15" s="107"/>
      <c r="I15" s="108"/>
      <c r="J15" s="109">
        <v>0.1</v>
      </c>
      <c r="K15" s="109">
        <v>0.09</v>
      </c>
      <c r="L15" s="109">
        <v>0.08</v>
      </c>
      <c r="M15" s="109">
        <v>7.0000000000000007E-2</v>
      </c>
      <c r="N15" s="109">
        <v>0.06</v>
      </c>
      <c r="O15" s="109">
        <v>0.05</v>
      </c>
      <c r="P15" s="109">
        <v>3.9999999999999897E-2</v>
      </c>
      <c r="Q15" s="110"/>
      <c r="R15" s="2"/>
      <c r="U15" s="86"/>
      <c r="V15" s="86"/>
      <c r="W15" s="86"/>
    </row>
    <row r="16" spans="1:23" x14ac:dyDescent="0.25">
      <c r="A16" s="2"/>
      <c r="B16" s="2"/>
      <c r="C16" s="2"/>
      <c r="D16" s="2"/>
      <c r="E16" s="2"/>
      <c r="F16" s="2"/>
      <c r="G16" s="17"/>
      <c r="H16" s="2"/>
      <c r="I16" s="111"/>
      <c r="J16" s="2"/>
      <c r="K16" s="2"/>
      <c r="L16" s="2"/>
      <c r="M16" s="2"/>
      <c r="N16" s="2"/>
      <c r="O16" s="100"/>
      <c r="P16" s="2"/>
      <c r="Q16" s="2"/>
      <c r="R16" s="2"/>
      <c r="U16" s="86"/>
      <c r="V16" s="86"/>
      <c r="W16" s="86"/>
    </row>
    <row r="17" spans="1:26" x14ac:dyDescent="0.25">
      <c r="A17" s="2"/>
      <c r="B17" s="112" t="s">
        <v>100</v>
      </c>
      <c r="C17" s="2"/>
      <c r="D17" s="2"/>
      <c r="E17" s="103"/>
      <c r="F17" s="103"/>
      <c r="G17" s="103"/>
      <c r="H17" s="103"/>
      <c r="I17" s="113">
        <f>'story&amp;estimations'!C120</f>
        <v>35976</v>
      </c>
      <c r="J17" s="114">
        <f t="shared" ref="J17:P17" si="0">I17+(I17*J15)</f>
        <v>39573.599999999999</v>
      </c>
      <c r="K17" s="114">
        <f t="shared" si="0"/>
        <v>43135.224000000002</v>
      </c>
      <c r="L17" s="114">
        <f t="shared" si="0"/>
        <v>46586.041920000003</v>
      </c>
      <c r="M17" s="114">
        <f t="shared" si="0"/>
        <v>49847.064854400007</v>
      </c>
      <c r="N17" s="114">
        <f t="shared" si="0"/>
        <v>52837.888745664008</v>
      </c>
      <c r="O17" s="114">
        <f t="shared" si="0"/>
        <v>55479.783182947205</v>
      </c>
      <c r="P17" s="114">
        <f t="shared" si="0"/>
        <v>57698.974510265085</v>
      </c>
      <c r="Q17" s="2"/>
      <c r="R17" s="115"/>
      <c r="S17" s="85"/>
      <c r="T17" s="85"/>
      <c r="U17" s="85"/>
      <c r="V17" s="85"/>
      <c r="W17" s="85"/>
    </row>
    <row r="18" spans="1:26" x14ac:dyDescent="0.25">
      <c r="A18" s="2"/>
      <c r="B18" s="106"/>
      <c r="C18" s="2"/>
      <c r="D18" s="2"/>
      <c r="E18" s="107"/>
      <c r="F18" s="107"/>
      <c r="G18" s="107"/>
      <c r="H18" s="107"/>
      <c r="I18" s="116"/>
      <c r="J18" s="117"/>
      <c r="K18" s="117"/>
      <c r="L18" s="117"/>
      <c r="M18" s="117"/>
      <c r="N18" s="117"/>
      <c r="O18" s="118"/>
      <c r="P18" s="2"/>
      <c r="Q18" s="2"/>
      <c r="R18" s="62"/>
      <c r="S18" s="63"/>
      <c r="T18" s="63"/>
      <c r="U18" s="63"/>
      <c r="V18" s="63"/>
      <c r="W18" s="63"/>
    </row>
    <row r="19" spans="1:26" x14ac:dyDescent="0.25">
      <c r="A19" s="2"/>
      <c r="B19" s="2" t="s">
        <v>99</v>
      </c>
      <c r="C19" s="2"/>
      <c r="D19" s="2"/>
      <c r="E19" s="2"/>
      <c r="F19" s="2"/>
      <c r="G19" s="2"/>
      <c r="H19" s="2"/>
      <c r="I19" s="119"/>
      <c r="J19" s="120">
        <f>'story&amp;estimations'!D89</f>
        <v>0.16400000000000001</v>
      </c>
      <c r="K19" s="120">
        <f>'story&amp;estimations'!E89</f>
        <v>0.16500000000000001</v>
      </c>
      <c r="L19" s="120">
        <f>'story&amp;estimations'!F89</f>
        <v>0.16600000000000001</v>
      </c>
      <c r="M19" s="120">
        <f>'story&amp;estimations'!G89</f>
        <v>0.16700000000000001</v>
      </c>
      <c r="N19" s="120">
        <f>'story&amp;estimations'!H89</f>
        <v>0.16800000000000001</v>
      </c>
      <c r="O19" s="120">
        <f>'story&amp;estimations'!I89</f>
        <v>0.16900000000000001</v>
      </c>
      <c r="P19" s="120">
        <f>'story&amp;estimations'!J89</f>
        <v>0.17</v>
      </c>
      <c r="Q19" s="110"/>
      <c r="R19" s="4">
        <f>J31/J25</f>
        <v>0.28871027346637096</v>
      </c>
      <c r="S19" s="4">
        <f t="shared" ref="S19:W19" si="1">K31/K25</f>
        <v>0.25337570338151011</v>
      </c>
      <c r="T19" s="4">
        <f t="shared" si="1"/>
        <v>0.22003420211637698</v>
      </c>
      <c r="U19" s="4">
        <f t="shared" si="1"/>
        <v>0.1884270729757328</v>
      </c>
      <c r="V19" s="4">
        <f t="shared" si="1"/>
        <v>0.15833046227428413</v>
      </c>
      <c r="W19" s="4">
        <f t="shared" si="1"/>
        <v>0.12784460641503767</v>
      </c>
      <c r="X19" s="4">
        <f>P31/P25</f>
        <v>9.9229975390965716E-2</v>
      </c>
      <c r="Y19" s="2"/>
      <c r="Z19" s="81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113"/>
      <c r="J20" s="121"/>
      <c r="K20" s="121"/>
      <c r="L20" s="121"/>
      <c r="M20" s="121"/>
      <c r="N20" s="121"/>
      <c r="O20" s="118"/>
      <c r="P20" s="2"/>
      <c r="Q20" s="110"/>
      <c r="R20" s="2"/>
      <c r="U20" s="84"/>
      <c r="V20" s="84"/>
      <c r="W20" s="84"/>
      <c r="X20" s="81"/>
      <c r="Y20" s="81"/>
      <c r="Z20" s="81"/>
    </row>
    <row r="21" spans="1:26" x14ac:dyDescent="0.25">
      <c r="A21" s="2"/>
      <c r="B21" s="112" t="s">
        <v>98</v>
      </c>
      <c r="C21" s="2"/>
      <c r="D21" s="2"/>
      <c r="E21" s="103"/>
      <c r="F21" s="103"/>
      <c r="G21" s="103"/>
      <c r="H21" s="103"/>
      <c r="I21" s="113"/>
      <c r="J21" s="122">
        <f t="shared" ref="J21:P21" si="2">J17*J19</f>
        <v>6490.0703999999996</v>
      </c>
      <c r="K21" s="122">
        <f t="shared" si="2"/>
        <v>7117.3119600000009</v>
      </c>
      <c r="L21" s="122">
        <f t="shared" si="2"/>
        <v>7733.2829587200013</v>
      </c>
      <c r="M21" s="122">
        <f t="shared" si="2"/>
        <v>8324.459830684802</v>
      </c>
      <c r="N21" s="122">
        <f t="shared" si="2"/>
        <v>8876.7653092715536</v>
      </c>
      <c r="O21" s="122">
        <f t="shared" si="2"/>
        <v>9376.083357918078</v>
      </c>
      <c r="P21" s="122">
        <f t="shared" si="2"/>
        <v>9808.825666745066</v>
      </c>
      <c r="Q21" s="110"/>
      <c r="R21" s="2"/>
      <c r="U21" s="84"/>
      <c r="V21" s="84"/>
      <c r="W21" s="84"/>
      <c r="X21" s="81"/>
      <c r="Y21" s="81"/>
      <c r="Z21" s="81"/>
    </row>
    <row r="22" spans="1:26" x14ac:dyDescent="0.25">
      <c r="A22" s="2"/>
      <c r="B22" s="106"/>
      <c r="C22" s="2"/>
      <c r="D22" s="2"/>
      <c r="E22" s="107"/>
      <c r="F22" s="107"/>
      <c r="G22" s="107"/>
      <c r="H22" s="107"/>
      <c r="I22" s="116"/>
      <c r="J22" s="117"/>
      <c r="K22" s="117"/>
      <c r="L22" s="117"/>
      <c r="M22" s="117"/>
      <c r="N22" s="117"/>
      <c r="O22" s="118"/>
      <c r="P22" s="2"/>
      <c r="Q22" s="110"/>
      <c r="R22" s="2"/>
      <c r="U22" s="82"/>
      <c r="V22" s="82"/>
      <c r="W22" s="82"/>
      <c r="X22" s="81"/>
      <c r="Y22" s="81"/>
      <c r="Z22" s="81"/>
    </row>
    <row r="23" spans="1:26" x14ac:dyDescent="0.25">
      <c r="A23" s="2"/>
      <c r="B23" s="2" t="s">
        <v>97</v>
      </c>
      <c r="C23" s="2"/>
      <c r="D23" s="2"/>
      <c r="E23" s="2"/>
      <c r="F23" s="2"/>
      <c r="G23" s="2"/>
      <c r="H23" s="2"/>
      <c r="I23" s="123"/>
      <c r="J23" s="56">
        <f>wacc!E35</f>
        <v>0.2</v>
      </c>
      <c r="K23" s="56">
        <v>0.21</v>
      </c>
      <c r="L23" s="56">
        <v>0.22</v>
      </c>
      <c r="M23" s="56">
        <v>0.23</v>
      </c>
      <c r="N23" s="56">
        <v>0.24</v>
      </c>
      <c r="O23" s="124">
        <f>N23</f>
        <v>0.24</v>
      </c>
      <c r="P23" s="124">
        <f>O23</f>
        <v>0.24</v>
      </c>
      <c r="Q23" s="110"/>
      <c r="R23" s="2"/>
      <c r="U23" s="83"/>
      <c r="V23" s="83"/>
      <c r="W23" s="83"/>
      <c r="X23" s="83"/>
      <c r="Y23" s="83"/>
      <c r="Z23" s="83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111"/>
      <c r="J24" s="2"/>
      <c r="K24" s="2"/>
      <c r="L24" s="2"/>
      <c r="M24" s="2"/>
      <c r="N24" s="2"/>
      <c r="O24" s="100"/>
      <c r="P24" s="2"/>
      <c r="Q24" s="110"/>
      <c r="R24" s="2"/>
      <c r="U24" s="83"/>
      <c r="V24" s="83"/>
      <c r="W24" s="83"/>
      <c r="X24" s="83"/>
      <c r="Y24" s="83"/>
      <c r="Z24" s="83"/>
    </row>
    <row r="25" spans="1:26" x14ac:dyDescent="0.25">
      <c r="A25" s="2"/>
      <c r="B25" s="121" t="s">
        <v>96</v>
      </c>
      <c r="C25" s="125"/>
      <c r="D25" s="125"/>
      <c r="E25" s="125"/>
      <c r="F25" s="125"/>
      <c r="G25" s="125"/>
      <c r="H25" s="125"/>
      <c r="I25" s="113"/>
      <c r="J25" s="121">
        <f t="shared" ref="J25:P25" si="3">J21*(1-J23)</f>
        <v>5192.0563199999997</v>
      </c>
      <c r="K25" s="121">
        <f t="shared" si="3"/>
        <v>5622.6764484000014</v>
      </c>
      <c r="L25" s="121">
        <f t="shared" si="3"/>
        <v>6031.9607078016015</v>
      </c>
      <c r="M25" s="121">
        <f t="shared" si="3"/>
        <v>6409.834069627298</v>
      </c>
      <c r="N25" s="121">
        <f t="shared" si="3"/>
        <v>6746.3416350463813</v>
      </c>
      <c r="O25" s="121">
        <f t="shared" si="3"/>
        <v>7125.8233520177391</v>
      </c>
      <c r="P25" s="121">
        <f t="shared" si="3"/>
        <v>7454.7075067262504</v>
      </c>
      <c r="Q25" s="110"/>
      <c r="R25" s="2"/>
      <c r="U25" s="82"/>
      <c r="V25" s="82"/>
      <c r="W25" s="82"/>
      <c r="X25" s="82"/>
      <c r="Y25" s="82"/>
      <c r="Z25" s="82"/>
    </row>
    <row r="26" spans="1:26" x14ac:dyDescent="0.25">
      <c r="A26" s="2"/>
      <c r="B26" s="126"/>
      <c r="C26" s="15"/>
      <c r="D26" s="15"/>
      <c r="E26" s="15"/>
      <c r="F26" s="15"/>
      <c r="G26" s="15"/>
      <c r="H26" s="15"/>
      <c r="I26" s="127"/>
      <c r="J26" s="15"/>
      <c r="K26" s="15"/>
      <c r="L26" s="15"/>
      <c r="M26" s="15"/>
      <c r="N26" s="15"/>
      <c r="O26" s="128"/>
      <c r="P26" s="2"/>
      <c r="Q26" s="110"/>
      <c r="R26" s="2"/>
      <c r="U26" s="81"/>
      <c r="V26" s="81"/>
      <c r="W26" s="81"/>
      <c r="X26" s="81"/>
      <c r="Y26" s="81"/>
      <c r="Z26" s="81"/>
    </row>
    <row r="27" spans="1:26" x14ac:dyDescent="0.25">
      <c r="A27" s="2"/>
      <c r="B27" s="126" t="s">
        <v>95</v>
      </c>
      <c r="C27" s="15"/>
      <c r="D27" s="15"/>
      <c r="E27" s="15"/>
      <c r="F27" s="15"/>
      <c r="G27" s="15"/>
      <c r="H27" s="15"/>
      <c r="I27" s="127"/>
      <c r="J27" s="60">
        <f>'story&amp;estimations'!D144</f>
        <v>2.4</v>
      </c>
      <c r="K27" s="60">
        <f>'story&amp;estimations'!E144</f>
        <v>2.5</v>
      </c>
      <c r="L27" s="60">
        <f>'story&amp;estimations'!F144</f>
        <v>2.6</v>
      </c>
      <c r="M27" s="60">
        <f>'story&amp;estimations'!G144</f>
        <v>2.7</v>
      </c>
      <c r="N27" s="60">
        <f>'story&amp;estimations'!H144</f>
        <v>2.8</v>
      </c>
      <c r="O27" s="60">
        <f>'story&amp;estimations'!I144</f>
        <v>2.9</v>
      </c>
      <c r="P27" s="60">
        <f>'story&amp;estimations'!J144</f>
        <v>3</v>
      </c>
      <c r="Q27" s="110"/>
      <c r="R27" s="2"/>
      <c r="U27" s="81"/>
      <c r="V27" s="81"/>
      <c r="W27" s="81"/>
      <c r="X27" s="81"/>
      <c r="Y27" s="81"/>
      <c r="Z27" s="81"/>
    </row>
    <row r="28" spans="1:26" x14ac:dyDescent="0.25">
      <c r="A28" s="2"/>
      <c r="B28" s="126"/>
      <c r="C28" s="15"/>
      <c r="D28" s="15"/>
      <c r="E28" s="15"/>
      <c r="F28" s="15"/>
      <c r="G28" s="15"/>
      <c r="H28" s="15"/>
      <c r="I28" s="127"/>
      <c r="J28" s="15"/>
      <c r="K28" s="15"/>
      <c r="L28" s="15"/>
      <c r="M28" s="15"/>
      <c r="N28" s="15"/>
      <c r="O28" s="128"/>
      <c r="P28" s="2"/>
      <c r="Q28" s="110"/>
      <c r="R28" s="2"/>
      <c r="S28" s="68"/>
      <c r="U28" s="81"/>
      <c r="V28" s="81"/>
      <c r="W28" s="81"/>
      <c r="X28" s="81"/>
      <c r="Y28" s="81"/>
      <c r="Z28" s="81"/>
    </row>
    <row r="29" spans="1:26" x14ac:dyDescent="0.25">
      <c r="A29" s="2"/>
      <c r="B29" s="126" t="s">
        <v>75</v>
      </c>
      <c r="C29" s="15"/>
      <c r="D29" s="15"/>
      <c r="E29" s="15"/>
      <c r="F29" s="15"/>
      <c r="G29" s="15"/>
      <c r="H29" s="15"/>
      <c r="I29" s="127"/>
      <c r="J29" s="129">
        <f t="shared" ref="J29:P29" si="4">J17-I17</f>
        <v>3597.5999999999985</v>
      </c>
      <c r="K29" s="129">
        <f t="shared" si="4"/>
        <v>3561.6240000000034</v>
      </c>
      <c r="L29" s="129">
        <f t="shared" si="4"/>
        <v>3450.8179200000013</v>
      </c>
      <c r="M29" s="129">
        <f t="shared" si="4"/>
        <v>3261.0229344000036</v>
      </c>
      <c r="N29" s="129">
        <f t="shared" si="4"/>
        <v>2990.8238912640008</v>
      </c>
      <c r="O29" s="129">
        <f t="shared" si="4"/>
        <v>2641.8944372831975</v>
      </c>
      <c r="P29" s="129">
        <f t="shared" si="4"/>
        <v>2219.1913273178798</v>
      </c>
      <c r="Q29" s="110"/>
      <c r="R29" s="2"/>
      <c r="S29" s="183" t="s">
        <v>37</v>
      </c>
      <c r="U29" s="81"/>
      <c r="V29" s="81"/>
      <c r="W29" s="81"/>
      <c r="X29" s="81"/>
      <c r="Y29" s="81"/>
      <c r="Z29" s="81"/>
    </row>
    <row r="30" spans="1:26" x14ac:dyDescent="0.25">
      <c r="A30" s="2"/>
      <c r="B30" s="126"/>
      <c r="C30" s="15"/>
      <c r="D30" s="15"/>
      <c r="E30" s="15"/>
      <c r="F30" s="15"/>
      <c r="G30" s="15"/>
      <c r="H30" s="15"/>
      <c r="I30" s="127"/>
      <c r="J30" s="15"/>
      <c r="K30" s="15"/>
      <c r="L30" s="15"/>
      <c r="M30" s="15"/>
      <c r="N30" s="15"/>
      <c r="O30" s="128"/>
      <c r="P30" s="2"/>
      <c r="Q30" s="110"/>
      <c r="R30" s="2"/>
      <c r="S30" s="184">
        <v>9.0638433013468939E-2</v>
      </c>
      <c r="U30" s="81"/>
      <c r="V30" s="81"/>
      <c r="W30" s="81"/>
      <c r="X30" s="81"/>
      <c r="Y30" s="81"/>
      <c r="Z30" s="81"/>
    </row>
    <row r="31" spans="1:26" x14ac:dyDescent="0.25">
      <c r="A31" s="2"/>
      <c r="B31" s="121" t="s">
        <v>94</v>
      </c>
      <c r="C31" s="15"/>
      <c r="D31" s="15"/>
      <c r="E31" s="130"/>
      <c r="F31" s="130"/>
      <c r="G31" s="130"/>
      <c r="H31" s="130"/>
      <c r="I31" s="131"/>
      <c r="J31" s="132">
        <f>J29/J27</f>
        <v>1498.9999999999995</v>
      </c>
      <c r="K31" s="132">
        <f t="shared" ref="K31:P31" si="5">K29/K27</f>
        <v>1424.6496000000013</v>
      </c>
      <c r="L31" s="132">
        <f t="shared" si="5"/>
        <v>1327.2376615384619</v>
      </c>
      <c r="M31" s="132">
        <f t="shared" si="5"/>
        <v>1207.7862720000012</v>
      </c>
      <c r="N31" s="132">
        <f t="shared" si="5"/>
        <v>1068.1513897371433</v>
      </c>
      <c r="O31" s="132">
        <f t="shared" si="5"/>
        <v>910.99808182179231</v>
      </c>
      <c r="P31" s="132">
        <f t="shared" si="5"/>
        <v>739.73044243929326</v>
      </c>
      <c r="Q31" s="110"/>
      <c r="R31" s="2"/>
      <c r="S31" s="184">
        <v>9.6261602519182157E-2</v>
      </c>
      <c r="T31">
        <v>1</v>
      </c>
    </row>
    <row r="32" spans="1:26" x14ac:dyDescent="0.25">
      <c r="A32" s="2"/>
      <c r="B32" s="121"/>
      <c r="C32" s="15"/>
      <c r="D32" s="15"/>
      <c r="E32" s="130"/>
      <c r="F32" s="130"/>
      <c r="G32" s="130"/>
      <c r="H32" s="130"/>
      <c r="I32" s="131"/>
      <c r="J32" s="132"/>
      <c r="K32" s="132"/>
      <c r="L32" s="132"/>
      <c r="M32" s="132"/>
      <c r="N32" s="132"/>
      <c r="O32" s="132"/>
      <c r="P32" s="132"/>
      <c r="Q32" s="110"/>
      <c r="R32" s="2"/>
      <c r="S32" s="184"/>
    </row>
    <row r="33" spans="1:23" x14ac:dyDescent="0.25">
      <c r="A33" s="2"/>
      <c r="B33" s="121" t="s">
        <v>122</v>
      </c>
      <c r="C33" s="15"/>
      <c r="D33" s="15"/>
      <c r="E33" s="130"/>
      <c r="F33" s="130"/>
      <c r="G33" s="130"/>
      <c r="H33" s="130"/>
      <c r="I33" s="131"/>
      <c r="J33" s="54">
        <f>J31/J25</f>
        <v>0.28871027346637096</v>
      </c>
      <c r="K33" s="54">
        <f t="shared" ref="K33:O33" si="6">K31/K25</f>
        <v>0.25337570338151011</v>
      </c>
      <c r="L33" s="54">
        <f t="shared" si="6"/>
        <v>0.22003420211637698</v>
      </c>
      <c r="M33" s="54">
        <f t="shared" si="6"/>
        <v>0.1884270729757328</v>
      </c>
      <c r="N33" s="54">
        <f t="shared" si="6"/>
        <v>0.15833046227428413</v>
      </c>
      <c r="O33" s="54">
        <f t="shared" si="6"/>
        <v>0.12784460641503767</v>
      </c>
      <c r="P33" s="54">
        <f>P31/P25</f>
        <v>9.9229975390965716E-2</v>
      </c>
      <c r="Q33" s="110"/>
      <c r="R33" s="2"/>
      <c r="S33" s="184"/>
    </row>
    <row r="34" spans="1:23" x14ac:dyDescent="0.25">
      <c r="A34" s="2"/>
      <c r="B34" s="121"/>
      <c r="C34" s="15"/>
      <c r="D34" s="15"/>
      <c r="E34" s="130"/>
      <c r="F34" s="130"/>
      <c r="G34" s="130"/>
      <c r="H34" s="130"/>
      <c r="I34" s="131"/>
      <c r="J34" s="132"/>
      <c r="K34" s="132"/>
      <c r="L34" s="132"/>
      <c r="M34" s="132"/>
      <c r="N34" s="132"/>
      <c r="O34" s="132"/>
      <c r="P34" s="132"/>
      <c r="Q34" s="110"/>
      <c r="R34" s="2"/>
      <c r="S34" s="184"/>
    </row>
    <row r="35" spans="1:23" x14ac:dyDescent="0.25">
      <c r="A35" s="2"/>
      <c r="B35" s="15"/>
      <c r="C35" s="15"/>
      <c r="D35" s="15"/>
      <c r="E35" s="130"/>
      <c r="F35" s="130"/>
      <c r="G35" s="130"/>
      <c r="H35" s="130"/>
      <c r="I35" s="131"/>
      <c r="J35" s="133">
        <v>1</v>
      </c>
      <c r="K35" s="133">
        <v>2</v>
      </c>
      <c r="L35" s="133">
        <v>3</v>
      </c>
      <c r="M35" s="133">
        <v>4</v>
      </c>
      <c r="N35" s="133">
        <v>5</v>
      </c>
      <c r="O35" s="133">
        <v>6</v>
      </c>
      <c r="P35" s="133">
        <v>7</v>
      </c>
      <c r="Q35" s="110"/>
      <c r="R35" s="2"/>
      <c r="S35" s="184">
        <v>9.2195679087624077E-2</v>
      </c>
      <c r="T35">
        <v>2</v>
      </c>
    </row>
    <row r="36" spans="1:23" x14ac:dyDescent="0.25">
      <c r="A36" s="2"/>
      <c r="B36" s="121" t="s">
        <v>93</v>
      </c>
      <c r="C36" s="15"/>
      <c r="D36" s="15"/>
      <c r="E36" s="130"/>
      <c r="F36" s="130"/>
      <c r="G36" s="130"/>
      <c r="H36" s="134" t="s">
        <v>92</v>
      </c>
      <c r="I36" s="134"/>
      <c r="J36" s="135">
        <f t="shared" ref="J36:P36" si="7">J25-J31</f>
        <v>3693.0563200000001</v>
      </c>
      <c r="K36" s="135">
        <f t="shared" si="7"/>
        <v>4198.0268483999998</v>
      </c>
      <c r="L36" s="135">
        <f t="shared" si="7"/>
        <v>4704.7230462631396</v>
      </c>
      <c r="M36" s="135">
        <f t="shared" si="7"/>
        <v>5202.0477976272969</v>
      </c>
      <c r="N36" s="135">
        <f t="shared" si="7"/>
        <v>5678.190245309238</v>
      </c>
      <c r="O36" s="135">
        <f t="shared" si="7"/>
        <v>6214.8252701959464</v>
      </c>
      <c r="P36" s="135">
        <f t="shared" si="7"/>
        <v>6714.9770642869571</v>
      </c>
      <c r="Q36" s="110"/>
      <c r="R36" s="2"/>
      <c r="S36" s="184">
        <v>8.8161851283012516E-2</v>
      </c>
      <c r="T36">
        <v>3</v>
      </c>
      <c r="U36" s="80"/>
      <c r="V36" s="80"/>
      <c r="W36" s="80"/>
    </row>
    <row r="37" spans="1:23" x14ac:dyDescent="0.25">
      <c r="A37" s="2"/>
      <c r="B37" s="2"/>
      <c r="C37" s="17"/>
      <c r="D37" s="17"/>
      <c r="E37" s="17"/>
      <c r="F37" s="17"/>
      <c r="G37" s="17"/>
      <c r="H37" s="198" t="s">
        <v>91</v>
      </c>
      <c r="I37" s="199"/>
      <c r="J37" s="136">
        <f>S31</f>
        <v>9.6261602519182157E-2</v>
      </c>
      <c r="K37" s="136">
        <f>S35</f>
        <v>9.2195679087624077E-2</v>
      </c>
      <c r="L37" s="136">
        <f>S36</f>
        <v>8.8161851283012516E-2</v>
      </c>
      <c r="M37" s="137">
        <f>S37</f>
        <v>8.4160119105347458E-2</v>
      </c>
      <c r="N37" s="137">
        <f>S38</f>
        <v>7.9703263332158311E-2</v>
      </c>
      <c r="O37" s="137">
        <f>S39</f>
        <v>8.0072721057754065E-2</v>
      </c>
      <c r="P37" s="138">
        <f>S40</f>
        <v>0.08</v>
      </c>
      <c r="Q37" s="2"/>
      <c r="R37" s="2"/>
      <c r="S37" s="184">
        <v>8.4160119105347458E-2</v>
      </c>
      <c r="T37">
        <v>4</v>
      </c>
    </row>
    <row r="38" spans="1:23" x14ac:dyDescent="0.25">
      <c r="A38" s="2"/>
      <c r="B38" s="2"/>
      <c r="C38" s="17"/>
      <c r="D38" s="17"/>
      <c r="E38" s="17"/>
      <c r="F38" s="17"/>
      <c r="G38" s="17"/>
      <c r="H38" s="134" t="s">
        <v>90</v>
      </c>
      <c r="I38" s="5"/>
      <c r="J38" s="135">
        <f t="shared" ref="J38:P38" si="8">J36/((1+J37)^J35)</f>
        <v>3368.7728472049439</v>
      </c>
      <c r="K38" s="135">
        <f t="shared" si="8"/>
        <v>3519.2028741349868</v>
      </c>
      <c r="L38" s="135">
        <f t="shared" si="8"/>
        <v>3651.3509206946783</v>
      </c>
      <c r="M38" s="135">
        <f t="shared" si="8"/>
        <v>3765.3090446579336</v>
      </c>
      <c r="N38" s="135">
        <f t="shared" si="8"/>
        <v>3869.7941992166943</v>
      </c>
      <c r="O38" s="135">
        <f t="shared" si="8"/>
        <v>3914.8122482447498</v>
      </c>
      <c r="P38" s="135">
        <f t="shared" si="8"/>
        <v>3918.1246214169596</v>
      </c>
      <c r="Q38" s="2"/>
      <c r="R38" s="2"/>
      <c r="S38" s="184">
        <v>7.9703263332158311E-2</v>
      </c>
      <c r="T38">
        <v>5</v>
      </c>
    </row>
    <row r="39" spans="1:23" ht="15.75" thickBot="1" x14ac:dyDescent="0.3">
      <c r="A39" s="2"/>
      <c r="B39" s="2"/>
      <c r="C39" s="2"/>
      <c r="D39" s="2"/>
      <c r="E39" s="2"/>
      <c r="F39" s="2"/>
      <c r="G39" s="2"/>
      <c r="H39" s="2"/>
      <c r="I39" s="139" t="s">
        <v>89</v>
      </c>
      <c r="J39" s="140">
        <f>SUM(J38:P38)</f>
        <v>26007.366755570947</v>
      </c>
      <c r="K39" s="2"/>
      <c r="L39" s="2"/>
      <c r="M39" s="2"/>
      <c r="N39" s="2"/>
      <c r="O39" s="100"/>
      <c r="P39" s="2"/>
      <c r="Q39" s="2"/>
      <c r="R39" s="2"/>
      <c r="S39" s="184">
        <v>8.0072721057754065E-2</v>
      </c>
      <c r="T39">
        <v>6</v>
      </c>
    </row>
    <row r="40" spans="1:23" x14ac:dyDescent="0.25">
      <c r="A40" s="2"/>
      <c r="B40" s="2" t="s">
        <v>88</v>
      </c>
      <c r="C40" s="141">
        <v>0.04</v>
      </c>
      <c r="D40" s="2"/>
      <c r="E40" s="2"/>
      <c r="F40" s="2"/>
      <c r="G40" s="2"/>
      <c r="H40" s="2"/>
      <c r="I40" s="17"/>
      <c r="J40" s="15"/>
      <c r="K40" s="2"/>
      <c r="L40" s="2"/>
      <c r="M40" s="2"/>
      <c r="N40" s="2"/>
      <c r="O40" s="100"/>
      <c r="P40" s="2"/>
      <c r="Q40" s="2"/>
      <c r="R40" s="2"/>
      <c r="S40" s="184">
        <v>0.08</v>
      </c>
    </row>
    <row r="41" spans="1:23" x14ac:dyDescent="0.25">
      <c r="A41" s="2" t="s">
        <v>105</v>
      </c>
      <c r="B41" s="2" t="s">
        <v>87</v>
      </c>
      <c r="C41" s="2"/>
      <c r="D41" s="2"/>
      <c r="E41" s="2"/>
      <c r="F41" s="2"/>
      <c r="G41" s="2"/>
      <c r="H41" s="2"/>
      <c r="I41" s="2"/>
      <c r="J41" s="48"/>
      <c r="K41" s="2"/>
      <c r="L41" s="2"/>
      <c r="M41" s="2"/>
      <c r="N41" s="142">
        <f>P38/(P37-C40)</f>
        <v>97953.115535423989</v>
      </c>
      <c r="O41" s="100"/>
      <c r="P41" s="2"/>
      <c r="Q41" s="2"/>
      <c r="R41" s="2"/>
      <c r="S41" s="68"/>
    </row>
    <row r="42" spans="1:23" x14ac:dyDescent="0.25">
      <c r="A42" s="2"/>
      <c r="B42" s="88" t="s">
        <v>86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143">
        <f>N41/((1+P37)^P35)</f>
        <v>57154.702100922004</v>
      </c>
      <c r="O42" s="100"/>
      <c r="P42" s="2"/>
      <c r="Q42" s="2"/>
      <c r="R42" s="2"/>
      <c r="S42" s="68"/>
    </row>
    <row r="43" spans="1:23" x14ac:dyDescent="0.25">
      <c r="A43" s="2"/>
      <c r="B43" s="17" t="s">
        <v>85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44">
        <f>J39+N42</f>
        <v>83162.068856492959</v>
      </c>
      <c r="O43" s="100"/>
      <c r="P43" s="2"/>
      <c r="Q43" s="2"/>
      <c r="R43" s="2"/>
      <c r="S43" s="68"/>
    </row>
    <row r="44" spans="1:23" x14ac:dyDescent="0.25">
      <c r="A44" s="2"/>
      <c r="B44" s="145" t="s">
        <v>84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47">
        <f>'story&amp;estimations'!F120</f>
        <v>3953</v>
      </c>
      <c r="O44" s="100"/>
      <c r="P44" s="2"/>
      <c r="Q44" s="2"/>
      <c r="R44" s="2"/>
    </row>
    <row r="45" spans="1:23" x14ac:dyDescent="0.25">
      <c r="A45" s="2"/>
      <c r="B45" s="146" t="s">
        <v>83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47">
        <f>'story&amp;estimations'!E120</f>
        <v>28088</v>
      </c>
      <c r="O45" s="100"/>
      <c r="P45" s="2"/>
      <c r="Q45" s="2"/>
      <c r="R45" s="2"/>
    </row>
    <row r="46" spans="1:23" x14ac:dyDescent="0.25">
      <c r="A46" s="2"/>
      <c r="B46" s="17" t="s">
        <v>82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47">
        <f>N43+N44-N45</f>
        <v>59027.068856492959</v>
      </c>
      <c r="O46" s="100"/>
      <c r="P46" s="2"/>
      <c r="Q46" s="2"/>
      <c r="R46" s="2"/>
    </row>
    <row r="47" spans="1:23" x14ac:dyDescent="0.25">
      <c r="A47" s="2"/>
      <c r="B47" s="88" t="s">
        <v>81</v>
      </c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185">
        <v>1132.7</v>
      </c>
      <c r="O47" s="100"/>
      <c r="P47" s="2"/>
      <c r="Q47" s="2"/>
      <c r="R47" s="2"/>
    </row>
    <row r="48" spans="1:23" x14ac:dyDescent="0.25">
      <c r="A48" s="2" t="s">
        <v>105</v>
      </c>
      <c r="B48" s="17" t="s">
        <v>80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48">
        <f>N46/N47</f>
        <v>52.111829130831602</v>
      </c>
      <c r="O48" s="100"/>
      <c r="P48" s="2"/>
      <c r="Q48" s="2"/>
      <c r="R48" s="2"/>
    </row>
    <row r="49" spans="1:31" ht="15.75" thickBot="1" x14ac:dyDescent="0.3">
      <c r="A49" s="2"/>
      <c r="B49" s="17" t="s">
        <v>79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48">
        <v>80</v>
      </c>
      <c r="O49" s="100"/>
      <c r="P49" s="2"/>
      <c r="Q49" s="2"/>
      <c r="R49" s="2"/>
    </row>
    <row r="50" spans="1:31" ht="15.75" thickBot="1" x14ac:dyDescent="0.3">
      <c r="A50" s="2"/>
      <c r="B50" s="17" t="s">
        <v>78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86">
        <f>(N48-N49)/N49</f>
        <v>-0.34860213586460498</v>
      </c>
      <c r="O50" s="100"/>
      <c r="P50" s="2"/>
      <c r="Q50" s="2"/>
      <c r="R50" s="2"/>
    </row>
    <row r="51" spans="1:31" x14ac:dyDescent="0.25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2"/>
      <c r="O51" s="100"/>
      <c r="P51" s="2"/>
      <c r="Q51" s="2"/>
      <c r="R51" s="2"/>
    </row>
    <row r="52" spans="1:31" x14ac:dyDescent="0.25">
      <c r="A52" s="90" t="s">
        <v>113</v>
      </c>
      <c r="B52" s="91"/>
      <c r="C52" s="91"/>
      <c r="D52" s="91"/>
      <c r="E52" s="91"/>
      <c r="F52" s="91"/>
      <c r="G52" s="91"/>
      <c r="H52" s="2"/>
      <c r="I52" s="2"/>
      <c r="J52" s="2"/>
      <c r="K52" s="2"/>
      <c r="L52" s="2"/>
      <c r="M52" s="2"/>
      <c r="N52" s="2"/>
      <c r="O52" s="100"/>
      <c r="P52" s="2"/>
      <c r="Q52" s="2"/>
      <c r="R52" s="2"/>
    </row>
    <row r="53" spans="1:3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00"/>
      <c r="P53" s="2"/>
      <c r="Q53" s="2"/>
      <c r="R53" s="2"/>
    </row>
    <row r="54" spans="1:31" x14ac:dyDescent="0.25">
      <c r="A54" s="2"/>
      <c r="B54" s="98" t="s">
        <v>103</v>
      </c>
      <c r="C54" s="99"/>
      <c r="D54" s="99"/>
      <c r="E54" s="98"/>
      <c r="F54" s="98"/>
      <c r="G54" s="98"/>
      <c r="H54" s="98"/>
      <c r="I54" s="102" t="s">
        <v>102</v>
      </c>
      <c r="J54" s="102">
        <v>1</v>
      </c>
      <c r="K54" s="102">
        <v>2</v>
      </c>
      <c r="L54" s="102">
        <v>3</v>
      </c>
      <c r="M54" s="102">
        <v>4</v>
      </c>
      <c r="N54" s="102">
        <v>5</v>
      </c>
      <c r="O54" s="102">
        <v>6</v>
      </c>
      <c r="P54" s="20" t="s">
        <v>2</v>
      </c>
      <c r="Q54" s="2"/>
      <c r="R54" s="150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68"/>
    </row>
    <row r="55" spans="1:31" x14ac:dyDescent="0.25">
      <c r="A55" s="2"/>
      <c r="B55" s="2"/>
      <c r="C55" s="2"/>
      <c r="D55" s="2"/>
      <c r="E55" s="103"/>
      <c r="F55" s="103"/>
      <c r="G55" s="103"/>
      <c r="H55" s="103"/>
      <c r="I55" s="104"/>
      <c r="J55" s="105"/>
      <c r="K55" s="105"/>
      <c r="L55" s="105"/>
      <c r="M55" s="105"/>
      <c r="N55" s="105"/>
      <c r="O55" s="100"/>
      <c r="P55" s="2"/>
      <c r="Q55" s="2"/>
      <c r="R55" s="100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</row>
    <row r="56" spans="1:31" x14ac:dyDescent="0.25">
      <c r="A56" s="2"/>
      <c r="B56" s="106" t="s">
        <v>101</v>
      </c>
      <c r="C56" s="2"/>
      <c r="D56" s="2"/>
      <c r="E56" s="107"/>
      <c r="F56" s="107"/>
      <c r="G56" s="107"/>
      <c r="H56" s="107"/>
      <c r="I56" s="108"/>
      <c r="J56" s="109">
        <v>0.1065</v>
      </c>
      <c r="K56" s="109">
        <v>0.1065</v>
      </c>
      <c r="L56" s="109">
        <v>0.1065</v>
      </c>
      <c r="M56" s="109">
        <v>0.1065</v>
      </c>
      <c r="N56" s="109">
        <v>0.1065</v>
      </c>
      <c r="O56" s="109">
        <v>0.1065</v>
      </c>
      <c r="P56" s="109">
        <v>0.1065</v>
      </c>
      <c r="Q56" s="19"/>
      <c r="R56" s="151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</row>
    <row r="57" spans="1:31" x14ac:dyDescent="0.25">
      <c r="A57" s="2"/>
      <c r="B57" s="2"/>
      <c r="C57" s="2"/>
      <c r="D57" s="2"/>
      <c r="E57" s="2"/>
      <c r="F57" s="2"/>
      <c r="G57" s="17"/>
      <c r="H57" s="2"/>
      <c r="I57" s="111"/>
      <c r="J57" s="2"/>
      <c r="K57" s="2"/>
      <c r="L57" s="2"/>
      <c r="M57" s="2"/>
      <c r="N57" s="2"/>
      <c r="O57" s="100"/>
      <c r="P57" s="2"/>
      <c r="Q57" s="2"/>
      <c r="R57" s="2"/>
    </row>
    <row r="58" spans="1:31" x14ac:dyDescent="0.25">
      <c r="A58" s="2"/>
      <c r="B58" s="112" t="s">
        <v>100</v>
      </c>
      <c r="C58" s="2"/>
      <c r="D58" s="2"/>
      <c r="E58" s="103"/>
      <c r="F58" s="103"/>
      <c r="G58" s="103"/>
      <c r="H58" s="103"/>
      <c r="I58" s="113">
        <f>I17</f>
        <v>35976</v>
      </c>
      <c r="J58" s="114">
        <f t="shared" ref="J58:P58" si="9">I58+(I58*J56)</f>
        <v>39807.444000000003</v>
      </c>
      <c r="K58" s="114">
        <f t="shared" si="9"/>
        <v>44046.936786000006</v>
      </c>
      <c r="L58" s="114">
        <f t="shared" si="9"/>
        <v>48737.935553709009</v>
      </c>
      <c r="M58" s="114">
        <f t="shared" si="9"/>
        <v>53928.52569017902</v>
      </c>
      <c r="N58" s="114">
        <f t="shared" si="9"/>
        <v>59671.913676183089</v>
      </c>
      <c r="O58" s="114">
        <f t="shared" si="9"/>
        <v>66026.972482696583</v>
      </c>
      <c r="P58" s="114">
        <f t="shared" si="9"/>
        <v>73058.845052103774</v>
      </c>
      <c r="Q58" s="121"/>
      <c r="R58" s="121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</row>
    <row r="59" spans="1:31" x14ac:dyDescent="0.25">
      <c r="A59" s="2"/>
      <c r="B59" s="106"/>
      <c r="C59" s="2"/>
      <c r="D59" s="2"/>
      <c r="E59" s="107"/>
      <c r="F59" s="107"/>
      <c r="G59" s="107"/>
      <c r="H59" s="107"/>
      <c r="I59" s="116"/>
      <c r="J59" s="117"/>
      <c r="K59" s="117"/>
      <c r="L59" s="117"/>
      <c r="M59" s="117"/>
      <c r="N59" s="117"/>
      <c r="O59" s="118"/>
      <c r="P59" s="2"/>
      <c r="Q59" s="2"/>
      <c r="R59" s="2"/>
    </row>
    <row r="60" spans="1:31" x14ac:dyDescent="0.25">
      <c r="A60" s="2"/>
      <c r="B60" s="2" t="s">
        <v>99</v>
      </c>
      <c r="C60" s="2"/>
      <c r="D60" s="2"/>
      <c r="E60" s="2"/>
      <c r="F60" s="2"/>
      <c r="G60" s="2"/>
      <c r="H60" s="2"/>
      <c r="I60" s="119"/>
      <c r="J60" s="120">
        <f>'story&amp;estimations'!D97</f>
        <v>0.1547</v>
      </c>
      <c r="K60" s="120">
        <f>'story&amp;estimations'!E97</f>
        <v>0.1497</v>
      </c>
      <c r="L60" s="120">
        <f>'story&amp;estimations'!F97</f>
        <v>0.1447</v>
      </c>
      <c r="M60" s="120">
        <f>'story&amp;estimations'!G97</f>
        <v>0.13969999999999999</v>
      </c>
      <c r="N60" s="120">
        <f>'story&amp;estimations'!H97</f>
        <v>0.13469999999999999</v>
      </c>
      <c r="O60" s="120">
        <f>'story&amp;estimations'!I97</f>
        <v>0.12969999999999998</v>
      </c>
      <c r="P60" s="120">
        <f>'story&amp;estimations'!J97</f>
        <v>0.12</v>
      </c>
      <c r="Q60" s="119"/>
      <c r="R60" s="152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</row>
    <row r="61" spans="1:31" x14ac:dyDescent="0.25">
      <c r="A61" s="2"/>
      <c r="B61" s="2"/>
      <c r="C61" s="2"/>
      <c r="D61" s="2"/>
      <c r="E61" s="2"/>
      <c r="F61" s="2"/>
      <c r="G61" s="2"/>
      <c r="H61" s="2"/>
      <c r="I61" s="113"/>
      <c r="J61" s="121"/>
      <c r="K61" s="121"/>
      <c r="L61" s="121"/>
      <c r="M61" s="121"/>
      <c r="N61" s="121"/>
      <c r="O61" s="118"/>
      <c r="P61" s="2"/>
      <c r="Q61" s="2"/>
      <c r="R61" s="2"/>
    </row>
    <row r="62" spans="1:31" x14ac:dyDescent="0.25">
      <c r="A62" s="2"/>
      <c r="B62" s="112" t="s">
        <v>98</v>
      </c>
      <c r="C62" s="2"/>
      <c r="D62" s="2"/>
      <c r="E62" s="103"/>
      <c r="F62" s="103"/>
      <c r="G62" s="103"/>
      <c r="H62" s="103"/>
      <c r="I62" s="113"/>
      <c r="J62" s="122">
        <f t="shared" ref="J62:P62" si="10">J58*J60</f>
        <v>6158.211586800001</v>
      </c>
      <c r="K62" s="122">
        <f t="shared" si="10"/>
        <v>6593.8264368642012</v>
      </c>
      <c r="L62" s="122">
        <f t="shared" si="10"/>
        <v>7052.3792746216932</v>
      </c>
      <c r="M62" s="122">
        <f t="shared" si="10"/>
        <v>7533.8150389180082</v>
      </c>
      <c r="N62" s="122">
        <f t="shared" si="10"/>
        <v>8037.8067721818616</v>
      </c>
      <c r="O62" s="122">
        <f t="shared" si="10"/>
        <v>8563.6983310057458</v>
      </c>
      <c r="P62" s="122">
        <f t="shared" si="10"/>
        <v>8767.0614062524528</v>
      </c>
      <c r="Q62" s="122"/>
      <c r="R62" s="121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</row>
    <row r="63" spans="1:31" x14ac:dyDescent="0.25">
      <c r="A63" s="2"/>
      <c r="B63" s="106"/>
      <c r="C63" s="2"/>
      <c r="D63" s="2"/>
      <c r="E63" s="107"/>
      <c r="F63" s="107"/>
      <c r="G63" s="107"/>
      <c r="H63" s="107"/>
      <c r="I63" s="116"/>
      <c r="J63" s="117"/>
      <c r="K63" s="117"/>
      <c r="L63" s="117"/>
      <c r="M63" s="117"/>
      <c r="N63" s="117"/>
      <c r="O63" s="118"/>
      <c r="P63" s="2"/>
      <c r="Q63" s="2"/>
      <c r="R63" s="2"/>
    </row>
    <row r="64" spans="1:31" x14ac:dyDescent="0.25">
      <c r="A64" s="2"/>
      <c r="B64" s="2" t="s">
        <v>97</v>
      </c>
      <c r="C64" s="2"/>
      <c r="D64" s="2"/>
      <c r="E64" s="2"/>
      <c r="F64" s="2"/>
      <c r="G64" s="2"/>
      <c r="H64" s="2"/>
      <c r="I64" s="123"/>
      <c r="J64" s="56">
        <f>J23</f>
        <v>0.2</v>
      </c>
      <c r="K64" s="56">
        <v>0.21</v>
      </c>
      <c r="L64" s="56">
        <v>0.22</v>
      </c>
      <c r="M64" s="56">
        <v>0.23</v>
      </c>
      <c r="N64" s="56">
        <v>0.24</v>
      </c>
      <c r="O64" s="124">
        <f>N64</f>
        <v>0.24</v>
      </c>
      <c r="P64" s="124">
        <f>O64</f>
        <v>0.24</v>
      </c>
      <c r="Q64" s="124"/>
      <c r="R64" s="124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5">
      <c r="A65" s="2"/>
      <c r="B65" s="2"/>
      <c r="C65" s="2"/>
      <c r="D65" s="2"/>
      <c r="E65" s="2"/>
      <c r="F65" s="2"/>
      <c r="G65" s="2"/>
      <c r="H65" s="2"/>
      <c r="I65" s="111"/>
      <c r="J65" s="2"/>
      <c r="K65" s="2"/>
      <c r="L65" s="2"/>
      <c r="M65" s="2"/>
      <c r="N65" s="2"/>
      <c r="O65" s="100"/>
      <c r="P65" s="2"/>
      <c r="Q65" s="2"/>
      <c r="R65" s="2"/>
    </row>
    <row r="66" spans="1:31" x14ac:dyDescent="0.25">
      <c r="A66" s="2"/>
      <c r="B66" s="121" t="s">
        <v>96</v>
      </c>
      <c r="C66" s="125"/>
      <c r="D66" s="125"/>
      <c r="E66" s="125"/>
      <c r="F66" s="125"/>
      <c r="G66" s="125"/>
      <c r="H66" s="125"/>
      <c r="I66" s="113"/>
      <c r="J66" s="121">
        <f t="shared" ref="J66:P66" si="11">J62*(1-J64)</f>
        <v>4926.5692694400013</v>
      </c>
      <c r="K66" s="121">
        <f t="shared" si="11"/>
        <v>5209.1228851227188</v>
      </c>
      <c r="L66" s="121">
        <f t="shared" si="11"/>
        <v>5500.8558342049209</v>
      </c>
      <c r="M66" s="121">
        <f t="shared" si="11"/>
        <v>5801.0375799668664</v>
      </c>
      <c r="N66" s="121">
        <f t="shared" si="11"/>
        <v>6108.7331468582152</v>
      </c>
      <c r="O66" s="121">
        <f t="shared" si="11"/>
        <v>6508.4107315643669</v>
      </c>
      <c r="P66" s="121">
        <f t="shared" si="11"/>
        <v>6662.9666687518638</v>
      </c>
      <c r="Q66" s="121"/>
      <c r="R66" s="121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</row>
    <row r="67" spans="1:31" x14ac:dyDescent="0.25">
      <c r="A67" s="2"/>
      <c r="B67" s="126"/>
      <c r="C67" s="15"/>
      <c r="D67" s="15"/>
      <c r="E67" s="15"/>
      <c r="F67" s="15"/>
      <c r="G67" s="15"/>
      <c r="H67" s="15"/>
      <c r="I67" s="127"/>
      <c r="J67" s="15"/>
      <c r="K67" s="15"/>
      <c r="L67" s="15"/>
      <c r="M67" s="15"/>
      <c r="N67" s="15"/>
      <c r="O67" s="128"/>
      <c r="P67" s="2"/>
      <c r="Q67" s="2"/>
      <c r="R67" s="2"/>
    </row>
    <row r="68" spans="1:31" x14ac:dyDescent="0.25">
      <c r="A68" s="2"/>
      <c r="B68" s="126" t="s">
        <v>95</v>
      </c>
      <c r="C68" s="15"/>
      <c r="D68" s="15"/>
      <c r="E68" s="15"/>
      <c r="F68" s="15"/>
      <c r="G68" s="15"/>
      <c r="H68" s="15"/>
      <c r="I68" s="127"/>
      <c r="J68" s="60">
        <f>'story&amp;estimations'!D153</f>
        <v>2.1000299746082862</v>
      </c>
      <c r="K68" s="60">
        <f>'story&amp;estimations'!E153</f>
        <v>1.9720299746082861</v>
      </c>
      <c r="L68" s="60">
        <f>'story&amp;estimations'!F153</f>
        <v>1.844029974608286</v>
      </c>
      <c r="M68" s="60">
        <f>'story&amp;estimations'!G153</f>
        <v>1.7160299746082859</v>
      </c>
      <c r="N68" s="60">
        <f>'story&amp;estimations'!H153</f>
        <v>1.5880299746082858</v>
      </c>
      <c r="O68" s="60">
        <f>'story&amp;estimations'!I153</f>
        <v>1.5</v>
      </c>
      <c r="P68" s="60">
        <f>'story&amp;estimations'!J153</f>
        <v>1.46</v>
      </c>
      <c r="Q68" s="2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2"/>
      <c r="B69" s="126"/>
      <c r="C69" s="15"/>
      <c r="D69" s="15"/>
      <c r="E69" s="15"/>
      <c r="F69" s="15"/>
      <c r="G69" s="15"/>
      <c r="H69" s="15"/>
      <c r="I69" s="127"/>
      <c r="J69" s="15"/>
      <c r="K69" s="15"/>
      <c r="L69" s="15"/>
      <c r="M69" s="15"/>
      <c r="N69" s="15"/>
      <c r="O69" s="128"/>
      <c r="P69" s="2"/>
      <c r="Q69" s="2"/>
      <c r="R69" s="2"/>
    </row>
    <row r="70" spans="1:31" x14ac:dyDescent="0.25">
      <c r="A70" s="2"/>
      <c r="B70" s="126" t="s">
        <v>75</v>
      </c>
      <c r="C70" s="15"/>
      <c r="D70" s="15"/>
      <c r="E70" s="15"/>
      <c r="F70" s="15"/>
      <c r="G70" s="15"/>
      <c r="H70" s="15"/>
      <c r="I70" s="127"/>
      <c r="J70" s="129">
        <f t="shared" ref="J70:P70" si="12">J58-I58</f>
        <v>3831.4440000000031</v>
      </c>
      <c r="K70" s="129">
        <f t="shared" si="12"/>
        <v>4239.4927860000025</v>
      </c>
      <c r="L70" s="129">
        <f t="shared" si="12"/>
        <v>4690.998767709003</v>
      </c>
      <c r="M70" s="129">
        <f t="shared" si="12"/>
        <v>5190.5901364700112</v>
      </c>
      <c r="N70" s="129">
        <f t="shared" si="12"/>
        <v>5743.3879860040688</v>
      </c>
      <c r="O70" s="129">
        <f t="shared" si="12"/>
        <v>6355.0588065134943</v>
      </c>
      <c r="P70" s="129">
        <f t="shared" si="12"/>
        <v>7031.8725694071909</v>
      </c>
      <c r="Q70" s="121"/>
      <c r="R70" s="121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</row>
    <row r="71" spans="1:31" x14ac:dyDescent="0.25">
      <c r="A71" s="2"/>
      <c r="B71" s="126"/>
      <c r="C71" s="15"/>
      <c r="D71" s="15"/>
      <c r="E71" s="15"/>
      <c r="F71" s="15"/>
      <c r="G71" s="15"/>
      <c r="H71" s="15"/>
      <c r="I71" s="127"/>
      <c r="J71" s="15"/>
      <c r="K71" s="15"/>
      <c r="L71" s="15"/>
      <c r="M71" s="15"/>
      <c r="N71" s="15"/>
      <c r="O71" s="128"/>
      <c r="P71" s="2"/>
      <c r="Q71" s="2"/>
      <c r="R71" s="2"/>
    </row>
    <row r="72" spans="1:31" x14ac:dyDescent="0.25">
      <c r="A72" s="2"/>
      <c r="B72" s="121" t="s">
        <v>94</v>
      </c>
      <c r="C72" s="15"/>
      <c r="D72" s="15"/>
      <c r="E72" s="130"/>
      <c r="F72" s="130"/>
      <c r="G72" s="130"/>
      <c r="H72" s="130"/>
      <c r="I72" s="131"/>
      <c r="J72" s="132">
        <f t="shared" ref="J72:P72" si="13">J70/J68</f>
        <v>1824.4711010444855</v>
      </c>
      <c r="K72" s="132">
        <f t="shared" si="13"/>
        <v>2149.8115346051541</v>
      </c>
      <c r="L72" s="132">
        <f t="shared" si="13"/>
        <v>2543.8842276441183</v>
      </c>
      <c r="M72" s="132">
        <f t="shared" si="13"/>
        <v>3024.7665910700975</v>
      </c>
      <c r="N72" s="132">
        <f t="shared" si="13"/>
        <v>3616.6747969733833</v>
      </c>
      <c r="O72" s="132">
        <f t="shared" si="13"/>
        <v>4236.7058710089959</v>
      </c>
      <c r="P72" s="132">
        <f t="shared" si="13"/>
        <v>4816.3510749364323</v>
      </c>
      <c r="Q72" s="132"/>
      <c r="R72" s="132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</row>
    <row r="73" spans="1:31" x14ac:dyDescent="0.25">
      <c r="A73" s="2"/>
      <c r="B73" s="121"/>
      <c r="C73" s="15"/>
      <c r="D73" s="15"/>
      <c r="E73" s="130"/>
      <c r="F73" s="130"/>
      <c r="G73" s="130"/>
      <c r="H73" s="130"/>
      <c r="I73" s="131"/>
      <c r="J73" s="132"/>
      <c r="K73" s="132"/>
      <c r="L73" s="132"/>
      <c r="M73" s="132"/>
      <c r="N73" s="132"/>
      <c r="O73" s="132"/>
      <c r="P73" s="132"/>
      <c r="Q73" s="132"/>
      <c r="R73" s="132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</row>
    <row r="74" spans="1:31" x14ac:dyDescent="0.25">
      <c r="A74" s="2"/>
      <c r="B74" s="121" t="s">
        <v>122</v>
      </c>
      <c r="C74" s="15"/>
      <c r="D74" s="15"/>
      <c r="E74" s="130"/>
      <c r="F74" s="130"/>
      <c r="G74" s="130"/>
      <c r="H74" s="130"/>
      <c r="I74" s="131"/>
      <c r="J74" s="62">
        <f>J72/J66</f>
        <v>0.37033298452979463</v>
      </c>
      <c r="K74" s="62">
        <f t="shared" ref="K74:O74" si="14">K72/K66</f>
        <v>0.41270125163394139</v>
      </c>
      <c r="L74" s="62">
        <f t="shared" si="14"/>
        <v>0.46245244454980422</v>
      </c>
      <c r="M74" s="62">
        <f t="shared" si="14"/>
        <v>0.52141820310141385</v>
      </c>
      <c r="N74" s="62">
        <f t="shared" si="14"/>
        <v>0.59204989152840581</v>
      </c>
      <c r="O74" s="62">
        <f t="shared" si="14"/>
        <v>0.65095858970023202</v>
      </c>
      <c r="P74" s="62">
        <f>P72/P66</f>
        <v>0.72285384489828952</v>
      </c>
      <c r="Q74" s="132"/>
      <c r="R74" s="132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</row>
    <row r="75" spans="1:31" x14ac:dyDescent="0.25">
      <c r="A75" s="2"/>
      <c r="B75" s="121"/>
      <c r="C75" s="15"/>
      <c r="D75" s="15"/>
      <c r="E75" s="130"/>
      <c r="F75" s="130"/>
      <c r="G75" s="130"/>
      <c r="H75" s="130"/>
      <c r="I75" s="131"/>
      <c r="J75" s="132"/>
      <c r="K75" s="132"/>
      <c r="L75" s="132"/>
      <c r="M75" s="132"/>
      <c r="N75" s="132"/>
      <c r="O75" s="132"/>
      <c r="P75" s="132"/>
      <c r="Q75" s="132"/>
      <c r="R75" s="132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</row>
    <row r="76" spans="1:31" x14ac:dyDescent="0.25">
      <c r="A76" s="2"/>
      <c r="B76" s="15"/>
      <c r="C76" s="15"/>
      <c r="D76" s="15"/>
      <c r="E76" s="130"/>
      <c r="F76" s="130"/>
      <c r="G76" s="130"/>
      <c r="H76" s="130"/>
      <c r="I76" s="131"/>
      <c r="J76" s="133">
        <v>1</v>
      </c>
      <c r="K76" s="133">
        <v>2</v>
      </c>
      <c r="L76" s="133">
        <v>3</v>
      </c>
      <c r="M76" s="133">
        <v>4</v>
      </c>
      <c r="N76" s="133">
        <v>5</v>
      </c>
      <c r="O76" s="133">
        <v>6</v>
      </c>
      <c r="P76" s="133">
        <v>7</v>
      </c>
      <c r="Q76" s="2"/>
      <c r="R76" s="133"/>
      <c r="S76" s="1"/>
      <c r="T76" s="74"/>
      <c r="U76" s="1"/>
      <c r="V76" s="74"/>
      <c r="W76" s="1"/>
      <c r="X76" s="74"/>
      <c r="Y76" s="1"/>
      <c r="Z76" s="74"/>
      <c r="AA76" s="1"/>
      <c r="AB76" s="74"/>
      <c r="AC76" s="1"/>
      <c r="AD76" s="74"/>
      <c r="AE76" s="1"/>
    </row>
    <row r="77" spans="1:31" x14ac:dyDescent="0.25">
      <c r="A77" s="2"/>
      <c r="B77" s="121" t="s">
        <v>93</v>
      </c>
      <c r="C77" s="15"/>
      <c r="D77" s="15"/>
      <c r="E77" s="130"/>
      <c r="F77" s="130"/>
      <c r="G77" s="130"/>
      <c r="H77" s="134" t="s">
        <v>92</v>
      </c>
      <c r="I77" s="134"/>
      <c r="J77" s="135">
        <f t="shared" ref="J77:P77" si="15">J66-J72</f>
        <v>3102.098168395516</v>
      </c>
      <c r="K77" s="135">
        <f t="shared" si="15"/>
        <v>3059.3113505175647</v>
      </c>
      <c r="L77" s="135">
        <f t="shared" si="15"/>
        <v>2956.9716065608027</v>
      </c>
      <c r="M77" s="135">
        <f t="shared" si="15"/>
        <v>2776.2709888967688</v>
      </c>
      <c r="N77" s="135">
        <f t="shared" si="15"/>
        <v>2492.0583498848318</v>
      </c>
      <c r="O77" s="135">
        <f t="shared" si="15"/>
        <v>2271.7048605553709</v>
      </c>
      <c r="P77" s="135">
        <f t="shared" si="15"/>
        <v>1846.6155938154316</v>
      </c>
      <c r="Q77" s="121"/>
      <c r="R77" s="121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</row>
    <row r="78" spans="1:31" x14ac:dyDescent="0.25">
      <c r="A78" s="2"/>
      <c r="B78" s="2"/>
      <c r="C78" s="17"/>
      <c r="D78" s="17"/>
      <c r="E78" s="17"/>
      <c r="F78" s="17"/>
      <c r="G78" s="17"/>
      <c r="H78" s="198" t="s">
        <v>91</v>
      </c>
      <c r="I78" s="199"/>
      <c r="J78" s="136">
        <f>J37</f>
        <v>9.6261602519182157E-2</v>
      </c>
      <c r="K78" s="136">
        <f t="shared" ref="K78:P78" si="16">K37</f>
        <v>9.2195679087624077E-2</v>
      </c>
      <c r="L78" s="136">
        <f t="shared" si="16"/>
        <v>8.8161851283012516E-2</v>
      </c>
      <c r="M78" s="136">
        <f t="shared" si="16"/>
        <v>8.4160119105347458E-2</v>
      </c>
      <c r="N78" s="136">
        <f t="shared" si="16"/>
        <v>7.9703263332158311E-2</v>
      </c>
      <c r="O78" s="136">
        <f t="shared" si="16"/>
        <v>8.0072721057754065E-2</v>
      </c>
      <c r="P78" s="136">
        <f t="shared" si="16"/>
        <v>0.08</v>
      </c>
      <c r="Q78" s="153"/>
      <c r="R78" s="153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</row>
    <row r="79" spans="1:31" x14ac:dyDescent="0.25">
      <c r="A79" s="2"/>
      <c r="B79" s="2"/>
      <c r="C79" s="17"/>
      <c r="D79" s="17"/>
      <c r="E79" s="17"/>
      <c r="F79" s="17"/>
      <c r="G79" s="17"/>
      <c r="H79" s="134" t="s">
        <v>90</v>
      </c>
      <c r="I79" s="5"/>
      <c r="J79" s="135">
        <f t="shared" ref="J79:P79" si="17">J77/((1+J78)^J76)</f>
        <v>2829.7061223953942</v>
      </c>
      <c r="K79" s="135">
        <f t="shared" si="17"/>
        <v>2564.6184949290146</v>
      </c>
      <c r="L79" s="135">
        <f t="shared" si="17"/>
        <v>2294.9153206073602</v>
      </c>
      <c r="M79" s="135">
        <f t="shared" si="17"/>
        <v>2009.5006181377992</v>
      </c>
      <c r="N79" s="135">
        <f t="shared" si="17"/>
        <v>1698.384965959985</v>
      </c>
      <c r="O79" s="135">
        <f t="shared" si="17"/>
        <v>1430.981182230229</v>
      </c>
      <c r="P79" s="135">
        <f t="shared" si="17"/>
        <v>1077.4824627325861</v>
      </c>
      <c r="Q79" s="121"/>
      <c r="R79" s="121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</row>
    <row r="80" spans="1:31" ht="15.75" thickBot="1" x14ac:dyDescent="0.3">
      <c r="A80" s="2"/>
      <c r="B80" s="2"/>
      <c r="C80" s="2"/>
      <c r="D80" s="2"/>
      <c r="E80" s="2"/>
      <c r="F80" s="2"/>
      <c r="G80" s="2"/>
      <c r="H80" s="2"/>
      <c r="I80" s="139" t="s">
        <v>89</v>
      </c>
      <c r="J80" s="140">
        <f>SUM(J79:P79)</f>
        <v>13905.589166992369</v>
      </c>
      <c r="K80" s="2"/>
      <c r="L80" s="2"/>
      <c r="M80" s="2"/>
      <c r="N80" s="2"/>
      <c r="O80" s="100"/>
      <c r="P80" s="2"/>
      <c r="Q80" s="2"/>
      <c r="R80" s="2"/>
    </row>
    <row r="81" spans="1:27" x14ac:dyDescent="0.25">
      <c r="A81" s="2"/>
      <c r="B81" s="2" t="s">
        <v>88</v>
      </c>
      <c r="C81" s="141">
        <v>0.04</v>
      </c>
      <c r="D81" s="2"/>
      <c r="E81" s="2"/>
      <c r="F81" s="2"/>
      <c r="G81" s="2"/>
      <c r="H81" s="2"/>
      <c r="I81" s="17"/>
      <c r="J81" s="15"/>
      <c r="K81" s="2"/>
      <c r="L81" s="2"/>
      <c r="M81" s="2"/>
      <c r="N81" s="2"/>
      <c r="O81" s="100"/>
      <c r="P81" s="2"/>
      <c r="Q81" s="2"/>
      <c r="R81" s="2"/>
    </row>
    <row r="82" spans="1:27" x14ac:dyDescent="0.25">
      <c r="A82" s="2"/>
      <c r="B82" s="2" t="s">
        <v>87</v>
      </c>
      <c r="C82" s="2"/>
      <c r="D82" s="2"/>
      <c r="E82" s="2"/>
      <c r="F82" s="2"/>
      <c r="G82" s="2"/>
      <c r="H82" s="2"/>
      <c r="I82" s="2"/>
      <c r="J82" s="48"/>
      <c r="K82" s="2"/>
      <c r="L82" s="2"/>
      <c r="M82" s="2"/>
      <c r="N82" s="142">
        <f>P79/(P78-C81)</f>
        <v>26937.061568314653</v>
      </c>
      <c r="O82" s="100"/>
      <c r="P82" s="2"/>
      <c r="Q82" s="2"/>
      <c r="R82" s="2"/>
    </row>
    <row r="83" spans="1:27" x14ac:dyDescent="0.25">
      <c r="A83" s="2"/>
      <c r="B83" s="88" t="s">
        <v>86</v>
      </c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143">
        <f>N82/((1+P78)^P76)</f>
        <v>15717.516701696351</v>
      </c>
      <c r="O83" s="100"/>
      <c r="P83" s="2"/>
      <c r="Q83" s="2"/>
      <c r="R83" s="2"/>
    </row>
    <row r="84" spans="1:27" x14ac:dyDescent="0.25">
      <c r="A84" s="2"/>
      <c r="B84" s="17" t="s">
        <v>85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44">
        <f>J80+N83</f>
        <v>29623.105868688719</v>
      </c>
      <c r="O84" s="100"/>
      <c r="P84" s="2"/>
      <c r="Q84" s="2"/>
      <c r="R84" s="2"/>
    </row>
    <row r="85" spans="1:27" x14ac:dyDescent="0.25">
      <c r="A85" s="2"/>
      <c r="B85" s="145" t="s">
        <v>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47">
        <f>N44</f>
        <v>3953</v>
      </c>
      <c r="O85" s="100"/>
      <c r="P85" s="2"/>
      <c r="Q85" s="2"/>
      <c r="R85" s="2"/>
    </row>
    <row r="86" spans="1:27" x14ac:dyDescent="0.25">
      <c r="A86" s="2"/>
      <c r="B86" s="146" t="s">
        <v>83</v>
      </c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47">
        <f>N45</f>
        <v>28088</v>
      </c>
      <c r="O86" s="100"/>
      <c r="P86" s="2"/>
      <c r="Q86" s="2"/>
      <c r="R86" s="2"/>
    </row>
    <row r="87" spans="1:27" x14ac:dyDescent="0.25">
      <c r="A87" s="2"/>
      <c r="B87" s="17" t="s">
        <v>82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47">
        <f>N84+N85-N86</f>
        <v>5488.1058686887191</v>
      </c>
      <c r="O87" s="100"/>
      <c r="P87" s="2"/>
      <c r="Q87" s="2"/>
      <c r="R87" s="2"/>
    </row>
    <row r="88" spans="1:27" x14ac:dyDescent="0.25">
      <c r="A88" s="2"/>
      <c r="B88" s="88" t="s">
        <v>81</v>
      </c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185">
        <v>1132.7</v>
      </c>
      <c r="O88" s="100"/>
      <c r="P88" s="2"/>
      <c r="Q88" s="2"/>
      <c r="R88" s="2"/>
    </row>
    <row r="89" spans="1:27" x14ac:dyDescent="0.25">
      <c r="A89" s="2"/>
      <c r="B89" s="17" t="s">
        <v>80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48">
        <f>N87/N88</f>
        <v>4.8451539407510538</v>
      </c>
      <c r="O89" s="100"/>
      <c r="P89" s="2"/>
      <c r="Q89" s="2"/>
      <c r="R89" s="2"/>
    </row>
    <row r="90" spans="1:27" ht="15.75" thickBot="1" x14ac:dyDescent="0.3">
      <c r="A90" s="2"/>
      <c r="B90" s="17" t="s">
        <v>79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48">
        <v>80</v>
      </c>
      <c r="O90" s="100"/>
      <c r="P90" s="2"/>
      <c r="Q90" s="2"/>
      <c r="R90" s="2"/>
    </row>
    <row r="91" spans="1:27" ht="15.75" thickBot="1" x14ac:dyDescent="0.3">
      <c r="A91" s="2"/>
      <c r="B91" s="17" t="s">
        <v>78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86">
        <f>(N89-N90)/N90</f>
        <v>-0.93943557574061176</v>
      </c>
      <c r="O91" s="100"/>
      <c r="P91" s="2"/>
      <c r="Q91" s="2"/>
      <c r="R91" s="2"/>
    </row>
    <row r="92" spans="1:27" x14ac:dyDescent="0.25">
      <c r="A92" s="2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54"/>
      <c r="P92" s="2"/>
      <c r="Q92" s="2"/>
      <c r="R92" s="2"/>
    </row>
    <row r="93" spans="1:27" x14ac:dyDescent="0.25">
      <c r="A93" s="90" t="s">
        <v>104</v>
      </c>
      <c r="B93" s="91"/>
      <c r="C93" s="91"/>
      <c r="D93" s="91"/>
      <c r="E93" s="91"/>
      <c r="F93" s="91"/>
      <c r="G93" s="91"/>
      <c r="H93" s="2"/>
      <c r="I93" s="2"/>
      <c r="J93" s="2"/>
      <c r="K93" s="2"/>
      <c r="L93" s="2"/>
      <c r="M93" s="2"/>
      <c r="N93" s="2"/>
      <c r="O93" s="100"/>
      <c r="P93" s="100"/>
      <c r="Q93" s="100"/>
      <c r="R93" s="100"/>
      <c r="S93" s="68"/>
      <c r="T93" s="68"/>
      <c r="U93" s="68"/>
      <c r="V93" s="68"/>
      <c r="W93" s="68"/>
      <c r="X93" s="68"/>
      <c r="Y93" s="68"/>
      <c r="Z93" s="68"/>
      <c r="AA93" s="68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00"/>
      <c r="P94" s="100"/>
      <c r="Q94" s="100"/>
      <c r="R94" s="100"/>
      <c r="S94" s="68"/>
      <c r="T94" s="68"/>
      <c r="U94" s="68"/>
      <c r="V94" s="68"/>
      <c r="W94" s="68"/>
      <c r="X94" s="68"/>
      <c r="Y94" s="68"/>
      <c r="Z94" s="68"/>
      <c r="AA94" s="68"/>
    </row>
    <row r="95" spans="1:27" x14ac:dyDescent="0.25">
      <c r="A95" s="2"/>
      <c r="B95" s="98" t="s">
        <v>103</v>
      </c>
      <c r="C95" s="99"/>
      <c r="D95" s="99"/>
      <c r="E95" s="98"/>
      <c r="F95" s="98"/>
      <c r="G95" s="98"/>
      <c r="H95" s="98"/>
      <c r="I95" s="102" t="s">
        <v>102</v>
      </c>
      <c r="J95" s="102">
        <v>1</v>
      </c>
      <c r="K95" s="102">
        <v>2</v>
      </c>
      <c r="L95" s="102">
        <v>3</v>
      </c>
      <c r="M95" s="102">
        <v>4</v>
      </c>
      <c r="N95" s="102">
        <v>5</v>
      </c>
      <c r="O95" s="102">
        <v>6</v>
      </c>
      <c r="P95" s="20" t="s">
        <v>2</v>
      </c>
      <c r="Q95" s="100"/>
      <c r="R95" s="100"/>
      <c r="S95" s="68"/>
      <c r="T95" s="68"/>
      <c r="U95" s="68"/>
      <c r="V95" s="68"/>
      <c r="W95" s="68"/>
      <c r="X95" s="68"/>
      <c r="Y95" s="68"/>
      <c r="Z95" s="68"/>
      <c r="AA95" s="68"/>
    </row>
    <row r="96" spans="1:27" x14ac:dyDescent="0.25">
      <c r="A96" s="2"/>
      <c r="B96" s="2"/>
      <c r="C96" s="2"/>
      <c r="D96" s="2"/>
      <c r="E96" s="103"/>
      <c r="F96" s="103"/>
      <c r="G96" s="103"/>
      <c r="H96" s="103"/>
      <c r="I96" s="104"/>
      <c r="J96" s="105"/>
      <c r="K96" s="105"/>
      <c r="L96" s="105"/>
      <c r="M96" s="105"/>
      <c r="N96" s="105"/>
      <c r="O96" s="100"/>
      <c r="P96" s="2"/>
      <c r="Q96" s="100"/>
      <c r="R96" s="100"/>
      <c r="S96" s="68"/>
      <c r="T96" s="68"/>
      <c r="U96" s="68"/>
      <c r="V96" s="68"/>
      <c r="W96" s="68"/>
      <c r="X96" s="68"/>
      <c r="Y96" s="68"/>
      <c r="Z96" s="68"/>
      <c r="AA96" s="68"/>
    </row>
    <row r="97" spans="1:27" x14ac:dyDescent="0.25">
      <c r="A97" s="2"/>
      <c r="B97" s="106" t="s">
        <v>101</v>
      </c>
      <c r="C97" s="2"/>
      <c r="D97" s="2"/>
      <c r="E97" s="107"/>
      <c r="F97" s="107"/>
      <c r="G97" s="107"/>
      <c r="H97" s="107"/>
      <c r="I97" s="108"/>
      <c r="J97" s="109">
        <v>1.7000000000000001E-2</v>
      </c>
      <c r="K97" s="109">
        <v>0.13300000000000001</v>
      </c>
      <c r="L97" s="109">
        <v>0.1</v>
      </c>
      <c r="M97" s="109">
        <v>0.1</v>
      </c>
      <c r="N97" s="109">
        <v>0.1</v>
      </c>
      <c r="O97" s="109">
        <v>0.1</v>
      </c>
      <c r="P97" s="109">
        <v>0.1</v>
      </c>
      <c r="Q97" s="100"/>
      <c r="R97" s="100"/>
      <c r="S97" s="68"/>
      <c r="T97" s="68"/>
      <c r="U97" s="68"/>
      <c r="V97" s="68"/>
      <c r="W97" s="68"/>
      <c r="X97" s="68"/>
      <c r="Y97" s="68"/>
      <c r="Z97" s="68"/>
      <c r="AA97" s="68"/>
    </row>
    <row r="98" spans="1:27" x14ac:dyDescent="0.25">
      <c r="A98" s="2"/>
      <c r="B98" s="2"/>
      <c r="C98" s="2"/>
      <c r="D98" s="2"/>
      <c r="E98" s="2"/>
      <c r="F98" s="2"/>
      <c r="G98" s="17"/>
      <c r="H98" s="2"/>
      <c r="I98" s="111"/>
      <c r="J98" s="2"/>
      <c r="K98" s="2"/>
      <c r="L98" s="2"/>
      <c r="M98" s="2"/>
      <c r="N98" s="2"/>
      <c r="O98" s="100"/>
      <c r="P98" s="2"/>
      <c r="Q98" s="100"/>
      <c r="R98" s="100"/>
      <c r="S98" s="68"/>
      <c r="T98" s="68"/>
      <c r="U98" s="68"/>
      <c r="V98" s="68"/>
      <c r="W98" s="68"/>
      <c r="X98" s="68"/>
      <c r="Y98" s="68"/>
      <c r="Z98" s="68"/>
      <c r="AA98" s="68"/>
    </row>
    <row r="99" spans="1:27" x14ac:dyDescent="0.25">
      <c r="A99" s="2"/>
      <c r="B99" s="112" t="s">
        <v>100</v>
      </c>
      <c r="C99" s="2"/>
      <c r="D99" s="2"/>
      <c r="E99" s="103"/>
      <c r="F99" s="103"/>
      <c r="G99" s="103"/>
      <c r="H99" s="103"/>
      <c r="I99" s="113">
        <f>I58</f>
        <v>35976</v>
      </c>
      <c r="J99" s="114">
        <f t="shared" ref="J99:P99" si="18">I99+(I99*J97)</f>
        <v>36587.591999999997</v>
      </c>
      <c r="K99" s="114">
        <f t="shared" si="18"/>
        <v>41453.741735999996</v>
      </c>
      <c r="L99" s="114">
        <f t="shared" si="18"/>
        <v>45599.115909599997</v>
      </c>
      <c r="M99" s="114">
        <f t="shared" si="18"/>
        <v>50159.027500559998</v>
      </c>
      <c r="N99" s="114">
        <f t="shared" si="18"/>
        <v>55174.930250616002</v>
      </c>
      <c r="O99" s="114">
        <f t="shared" si="18"/>
        <v>60692.423275677604</v>
      </c>
      <c r="P99" s="114">
        <f t="shared" si="18"/>
        <v>66761.665603245361</v>
      </c>
      <c r="Q99" s="100"/>
      <c r="R99" s="100"/>
      <c r="S99" s="68"/>
      <c r="T99" s="68"/>
      <c r="U99" s="68"/>
      <c r="V99" s="68"/>
      <c r="W99" s="68"/>
      <c r="X99" s="68"/>
      <c r="Y99" s="68"/>
      <c r="Z99" s="68"/>
      <c r="AA99" s="68"/>
    </row>
    <row r="100" spans="1:27" x14ac:dyDescent="0.25">
      <c r="A100" s="2"/>
      <c r="B100" s="106"/>
      <c r="C100" s="2"/>
      <c r="D100" s="2"/>
      <c r="E100" s="107"/>
      <c r="F100" s="107"/>
      <c r="G100" s="107"/>
      <c r="H100" s="107"/>
      <c r="I100" s="116"/>
      <c r="J100" s="117"/>
      <c r="K100" s="117"/>
      <c r="L100" s="117"/>
      <c r="M100" s="117"/>
      <c r="N100" s="117"/>
      <c r="O100" s="118"/>
      <c r="P100" s="2"/>
      <c r="Q100" s="100"/>
      <c r="R100" s="100"/>
      <c r="S100" s="68"/>
      <c r="T100" s="68"/>
      <c r="U100" s="68"/>
      <c r="V100" s="68"/>
      <c r="W100" s="68"/>
      <c r="X100" s="68"/>
      <c r="Y100" s="68"/>
      <c r="Z100" s="68"/>
      <c r="AA100" s="68"/>
    </row>
    <row r="101" spans="1:27" x14ac:dyDescent="0.25">
      <c r="A101" s="2"/>
      <c r="B101" s="2" t="s">
        <v>99</v>
      </c>
      <c r="C101" s="2"/>
      <c r="D101" s="2"/>
      <c r="E101" s="2"/>
      <c r="F101" s="2"/>
      <c r="G101" s="2"/>
      <c r="H101" s="2"/>
      <c r="I101" s="119"/>
      <c r="J101" s="120">
        <f>J19</f>
        <v>0.16400000000000001</v>
      </c>
      <c r="K101" s="120">
        <f t="shared" ref="K101:P101" si="19">K19</f>
        <v>0.16500000000000001</v>
      </c>
      <c r="L101" s="120">
        <f t="shared" si="19"/>
        <v>0.16600000000000001</v>
      </c>
      <c r="M101" s="120">
        <f t="shared" si="19"/>
        <v>0.16700000000000001</v>
      </c>
      <c r="N101" s="120">
        <f t="shared" si="19"/>
        <v>0.16800000000000001</v>
      </c>
      <c r="O101" s="120">
        <f t="shared" si="19"/>
        <v>0.16900000000000001</v>
      </c>
      <c r="P101" s="120">
        <f t="shared" si="19"/>
        <v>0.17</v>
      </c>
      <c r="Q101" s="100"/>
      <c r="R101" s="100"/>
      <c r="S101" s="68"/>
      <c r="T101" s="68"/>
      <c r="U101" s="68"/>
      <c r="V101" s="68"/>
      <c r="W101" s="68"/>
      <c r="X101" s="68"/>
      <c r="Y101" s="68"/>
      <c r="Z101" s="68"/>
      <c r="AA101" s="68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113"/>
      <c r="J102" s="121"/>
      <c r="K102" s="121"/>
      <c r="L102" s="121"/>
      <c r="M102" s="121"/>
      <c r="N102" s="121"/>
      <c r="O102" s="118"/>
      <c r="P102" s="2"/>
      <c r="Q102" s="100"/>
      <c r="R102" s="100"/>
      <c r="S102" s="68"/>
      <c r="T102" s="68"/>
      <c r="U102" s="68"/>
      <c r="V102" s="68"/>
      <c r="W102" s="68"/>
      <c r="X102" s="68"/>
      <c r="Y102" s="68"/>
      <c r="Z102" s="68"/>
      <c r="AA102" s="68"/>
    </row>
    <row r="103" spans="1:27" x14ac:dyDescent="0.25">
      <c r="A103" s="2"/>
      <c r="B103" s="112" t="s">
        <v>98</v>
      </c>
      <c r="C103" s="2"/>
      <c r="D103" s="2"/>
      <c r="E103" s="103"/>
      <c r="F103" s="103"/>
      <c r="G103" s="103"/>
      <c r="H103" s="103"/>
      <c r="I103" s="113"/>
      <c r="J103" s="122">
        <f t="shared" ref="J103:P103" si="20">J99*J101</f>
        <v>6000.3650879999996</v>
      </c>
      <c r="K103" s="122">
        <f t="shared" si="20"/>
        <v>6839.8673864399998</v>
      </c>
      <c r="L103" s="122">
        <f t="shared" si="20"/>
        <v>7569.4532409936</v>
      </c>
      <c r="M103" s="122">
        <f t="shared" si="20"/>
        <v>8376.5575925935209</v>
      </c>
      <c r="N103" s="122">
        <f t="shared" si="20"/>
        <v>9269.3882821034895</v>
      </c>
      <c r="O103" s="122">
        <f t="shared" si="20"/>
        <v>10257.019533589515</v>
      </c>
      <c r="P103" s="122">
        <f t="shared" si="20"/>
        <v>11349.483152551713</v>
      </c>
      <c r="Q103" s="100"/>
      <c r="R103" s="100"/>
      <c r="S103" s="68"/>
      <c r="T103" s="68"/>
      <c r="U103" s="68"/>
      <c r="V103" s="68"/>
      <c r="W103" s="68"/>
      <c r="X103" s="68"/>
      <c r="Y103" s="68"/>
      <c r="Z103" s="68"/>
      <c r="AA103" s="68"/>
    </row>
    <row r="104" spans="1:27" x14ac:dyDescent="0.25">
      <c r="A104" s="2"/>
      <c r="B104" s="106"/>
      <c r="C104" s="2"/>
      <c r="D104" s="2"/>
      <c r="E104" s="107"/>
      <c r="F104" s="107"/>
      <c r="G104" s="107"/>
      <c r="H104" s="107"/>
      <c r="I104" s="116"/>
      <c r="J104" s="117"/>
      <c r="K104" s="117"/>
      <c r="L104" s="117"/>
      <c r="M104" s="117"/>
      <c r="N104" s="117"/>
      <c r="O104" s="118"/>
      <c r="P104" s="2"/>
      <c r="Q104" s="100"/>
      <c r="R104" s="100"/>
      <c r="S104" s="68"/>
      <c r="T104" s="68"/>
      <c r="U104" s="68"/>
      <c r="V104" s="68"/>
      <c r="W104" s="68"/>
      <c r="X104" s="68"/>
      <c r="Y104" s="68"/>
      <c r="Z104" s="68"/>
      <c r="AA104" s="68"/>
    </row>
    <row r="105" spans="1:27" x14ac:dyDescent="0.25">
      <c r="A105" s="2"/>
      <c r="B105" s="2" t="s">
        <v>97</v>
      </c>
      <c r="C105" s="2"/>
      <c r="D105" s="2"/>
      <c r="E105" s="2"/>
      <c r="F105" s="2"/>
      <c r="G105" s="2"/>
      <c r="H105" s="2"/>
      <c r="I105" s="123"/>
      <c r="J105" s="56">
        <f>J64</f>
        <v>0.2</v>
      </c>
      <c r="K105" s="56">
        <v>0.21</v>
      </c>
      <c r="L105" s="56">
        <v>0.22</v>
      </c>
      <c r="M105" s="56">
        <v>0.23</v>
      </c>
      <c r="N105" s="56">
        <v>0.24</v>
      </c>
      <c r="O105" s="124">
        <f>N105</f>
        <v>0.24</v>
      </c>
      <c r="P105" s="124">
        <f>O105</f>
        <v>0.24</v>
      </c>
      <c r="Q105" s="100"/>
      <c r="R105" s="100"/>
      <c r="S105" s="68"/>
      <c r="T105" s="68"/>
      <c r="U105" s="68"/>
      <c r="V105" s="68"/>
      <c r="W105" s="68"/>
      <c r="X105" s="68"/>
      <c r="Y105" s="68"/>
      <c r="Z105" s="68"/>
      <c r="AA105" s="68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111"/>
      <c r="J106" s="2"/>
      <c r="K106" s="2"/>
      <c r="L106" s="2"/>
      <c r="M106" s="2"/>
      <c r="N106" s="2"/>
      <c r="O106" s="100"/>
      <c r="P106" s="2"/>
      <c r="Q106" s="100"/>
      <c r="R106" s="100"/>
      <c r="S106" s="68"/>
      <c r="T106" s="68"/>
      <c r="U106" s="68"/>
      <c r="V106" s="68"/>
      <c r="W106" s="68"/>
      <c r="X106" s="68"/>
      <c r="Y106" s="68"/>
      <c r="Z106" s="68"/>
      <c r="AA106" s="68"/>
    </row>
    <row r="107" spans="1:27" x14ac:dyDescent="0.25">
      <c r="A107" s="2"/>
      <c r="B107" s="121" t="s">
        <v>96</v>
      </c>
      <c r="C107" s="125"/>
      <c r="D107" s="125"/>
      <c r="E107" s="125"/>
      <c r="F107" s="125"/>
      <c r="G107" s="125"/>
      <c r="H107" s="125"/>
      <c r="I107" s="113"/>
      <c r="J107" s="121">
        <f t="shared" ref="J107:P107" si="21">J103*(1-J105)</f>
        <v>4800.2920703999998</v>
      </c>
      <c r="K107" s="121">
        <f t="shared" si="21"/>
        <v>5403.4952352875998</v>
      </c>
      <c r="L107" s="121">
        <f t="shared" si="21"/>
        <v>5904.1735279750083</v>
      </c>
      <c r="M107" s="121">
        <f t="shared" si="21"/>
        <v>6449.9493462970113</v>
      </c>
      <c r="N107" s="121">
        <f t="shared" si="21"/>
        <v>7044.7350943986521</v>
      </c>
      <c r="O107" s="121">
        <f t="shared" si="21"/>
        <v>7795.3348455280311</v>
      </c>
      <c r="P107" s="121">
        <f t="shared" si="21"/>
        <v>8625.6071959393012</v>
      </c>
      <c r="Q107" s="100"/>
      <c r="R107" s="100"/>
      <c r="S107" s="68"/>
      <c r="T107" s="68"/>
      <c r="U107" s="68"/>
      <c r="V107" s="68"/>
      <c r="W107" s="68"/>
      <c r="X107" s="68"/>
      <c r="Y107" s="68"/>
      <c r="Z107" s="68"/>
      <c r="AA107" s="68"/>
    </row>
    <row r="108" spans="1:27" x14ac:dyDescent="0.25">
      <c r="A108" s="2"/>
      <c r="B108" s="126"/>
      <c r="C108" s="15"/>
      <c r="D108" s="15"/>
      <c r="E108" s="15"/>
      <c r="F108" s="15"/>
      <c r="G108" s="15"/>
      <c r="H108" s="15"/>
      <c r="I108" s="127"/>
      <c r="J108" s="15"/>
      <c r="K108" s="15"/>
      <c r="L108" s="15"/>
      <c r="M108" s="15"/>
      <c r="N108" s="15"/>
      <c r="O108" s="128"/>
      <c r="P108" s="2"/>
      <c r="Q108" s="100"/>
      <c r="R108" s="100"/>
      <c r="S108" s="68"/>
      <c r="T108" s="68"/>
      <c r="U108" s="68"/>
      <c r="V108" s="68"/>
      <c r="W108" s="68"/>
      <c r="X108" s="68"/>
      <c r="Y108" s="68"/>
      <c r="Z108" s="68"/>
      <c r="AA108" s="68"/>
    </row>
    <row r="109" spans="1:27" x14ac:dyDescent="0.25">
      <c r="A109" s="2"/>
      <c r="B109" s="126" t="s">
        <v>95</v>
      </c>
      <c r="C109" s="15"/>
      <c r="D109" s="15"/>
      <c r="E109" s="15"/>
      <c r="F109" s="15"/>
      <c r="G109" s="15"/>
      <c r="H109" s="15"/>
      <c r="I109" s="127"/>
      <c r="J109" s="60">
        <f>J68</f>
        <v>2.1000299746082862</v>
      </c>
      <c r="K109" s="60">
        <f>2.5</f>
        <v>2.5</v>
      </c>
      <c r="L109" s="60">
        <f>3</f>
        <v>3</v>
      </c>
      <c r="M109" s="60">
        <f>3</f>
        <v>3</v>
      </c>
      <c r="N109" s="60">
        <f>3</f>
        <v>3</v>
      </c>
      <c r="O109" s="60">
        <f>3</f>
        <v>3</v>
      </c>
      <c r="P109" s="60">
        <f>3</f>
        <v>3</v>
      </c>
      <c r="Q109" s="100"/>
      <c r="R109" s="100"/>
      <c r="S109" s="68"/>
      <c r="T109" s="68"/>
      <c r="U109" s="68"/>
      <c r="V109" s="68"/>
      <c r="W109" s="68"/>
      <c r="X109" s="68"/>
      <c r="Y109" s="68"/>
      <c r="Z109" s="68"/>
      <c r="AA109" s="68"/>
    </row>
    <row r="110" spans="1:27" x14ac:dyDescent="0.25">
      <c r="A110" s="2"/>
      <c r="B110" s="126"/>
      <c r="C110" s="15"/>
      <c r="D110" s="15"/>
      <c r="E110" s="15"/>
      <c r="F110" s="15"/>
      <c r="G110" s="15"/>
      <c r="H110" s="15"/>
      <c r="I110" s="127"/>
      <c r="J110" s="15"/>
      <c r="K110" s="15"/>
      <c r="L110" s="15"/>
      <c r="M110" s="15"/>
      <c r="N110" s="15"/>
      <c r="O110" s="128"/>
      <c r="P110" s="2"/>
      <c r="Q110" s="100"/>
      <c r="R110" s="100"/>
      <c r="S110" s="68"/>
      <c r="T110" s="68"/>
      <c r="U110" s="68"/>
      <c r="V110" s="68"/>
      <c r="W110" s="68"/>
      <c r="X110" s="68"/>
      <c r="Y110" s="68"/>
      <c r="Z110" s="68"/>
      <c r="AA110" s="68"/>
    </row>
    <row r="111" spans="1:27" x14ac:dyDescent="0.25">
      <c r="A111" s="2"/>
      <c r="B111" s="126" t="s">
        <v>75</v>
      </c>
      <c r="C111" s="15"/>
      <c r="D111" s="15"/>
      <c r="E111" s="15"/>
      <c r="F111" s="15"/>
      <c r="G111" s="15"/>
      <c r="H111" s="15"/>
      <c r="I111" s="127"/>
      <c r="J111" s="129">
        <f t="shared" ref="J111:P111" si="22">J99-I99</f>
        <v>611.59199999999691</v>
      </c>
      <c r="K111" s="129">
        <f t="shared" si="22"/>
        <v>4866.1497359999994</v>
      </c>
      <c r="L111" s="129">
        <f t="shared" si="22"/>
        <v>4145.3741736000011</v>
      </c>
      <c r="M111" s="129">
        <f t="shared" si="22"/>
        <v>4559.9115909600005</v>
      </c>
      <c r="N111" s="129">
        <f t="shared" si="22"/>
        <v>5015.9027500560042</v>
      </c>
      <c r="O111" s="129">
        <f t="shared" si="22"/>
        <v>5517.4930250616017</v>
      </c>
      <c r="P111" s="129">
        <f t="shared" si="22"/>
        <v>6069.2423275677575</v>
      </c>
      <c r="Q111" s="100"/>
      <c r="R111" s="100"/>
      <c r="S111" s="68"/>
      <c r="T111" s="68"/>
      <c r="U111" s="68"/>
      <c r="V111" s="68"/>
      <c r="W111" s="68"/>
      <c r="X111" s="68"/>
      <c r="Y111" s="68"/>
      <c r="Z111" s="68"/>
      <c r="AA111" s="68"/>
    </row>
    <row r="112" spans="1:27" x14ac:dyDescent="0.25">
      <c r="A112" s="2"/>
      <c r="B112" s="126"/>
      <c r="C112" s="15"/>
      <c r="D112" s="15"/>
      <c r="E112" s="15"/>
      <c r="F112" s="15"/>
      <c r="G112" s="15"/>
      <c r="H112" s="15"/>
      <c r="I112" s="127"/>
      <c r="J112" s="15"/>
      <c r="K112" s="15"/>
      <c r="L112" s="15"/>
      <c r="M112" s="15"/>
      <c r="N112" s="15"/>
      <c r="O112" s="128"/>
      <c r="P112" s="2"/>
      <c r="Q112" s="100"/>
      <c r="R112" s="100"/>
      <c r="S112" s="68"/>
      <c r="T112" s="68"/>
      <c r="U112" s="68"/>
      <c r="V112" s="68"/>
      <c r="W112" s="68"/>
      <c r="X112" s="68"/>
      <c r="Y112" s="68"/>
      <c r="Z112" s="68"/>
      <c r="AA112" s="68"/>
    </row>
    <row r="113" spans="1:27" x14ac:dyDescent="0.25">
      <c r="A113" s="2"/>
      <c r="B113" s="121" t="s">
        <v>94</v>
      </c>
      <c r="C113" s="15"/>
      <c r="D113" s="15"/>
      <c r="E113" s="130"/>
      <c r="F113" s="130"/>
      <c r="G113" s="130"/>
      <c r="H113" s="130"/>
      <c r="I113" s="131"/>
      <c r="J113" s="132">
        <f t="shared" ref="J113:P113" si="23">J111/J109</f>
        <v>291.23012880522134</v>
      </c>
      <c r="K113" s="132">
        <f t="shared" si="23"/>
        <v>1946.4598943999997</v>
      </c>
      <c r="L113" s="132">
        <f t="shared" si="23"/>
        <v>1381.7913912000004</v>
      </c>
      <c r="M113" s="132">
        <f t="shared" si="23"/>
        <v>1519.9705303200001</v>
      </c>
      <c r="N113" s="132">
        <f t="shared" si="23"/>
        <v>1671.9675833520014</v>
      </c>
      <c r="O113" s="132">
        <f t="shared" si="23"/>
        <v>1839.1643416872005</v>
      </c>
      <c r="P113" s="132">
        <f t="shared" si="23"/>
        <v>2023.0807758559192</v>
      </c>
      <c r="Q113" s="100"/>
      <c r="R113" s="100"/>
      <c r="S113" s="68"/>
      <c r="T113" s="68"/>
      <c r="U113" s="68"/>
      <c r="V113" s="68"/>
      <c r="W113" s="68"/>
      <c r="X113" s="68"/>
      <c r="Y113" s="68"/>
      <c r="Z113" s="68"/>
      <c r="AA113" s="68"/>
    </row>
    <row r="114" spans="1:27" x14ac:dyDescent="0.25">
      <c r="A114" s="2"/>
      <c r="B114" s="15"/>
      <c r="C114" s="15"/>
      <c r="D114" s="15"/>
      <c r="E114" s="130"/>
      <c r="F114" s="130"/>
      <c r="G114" s="130"/>
      <c r="H114" s="130"/>
      <c r="I114" s="131"/>
      <c r="J114" s="133">
        <v>1</v>
      </c>
      <c r="K114" s="133">
        <v>2</v>
      </c>
      <c r="L114" s="133">
        <v>3</v>
      </c>
      <c r="M114" s="133">
        <v>4</v>
      </c>
      <c r="N114" s="133">
        <v>5</v>
      </c>
      <c r="O114" s="133">
        <v>6</v>
      </c>
      <c r="P114" s="133">
        <v>7</v>
      </c>
      <c r="Q114" s="100"/>
      <c r="R114" s="100"/>
      <c r="S114" s="68"/>
      <c r="T114" s="68"/>
      <c r="U114" s="68"/>
      <c r="V114" s="68"/>
      <c r="W114" s="68"/>
      <c r="X114" s="68"/>
      <c r="Y114" s="68"/>
      <c r="Z114" s="68"/>
      <c r="AA114" s="68"/>
    </row>
    <row r="115" spans="1:27" x14ac:dyDescent="0.25">
      <c r="A115" s="2"/>
      <c r="B115" s="121" t="s">
        <v>93</v>
      </c>
      <c r="C115" s="15"/>
      <c r="D115" s="15"/>
      <c r="E115" s="130"/>
      <c r="F115" s="130"/>
      <c r="G115" s="130"/>
      <c r="H115" s="134" t="s">
        <v>92</v>
      </c>
      <c r="I115" s="134"/>
      <c r="J115" s="135">
        <f t="shared" ref="J115:P115" si="24">J107-J113</f>
        <v>4509.0619415947785</v>
      </c>
      <c r="K115" s="135">
        <f t="shared" si="24"/>
        <v>3457.0353408875999</v>
      </c>
      <c r="L115" s="135">
        <f t="shared" si="24"/>
        <v>4522.3821367750079</v>
      </c>
      <c r="M115" s="135">
        <f t="shared" si="24"/>
        <v>4929.9788159770114</v>
      </c>
      <c r="N115" s="135">
        <f t="shared" si="24"/>
        <v>5372.7675110466507</v>
      </c>
      <c r="O115" s="135">
        <f t="shared" si="24"/>
        <v>5956.1705038408309</v>
      </c>
      <c r="P115" s="135">
        <f t="shared" si="24"/>
        <v>6602.5264200833817</v>
      </c>
      <c r="Q115" s="100"/>
      <c r="R115" s="100"/>
      <c r="S115" s="68"/>
      <c r="T115" s="68"/>
      <c r="U115" s="68"/>
      <c r="V115" s="68"/>
      <c r="W115" s="68"/>
      <c r="X115" s="68"/>
      <c r="Y115" s="68"/>
      <c r="Z115" s="68"/>
      <c r="AA115" s="68"/>
    </row>
    <row r="116" spans="1:27" x14ac:dyDescent="0.25">
      <c r="A116" s="2"/>
      <c r="B116" s="2"/>
      <c r="C116" s="17"/>
      <c r="D116" s="17"/>
      <c r="E116" s="17"/>
      <c r="F116" s="17"/>
      <c r="G116" s="17"/>
      <c r="H116" s="198" t="s">
        <v>91</v>
      </c>
      <c r="I116" s="199"/>
      <c r="J116" s="136">
        <f>J78</f>
        <v>9.6261602519182157E-2</v>
      </c>
      <c r="K116" s="136">
        <f t="shared" ref="K116:P116" si="25">K78</f>
        <v>9.2195679087624077E-2</v>
      </c>
      <c r="L116" s="136">
        <f t="shared" si="25"/>
        <v>8.8161851283012516E-2</v>
      </c>
      <c r="M116" s="136">
        <f t="shared" si="25"/>
        <v>8.4160119105347458E-2</v>
      </c>
      <c r="N116" s="136">
        <f t="shared" si="25"/>
        <v>7.9703263332158311E-2</v>
      </c>
      <c r="O116" s="136">
        <f t="shared" si="25"/>
        <v>8.0072721057754065E-2</v>
      </c>
      <c r="P116" s="136">
        <f t="shared" si="25"/>
        <v>0.08</v>
      </c>
      <c r="Q116" s="100"/>
      <c r="R116" s="100"/>
      <c r="S116" s="68"/>
      <c r="T116" s="68"/>
      <c r="U116" s="68"/>
      <c r="V116" s="68"/>
      <c r="W116" s="68"/>
      <c r="X116" s="68"/>
      <c r="Y116" s="68"/>
      <c r="Z116" s="68"/>
      <c r="AA116" s="68"/>
    </row>
    <row r="117" spans="1:27" x14ac:dyDescent="0.25">
      <c r="A117" s="2"/>
      <c r="B117" s="2"/>
      <c r="C117" s="17"/>
      <c r="D117" s="17"/>
      <c r="E117" s="17"/>
      <c r="F117" s="17"/>
      <c r="G117" s="17"/>
      <c r="H117" s="134" t="s">
        <v>90</v>
      </c>
      <c r="I117" s="5"/>
      <c r="J117" s="135">
        <f t="shared" ref="J117:P117" si="26">J115/((1+J116)^J114)</f>
        <v>4113.1258553916923</v>
      </c>
      <c r="K117" s="135">
        <f t="shared" si="26"/>
        <v>2898.0302287191694</v>
      </c>
      <c r="L117" s="135">
        <f t="shared" si="26"/>
        <v>3509.8355453595418</v>
      </c>
      <c r="M117" s="135">
        <f t="shared" si="26"/>
        <v>3568.3820195264188</v>
      </c>
      <c r="N117" s="135">
        <f t="shared" si="26"/>
        <v>3661.6428209963801</v>
      </c>
      <c r="O117" s="135">
        <f t="shared" si="26"/>
        <v>3751.881706617155</v>
      </c>
      <c r="P117" s="135">
        <f t="shared" si="26"/>
        <v>3852.5107505831338</v>
      </c>
      <c r="Q117" s="100"/>
      <c r="R117" s="100"/>
      <c r="S117" s="68"/>
      <c r="T117" s="68"/>
      <c r="U117" s="68"/>
      <c r="V117" s="68"/>
      <c r="W117" s="68"/>
      <c r="X117" s="68"/>
      <c r="Y117" s="68"/>
      <c r="Z117" s="68"/>
      <c r="AA117" s="68"/>
    </row>
    <row r="118" spans="1:27" ht="15.75" thickBot="1" x14ac:dyDescent="0.3">
      <c r="A118" s="2"/>
      <c r="B118" s="2"/>
      <c r="C118" s="2"/>
      <c r="D118" s="2"/>
      <c r="E118" s="2"/>
      <c r="F118" s="2"/>
      <c r="G118" s="2"/>
      <c r="H118" s="2"/>
      <c r="I118" s="139" t="s">
        <v>89</v>
      </c>
      <c r="J118" s="140">
        <f>SUM(J117:P117)</f>
        <v>25355.40892719349</v>
      </c>
      <c r="K118" s="2"/>
      <c r="L118" s="2"/>
      <c r="M118" s="2"/>
      <c r="N118" s="2"/>
      <c r="O118" s="100"/>
      <c r="P118" s="2"/>
      <c r="Q118" s="100"/>
      <c r="R118" s="100"/>
      <c r="S118" s="68"/>
      <c r="T118" s="68"/>
      <c r="U118" s="68"/>
      <c r="V118" s="68"/>
      <c r="W118" s="68"/>
      <c r="X118" s="68"/>
      <c r="Y118" s="68"/>
      <c r="Z118" s="68"/>
      <c r="AA118" s="68"/>
    </row>
    <row r="119" spans="1:27" x14ac:dyDescent="0.25">
      <c r="A119" s="2"/>
      <c r="B119" s="2" t="s">
        <v>88</v>
      </c>
      <c r="C119" s="141">
        <v>0.04</v>
      </c>
      <c r="D119" s="2"/>
      <c r="E119" s="2"/>
      <c r="F119" s="2"/>
      <c r="G119" s="2"/>
      <c r="H119" s="2"/>
      <c r="I119" s="17"/>
      <c r="J119" s="15"/>
      <c r="K119" s="2"/>
      <c r="L119" s="2"/>
      <c r="M119" s="2"/>
      <c r="N119" s="2"/>
      <c r="O119" s="100"/>
      <c r="P119" s="2"/>
      <c r="Q119" s="100"/>
      <c r="R119" s="100"/>
      <c r="S119" s="68"/>
      <c r="T119" s="68"/>
      <c r="U119" s="68"/>
      <c r="V119" s="68"/>
      <c r="W119" s="68"/>
      <c r="X119" s="68"/>
      <c r="Y119" s="68"/>
      <c r="Z119" s="68"/>
      <c r="AA119" s="68"/>
    </row>
    <row r="120" spans="1:27" x14ac:dyDescent="0.25">
      <c r="A120" s="2"/>
      <c r="B120" s="2" t="s">
        <v>87</v>
      </c>
      <c r="C120" s="2"/>
      <c r="D120" s="2"/>
      <c r="E120" s="2"/>
      <c r="F120" s="2"/>
      <c r="G120" s="2"/>
      <c r="H120" s="2"/>
      <c r="I120" s="2"/>
      <c r="J120" s="48"/>
      <c r="K120" s="2"/>
      <c r="L120" s="2"/>
      <c r="M120" s="2"/>
      <c r="N120" s="142">
        <f>P117/(P116-C119)</f>
        <v>96312.768764578344</v>
      </c>
      <c r="O120" s="100"/>
      <c r="P120" s="2"/>
      <c r="Q120" s="100"/>
      <c r="R120" s="100"/>
      <c r="S120" s="68"/>
      <c r="T120" s="68"/>
      <c r="U120" s="68"/>
      <c r="V120" s="68"/>
      <c r="W120" s="68"/>
      <c r="X120" s="68"/>
      <c r="Y120" s="68"/>
      <c r="Z120" s="68"/>
      <c r="AA120" s="68"/>
    </row>
    <row r="121" spans="1:27" x14ac:dyDescent="0.25">
      <c r="A121" s="2"/>
      <c r="B121" s="88" t="s">
        <v>86</v>
      </c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143">
        <f>N120/((1+P116)^P114)</f>
        <v>56197.575515234319</v>
      </c>
      <c r="O121" s="100"/>
      <c r="P121" s="2"/>
      <c r="Q121" s="100"/>
      <c r="R121" s="100"/>
      <c r="S121" s="68"/>
      <c r="T121" s="68"/>
      <c r="U121" s="68"/>
      <c r="V121" s="68"/>
      <c r="W121" s="68"/>
      <c r="X121" s="68"/>
      <c r="Y121" s="68"/>
      <c r="Z121" s="68"/>
      <c r="AA121" s="68"/>
    </row>
    <row r="122" spans="1:27" x14ac:dyDescent="0.25">
      <c r="A122" s="2"/>
      <c r="B122" s="17" t="s">
        <v>85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44">
        <f>J118+N121</f>
        <v>81552.984442427813</v>
      </c>
      <c r="O122" s="100"/>
      <c r="P122" s="2"/>
      <c r="Q122" s="100"/>
      <c r="R122" s="100"/>
      <c r="S122" s="68"/>
      <c r="T122" s="68"/>
      <c r="U122" s="68"/>
      <c r="V122" s="68"/>
      <c r="W122" s="68"/>
      <c r="X122" s="68"/>
      <c r="Y122" s="68"/>
      <c r="Z122" s="68"/>
      <c r="AA122" s="68"/>
    </row>
    <row r="123" spans="1:27" x14ac:dyDescent="0.25">
      <c r="A123" s="2"/>
      <c r="B123" s="145" t="s">
        <v>84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47">
        <f>N85</f>
        <v>3953</v>
      </c>
      <c r="O123" s="100"/>
      <c r="P123" s="2"/>
      <c r="Q123" s="100"/>
      <c r="R123" s="100"/>
      <c r="S123" s="68"/>
      <c r="T123" s="68"/>
      <c r="U123" s="68"/>
      <c r="V123" s="68"/>
      <c r="W123" s="68"/>
      <c r="X123" s="68"/>
      <c r="Y123" s="68"/>
      <c r="Z123" s="68"/>
      <c r="AA123" s="68"/>
    </row>
    <row r="124" spans="1:27" x14ac:dyDescent="0.25">
      <c r="A124" s="2"/>
      <c r="B124" s="146" t="s">
        <v>83</v>
      </c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47">
        <f>N86</f>
        <v>28088</v>
      </c>
      <c r="O124" s="100"/>
      <c r="P124" s="2"/>
      <c r="Q124" s="100"/>
      <c r="R124" s="100"/>
      <c r="S124" s="68"/>
      <c r="T124" s="68"/>
      <c r="U124" s="68"/>
      <c r="V124" s="68"/>
      <c r="W124" s="68"/>
      <c r="X124" s="68"/>
      <c r="Y124" s="68"/>
      <c r="Z124" s="68"/>
      <c r="AA124" s="68"/>
    </row>
    <row r="125" spans="1:27" x14ac:dyDescent="0.25">
      <c r="A125" s="2"/>
      <c r="B125" s="17" t="s">
        <v>82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47">
        <f>N122+N123-N124</f>
        <v>57417.984442427813</v>
      </c>
      <c r="O125" s="100"/>
      <c r="P125" s="2"/>
      <c r="Q125" s="100"/>
      <c r="R125" s="100"/>
      <c r="S125" s="68"/>
      <c r="T125" s="68"/>
      <c r="U125" s="68"/>
      <c r="V125" s="68"/>
      <c r="W125" s="68"/>
      <c r="X125" s="68"/>
      <c r="Y125" s="68"/>
      <c r="Z125" s="68"/>
      <c r="AA125" s="68"/>
    </row>
    <row r="126" spans="1:27" x14ac:dyDescent="0.25">
      <c r="A126" s="2"/>
      <c r="B126" s="88" t="s">
        <v>81</v>
      </c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185">
        <v>1132.7</v>
      </c>
      <c r="O126" s="100"/>
      <c r="P126" s="2"/>
      <c r="Q126" s="100"/>
      <c r="R126" s="100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1:27" x14ac:dyDescent="0.25">
      <c r="A127" s="2"/>
      <c r="B127" s="17" t="s">
        <v>80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48">
        <f>N125/N126</f>
        <v>50.691254915183023</v>
      </c>
      <c r="O127" s="100"/>
      <c r="P127" s="2"/>
      <c r="Q127" s="100"/>
      <c r="R127" s="100"/>
      <c r="S127" s="68"/>
      <c r="T127" s="68"/>
      <c r="U127" s="68"/>
      <c r="V127" s="68"/>
      <c r="W127" s="68"/>
      <c r="X127" s="68"/>
      <c r="Y127" s="68"/>
      <c r="Z127" s="68"/>
      <c r="AA127" s="68"/>
    </row>
    <row r="128" spans="1:27" ht="15.75" thickBot="1" x14ac:dyDescent="0.3">
      <c r="A128" s="2"/>
      <c r="B128" s="17" t="s">
        <v>79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48">
        <v>80</v>
      </c>
      <c r="O128" s="100"/>
      <c r="P128" s="2"/>
      <c r="Q128" s="100"/>
      <c r="R128" s="100"/>
      <c r="S128" s="68"/>
      <c r="T128" s="68"/>
      <c r="U128" s="68"/>
      <c r="V128" s="68"/>
      <c r="W128" s="68"/>
      <c r="X128" s="68"/>
      <c r="Y128" s="68"/>
      <c r="Z128" s="68"/>
      <c r="AA128" s="68"/>
    </row>
    <row r="129" spans="1:27" ht="15.75" thickBot="1" x14ac:dyDescent="0.3">
      <c r="A129" s="2"/>
      <c r="B129" s="17" t="s">
        <v>78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186">
        <f>(N127-N128)/N128</f>
        <v>-0.36635931356021223</v>
      </c>
      <c r="O129" s="100"/>
      <c r="P129" s="2"/>
      <c r="Q129" s="100"/>
      <c r="R129" s="100"/>
      <c r="S129" s="68"/>
      <c r="T129" s="68"/>
      <c r="U129" s="68"/>
      <c r="V129" s="68"/>
      <c r="W129" s="68"/>
      <c r="X129" s="68"/>
      <c r="Y129" s="68"/>
      <c r="Z129" s="68"/>
      <c r="AA129" s="68"/>
    </row>
    <row r="130" spans="1:27" x14ac:dyDescent="0.25">
      <c r="A130" s="2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68"/>
      <c r="T130" s="68"/>
      <c r="U130" s="68"/>
      <c r="V130" s="68"/>
      <c r="W130" s="68"/>
      <c r="X130" s="68"/>
      <c r="Y130" s="68"/>
      <c r="Z130" s="68"/>
      <c r="AA130" s="68"/>
    </row>
    <row r="131" spans="1:27" x14ac:dyDescent="0.25">
      <c r="A131" s="2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68"/>
      <c r="T131" s="68"/>
      <c r="U131" s="68"/>
      <c r="V131" s="68"/>
      <c r="W131" s="68"/>
      <c r="X131" s="68"/>
      <c r="Y131" s="68"/>
      <c r="Z131" s="68"/>
      <c r="AA131" s="68"/>
    </row>
    <row r="132" spans="1:27" x14ac:dyDescent="0.25">
      <c r="A132" s="2"/>
      <c r="B132" s="155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68"/>
      <c r="T132" s="68"/>
      <c r="U132" s="68"/>
      <c r="V132" s="68"/>
      <c r="W132" s="68"/>
      <c r="X132" s="68"/>
      <c r="Y132" s="68"/>
      <c r="Z132" s="68"/>
      <c r="AA132" s="68"/>
    </row>
    <row r="133" spans="1:27" x14ac:dyDescent="0.25">
      <c r="A133" s="2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68"/>
      <c r="T133" s="68"/>
      <c r="U133" s="68"/>
      <c r="V133" s="68"/>
      <c r="W133" s="68"/>
      <c r="X133" s="68"/>
      <c r="Y133" s="68"/>
      <c r="Z133" s="68"/>
      <c r="AA133" s="68"/>
    </row>
    <row r="134" spans="1:27" x14ac:dyDescent="0.25">
      <c r="A134" s="2"/>
      <c r="B134" s="156"/>
      <c r="C134" s="100"/>
      <c r="D134" s="100"/>
      <c r="E134" s="156"/>
      <c r="F134" s="156"/>
      <c r="G134" s="156"/>
      <c r="H134" s="156"/>
      <c r="I134" s="150"/>
      <c r="J134" s="150"/>
      <c r="K134" s="150"/>
      <c r="L134" s="150"/>
      <c r="M134" s="150"/>
      <c r="N134" s="150"/>
      <c r="O134" s="150"/>
      <c r="P134" s="100"/>
      <c r="Q134" s="100"/>
      <c r="R134" s="100"/>
      <c r="S134" s="68"/>
      <c r="T134" s="68"/>
      <c r="U134" s="68"/>
      <c r="V134" s="68"/>
      <c r="W134" s="68"/>
      <c r="X134" s="68"/>
      <c r="Y134" s="68"/>
      <c r="Z134" s="68"/>
      <c r="AA134" s="68"/>
    </row>
    <row r="135" spans="1:27" x14ac:dyDescent="0.25">
      <c r="A135" s="2"/>
      <c r="B135" s="100"/>
      <c r="C135" s="100"/>
      <c r="D135" s="100"/>
      <c r="E135" s="157"/>
      <c r="F135" s="157"/>
      <c r="G135" s="157"/>
      <c r="H135" s="157"/>
      <c r="I135" s="157"/>
      <c r="J135" s="158"/>
      <c r="K135" s="158"/>
      <c r="L135" s="158"/>
      <c r="M135" s="158"/>
      <c r="N135" s="158"/>
      <c r="O135" s="100"/>
      <c r="P135" s="100"/>
      <c r="Q135" s="100"/>
      <c r="R135" s="100"/>
      <c r="S135" s="68"/>
      <c r="T135" s="68"/>
      <c r="U135" s="68"/>
      <c r="V135" s="68"/>
      <c r="W135" s="68"/>
      <c r="X135" s="68"/>
      <c r="Y135" s="68"/>
      <c r="Z135" s="68"/>
      <c r="AA135" s="68"/>
    </row>
    <row r="136" spans="1:27" x14ac:dyDescent="0.25">
      <c r="A136" s="2"/>
      <c r="B136" s="159"/>
      <c r="C136" s="100"/>
      <c r="D136" s="100"/>
      <c r="E136" s="160"/>
      <c r="F136" s="160"/>
      <c r="G136" s="160"/>
      <c r="H136" s="160"/>
      <c r="I136" s="161"/>
      <c r="J136" s="161"/>
      <c r="K136" s="161"/>
      <c r="L136" s="161"/>
      <c r="M136" s="161"/>
      <c r="N136" s="161"/>
      <c r="O136" s="161"/>
      <c r="P136" s="100"/>
      <c r="Q136" s="100"/>
      <c r="R136" s="100"/>
      <c r="S136" s="68"/>
      <c r="T136" s="68"/>
      <c r="U136" s="68"/>
      <c r="V136" s="68"/>
      <c r="W136" s="68"/>
      <c r="X136" s="68"/>
      <c r="Y136" s="68"/>
      <c r="Z136" s="68"/>
      <c r="AA136" s="68"/>
    </row>
    <row r="137" spans="1:27" x14ac:dyDescent="0.25">
      <c r="A137" s="2"/>
      <c r="B137" s="100"/>
      <c r="C137" s="100"/>
      <c r="D137" s="100"/>
      <c r="E137" s="100"/>
      <c r="F137" s="100"/>
      <c r="G137" s="155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68"/>
      <c r="T137" s="68"/>
      <c r="U137" s="68"/>
      <c r="V137" s="68"/>
      <c r="W137" s="68"/>
      <c r="X137" s="68"/>
      <c r="Y137" s="68"/>
      <c r="Z137" s="68"/>
      <c r="AA137" s="68"/>
    </row>
    <row r="138" spans="1:27" x14ac:dyDescent="0.25">
      <c r="A138" s="2"/>
      <c r="B138" s="162"/>
      <c r="C138" s="100"/>
      <c r="D138" s="100"/>
      <c r="E138" s="157"/>
      <c r="F138" s="157"/>
      <c r="G138" s="157"/>
      <c r="H138" s="157"/>
      <c r="I138" s="118"/>
      <c r="J138" s="163"/>
      <c r="K138" s="163"/>
      <c r="L138" s="163"/>
      <c r="M138" s="163"/>
      <c r="N138" s="163"/>
      <c r="O138" s="163"/>
      <c r="P138" s="100"/>
      <c r="Q138" s="100"/>
      <c r="R138" s="100"/>
      <c r="S138" s="68"/>
      <c r="T138" s="68"/>
      <c r="U138" s="68"/>
      <c r="V138" s="68"/>
      <c r="W138" s="68"/>
      <c r="X138" s="68"/>
      <c r="Y138" s="68"/>
      <c r="Z138" s="68"/>
      <c r="AA138" s="68"/>
    </row>
    <row r="139" spans="1:27" x14ac:dyDescent="0.25">
      <c r="A139" s="2"/>
      <c r="B139" s="159"/>
      <c r="C139" s="100"/>
      <c r="D139" s="100"/>
      <c r="E139" s="160"/>
      <c r="F139" s="160"/>
      <c r="G139" s="160"/>
      <c r="H139" s="160"/>
      <c r="I139" s="164"/>
      <c r="J139" s="164"/>
      <c r="K139" s="164"/>
      <c r="L139" s="164"/>
      <c r="M139" s="164"/>
      <c r="N139" s="164"/>
      <c r="O139" s="118"/>
      <c r="P139" s="100"/>
      <c r="Q139" s="100"/>
      <c r="R139" s="100"/>
      <c r="S139" s="68"/>
      <c r="T139" s="68"/>
      <c r="U139" s="68"/>
      <c r="V139" s="68"/>
      <c r="W139" s="68"/>
      <c r="X139" s="68"/>
      <c r="Y139" s="68"/>
      <c r="Z139" s="68"/>
      <c r="AA139" s="68"/>
    </row>
    <row r="140" spans="1:27" x14ac:dyDescent="0.25">
      <c r="A140" s="2"/>
      <c r="B140" s="100"/>
      <c r="C140" s="100"/>
      <c r="D140" s="100"/>
      <c r="E140" s="100"/>
      <c r="F140" s="100"/>
      <c r="G140" s="100"/>
      <c r="H140" s="100"/>
      <c r="I140" s="165"/>
      <c r="J140" s="165"/>
      <c r="K140" s="165"/>
      <c r="L140" s="165"/>
      <c r="M140" s="165"/>
      <c r="N140" s="165"/>
      <c r="O140" s="165"/>
      <c r="P140" s="100"/>
      <c r="Q140" s="100"/>
      <c r="R140" s="100"/>
      <c r="S140" s="68"/>
      <c r="T140" s="68"/>
      <c r="U140" s="68"/>
      <c r="V140" s="68"/>
      <c r="W140" s="68"/>
      <c r="X140" s="68"/>
      <c r="Y140" s="68"/>
      <c r="Z140" s="68"/>
      <c r="AA140" s="68"/>
    </row>
    <row r="141" spans="1:27" x14ac:dyDescent="0.25">
      <c r="A141" s="2"/>
      <c r="B141" s="100"/>
      <c r="C141" s="100"/>
      <c r="D141" s="100"/>
      <c r="E141" s="100"/>
      <c r="F141" s="100"/>
      <c r="G141" s="100"/>
      <c r="H141" s="100"/>
      <c r="I141" s="118"/>
      <c r="J141" s="118"/>
      <c r="K141" s="118"/>
      <c r="L141" s="118"/>
      <c r="M141" s="118"/>
      <c r="N141" s="118"/>
      <c r="O141" s="118"/>
      <c r="P141" s="100"/>
      <c r="Q141" s="100"/>
      <c r="R141" s="100"/>
      <c r="S141" s="68"/>
      <c r="T141" s="68"/>
      <c r="U141" s="68"/>
      <c r="V141" s="68"/>
      <c r="W141" s="68"/>
      <c r="X141" s="68"/>
      <c r="Y141" s="68"/>
      <c r="Z141" s="68"/>
      <c r="AA141" s="68"/>
    </row>
    <row r="142" spans="1:27" x14ac:dyDescent="0.25">
      <c r="A142" s="2"/>
      <c r="B142" s="162"/>
      <c r="C142" s="100"/>
      <c r="D142" s="100"/>
      <c r="E142" s="157"/>
      <c r="F142" s="157"/>
      <c r="G142" s="157"/>
      <c r="H142" s="157"/>
      <c r="I142" s="118"/>
      <c r="J142" s="118"/>
      <c r="K142" s="118"/>
      <c r="L142" s="118"/>
      <c r="M142" s="118"/>
      <c r="N142" s="118"/>
      <c r="O142" s="118"/>
      <c r="P142" s="100"/>
      <c r="Q142" s="100"/>
      <c r="R142" s="100"/>
      <c r="S142" s="68"/>
      <c r="T142" s="68"/>
      <c r="U142" s="68"/>
      <c r="V142" s="68"/>
      <c r="W142" s="68"/>
      <c r="X142" s="68"/>
      <c r="Y142" s="68"/>
      <c r="Z142" s="68"/>
      <c r="AA142" s="68"/>
    </row>
    <row r="143" spans="1:27" x14ac:dyDescent="0.25">
      <c r="A143" s="2"/>
      <c r="B143" s="159"/>
      <c r="C143" s="100"/>
      <c r="D143" s="100"/>
      <c r="E143" s="160"/>
      <c r="F143" s="160"/>
      <c r="G143" s="160"/>
      <c r="H143" s="160"/>
      <c r="I143" s="164"/>
      <c r="J143" s="164"/>
      <c r="K143" s="164"/>
      <c r="L143" s="164"/>
      <c r="M143" s="164"/>
      <c r="N143" s="164"/>
      <c r="O143" s="118"/>
      <c r="P143" s="100"/>
      <c r="Q143" s="100"/>
      <c r="R143" s="100"/>
      <c r="S143" s="68"/>
      <c r="T143" s="68"/>
      <c r="U143" s="68"/>
      <c r="V143" s="68"/>
      <c r="W143" s="68"/>
      <c r="X143" s="68"/>
      <c r="Y143" s="68"/>
      <c r="Z143" s="68"/>
      <c r="AA143" s="68"/>
    </row>
    <row r="144" spans="1:27" x14ac:dyDescent="0.25">
      <c r="A144" s="2"/>
      <c r="B144" s="100"/>
      <c r="C144" s="100"/>
      <c r="D144" s="100"/>
      <c r="E144" s="100"/>
      <c r="F144" s="100"/>
      <c r="G144" s="100"/>
      <c r="H144" s="100"/>
      <c r="I144" s="166"/>
      <c r="J144" s="166"/>
      <c r="K144" s="166"/>
      <c r="L144" s="166"/>
      <c r="M144" s="166"/>
      <c r="N144" s="166"/>
      <c r="O144" s="166"/>
      <c r="P144" s="100"/>
      <c r="Q144" s="100"/>
      <c r="R144" s="100"/>
      <c r="S144" s="68"/>
      <c r="T144" s="68"/>
      <c r="U144" s="68"/>
      <c r="V144" s="68"/>
      <c r="W144" s="68"/>
      <c r="X144" s="68"/>
      <c r="Y144" s="68"/>
      <c r="Z144" s="68"/>
      <c r="AA144" s="68"/>
    </row>
    <row r="145" spans="1:27" x14ac:dyDescent="0.25">
      <c r="A145" s="2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68"/>
      <c r="T145" s="68"/>
      <c r="U145" s="68"/>
      <c r="V145" s="68"/>
      <c r="W145" s="68"/>
      <c r="X145" s="68"/>
      <c r="Y145" s="68"/>
      <c r="Z145" s="68"/>
      <c r="AA145" s="68"/>
    </row>
    <row r="146" spans="1:27" x14ac:dyDescent="0.25">
      <c r="A146" s="2"/>
      <c r="B146" s="118"/>
      <c r="C146" s="167"/>
      <c r="D146" s="167"/>
      <c r="E146" s="167"/>
      <c r="F146" s="167"/>
      <c r="G146" s="167"/>
      <c r="H146" s="167"/>
      <c r="I146" s="118"/>
      <c r="J146" s="118"/>
      <c r="K146" s="118"/>
      <c r="L146" s="118"/>
      <c r="M146" s="118"/>
      <c r="N146" s="118"/>
      <c r="O146" s="118"/>
      <c r="P146" s="100"/>
      <c r="Q146" s="100"/>
      <c r="R146" s="100"/>
      <c r="S146" s="68"/>
      <c r="T146" s="68"/>
      <c r="U146" s="68"/>
      <c r="V146" s="68"/>
      <c r="W146" s="68"/>
      <c r="X146" s="68"/>
      <c r="Y146" s="68"/>
      <c r="Z146" s="68"/>
      <c r="AA146" s="68"/>
    </row>
    <row r="147" spans="1:27" x14ac:dyDescent="0.25">
      <c r="A147" s="2"/>
      <c r="B147" s="16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00"/>
      <c r="Q147" s="100"/>
      <c r="R147" s="100"/>
      <c r="S147" s="68"/>
      <c r="T147" s="68"/>
      <c r="U147" s="68"/>
      <c r="V147" s="68"/>
      <c r="W147" s="68"/>
      <c r="X147" s="68"/>
      <c r="Y147" s="68"/>
      <c r="Z147" s="68"/>
      <c r="AA147" s="68"/>
    </row>
    <row r="148" spans="1:27" x14ac:dyDescent="0.25">
      <c r="A148" s="2"/>
      <c r="B148" s="168"/>
      <c r="C148" s="128"/>
      <c r="D148" s="128"/>
      <c r="E148" s="128"/>
      <c r="F148" s="128"/>
      <c r="G148" s="128"/>
      <c r="H148" s="128"/>
      <c r="I148" s="128"/>
      <c r="J148" s="100"/>
      <c r="K148" s="100"/>
      <c r="L148" s="100"/>
      <c r="M148" s="100"/>
      <c r="N148" s="100"/>
      <c r="O148" s="100"/>
      <c r="P148" s="100"/>
      <c r="Q148" s="100"/>
      <c r="R148" s="100"/>
      <c r="S148" s="68"/>
      <c r="T148" s="68"/>
      <c r="U148" s="68"/>
      <c r="V148" s="68"/>
      <c r="W148" s="68"/>
      <c r="X148" s="68"/>
      <c r="Y148" s="68"/>
      <c r="Z148" s="68"/>
      <c r="AA148" s="68"/>
    </row>
    <row r="149" spans="1:27" x14ac:dyDescent="0.25">
      <c r="A149" s="2"/>
      <c r="B149" s="16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00"/>
      <c r="Q149" s="100"/>
      <c r="R149" s="100"/>
      <c r="S149" s="68"/>
      <c r="T149" s="68"/>
      <c r="U149" s="68"/>
      <c r="V149" s="68"/>
      <c r="W149" s="68"/>
      <c r="X149" s="68"/>
      <c r="Y149" s="68"/>
      <c r="Z149" s="68"/>
      <c r="AA149" s="68"/>
    </row>
    <row r="150" spans="1:27" x14ac:dyDescent="0.25">
      <c r="A150" s="2"/>
      <c r="B150" s="168"/>
      <c r="C150" s="128"/>
      <c r="D150" s="128"/>
      <c r="E150" s="128"/>
      <c r="F150" s="128"/>
      <c r="G150" s="128"/>
      <c r="H150" s="128"/>
      <c r="I150" s="128"/>
      <c r="J150" s="118"/>
      <c r="K150" s="118"/>
      <c r="L150" s="118"/>
      <c r="M150" s="118"/>
      <c r="N150" s="118"/>
      <c r="O150" s="118"/>
      <c r="P150" s="100"/>
      <c r="Q150" s="100"/>
      <c r="R150" s="100"/>
      <c r="S150" s="68"/>
      <c r="T150" s="68"/>
      <c r="U150" s="68"/>
      <c r="V150" s="68"/>
      <c r="W150" s="68"/>
      <c r="X150" s="68"/>
      <c r="Y150" s="68"/>
      <c r="Z150" s="68"/>
      <c r="AA150" s="68"/>
    </row>
    <row r="151" spans="1:27" x14ac:dyDescent="0.25">
      <c r="A151" s="2"/>
      <c r="B151" s="16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00"/>
      <c r="Q151" s="100"/>
      <c r="R151" s="100"/>
      <c r="S151" s="68"/>
      <c r="T151" s="68"/>
      <c r="U151" s="68"/>
      <c r="V151" s="68"/>
      <c r="W151" s="68"/>
      <c r="X151" s="68"/>
      <c r="Y151" s="68"/>
      <c r="Z151" s="68"/>
      <c r="AA151" s="68"/>
    </row>
    <row r="152" spans="1:27" x14ac:dyDescent="0.25">
      <c r="A152" s="2"/>
      <c r="B152" s="118"/>
      <c r="C152" s="128"/>
      <c r="D152" s="128"/>
      <c r="E152" s="169"/>
      <c r="F152" s="169"/>
      <c r="G152" s="169"/>
      <c r="H152" s="169"/>
      <c r="I152" s="169"/>
      <c r="J152" s="170"/>
      <c r="K152" s="170"/>
      <c r="L152" s="170"/>
      <c r="M152" s="170"/>
      <c r="N152" s="170"/>
      <c r="O152" s="170"/>
      <c r="P152" s="100"/>
      <c r="Q152" s="100"/>
      <c r="R152" s="100"/>
      <c r="S152" s="68"/>
      <c r="T152" s="68"/>
      <c r="U152" s="68"/>
      <c r="V152" s="68"/>
      <c r="W152" s="68"/>
      <c r="X152" s="68"/>
      <c r="Y152" s="68"/>
      <c r="Z152" s="68"/>
      <c r="AA152" s="68"/>
    </row>
    <row r="153" spans="1:27" x14ac:dyDescent="0.25">
      <c r="A153" s="2"/>
      <c r="B153" s="128"/>
      <c r="C153" s="128"/>
      <c r="D153" s="128"/>
      <c r="E153" s="169"/>
      <c r="F153" s="169"/>
      <c r="G153" s="169"/>
      <c r="H153" s="169"/>
      <c r="I153" s="169"/>
      <c r="J153" s="171"/>
      <c r="K153" s="171"/>
      <c r="L153" s="171"/>
      <c r="M153" s="171"/>
      <c r="N153" s="171"/>
      <c r="O153" s="171"/>
      <c r="P153" s="100"/>
      <c r="Q153" s="100"/>
      <c r="R153" s="100"/>
      <c r="S153" s="68"/>
      <c r="T153" s="68"/>
      <c r="U153" s="68"/>
      <c r="V153" s="68"/>
      <c r="W153" s="68"/>
      <c r="X153" s="68"/>
      <c r="Y153" s="68"/>
      <c r="Z153" s="68"/>
      <c r="AA153" s="68"/>
    </row>
    <row r="154" spans="1:27" x14ac:dyDescent="0.25">
      <c r="A154" s="2"/>
      <c r="B154" s="118"/>
      <c r="C154" s="128"/>
      <c r="D154" s="128"/>
      <c r="E154" s="169"/>
      <c r="F154" s="169"/>
      <c r="G154" s="169"/>
      <c r="H154" s="197"/>
      <c r="I154" s="197"/>
      <c r="J154" s="118"/>
      <c r="K154" s="118"/>
      <c r="L154" s="118"/>
      <c r="M154" s="118"/>
      <c r="N154" s="118"/>
      <c r="O154" s="118"/>
      <c r="P154" s="100"/>
      <c r="Q154" s="100"/>
      <c r="R154" s="100"/>
      <c r="S154" s="68"/>
      <c r="T154" s="68"/>
      <c r="U154" s="68"/>
      <c r="V154" s="68"/>
      <c r="W154" s="68"/>
      <c r="X154" s="68"/>
      <c r="Y154" s="68"/>
      <c r="Z154" s="68"/>
      <c r="AA154" s="68"/>
    </row>
    <row r="155" spans="1:27" x14ac:dyDescent="0.25">
      <c r="A155" s="2"/>
      <c r="B155" s="100"/>
      <c r="C155" s="155"/>
      <c r="D155" s="155"/>
      <c r="E155" s="155"/>
      <c r="F155" s="155"/>
      <c r="G155" s="155"/>
      <c r="H155" s="197"/>
      <c r="I155" s="197"/>
      <c r="J155" s="172"/>
      <c r="K155" s="172"/>
      <c r="L155" s="172"/>
      <c r="M155" s="172"/>
      <c r="N155" s="172"/>
      <c r="O155" s="172"/>
      <c r="P155" s="100"/>
      <c r="Q155" s="100"/>
      <c r="R155" s="100"/>
      <c r="S155" s="68"/>
      <c r="T155" s="68"/>
      <c r="U155" s="68"/>
      <c r="V155" s="68"/>
      <c r="W155" s="68"/>
      <c r="X155" s="68"/>
      <c r="Y155" s="68"/>
      <c r="Z155" s="68"/>
      <c r="AA155" s="68"/>
    </row>
    <row r="156" spans="1:27" x14ac:dyDescent="0.25">
      <c r="A156" s="2"/>
      <c r="B156" s="100"/>
      <c r="C156" s="155"/>
      <c r="D156" s="155"/>
      <c r="E156" s="155"/>
      <c r="F156" s="155"/>
      <c r="G156" s="155"/>
      <c r="H156" s="155"/>
      <c r="I156" s="100"/>
      <c r="J156" s="118"/>
      <c r="K156" s="118"/>
      <c r="L156" s="118"/>
      <c r="M156" s="118"/>
      <c r="N156" s="118"/>
      <c r="O156" s="118"/>
      <c r="P156" s="100"/>
      <c r="Q156" s="100"/>
      <c r="R156" s="100"/>
      <c r="S156" s="68"/>
      <c r="T156" s="68"/>
      <c r="U156" s="68"/>
      <c r="V156" s="68"/>
      <c r="W156" s="68"/>
      <c r="X156" s="68"/>
      <c r="Y156" s="68"/>
      <c r="Z156" s="68"/>
      <c r="AA156" s="68"/>
    </row>
    <row r="157" spans="1:27" x14ac:dyDescent="0.25">
      <c r="A157" s="2"/>
      <c r="B157" s="100"/>
      <c r="C157" s="100"/>
      <c r="D157" s="100"/>
      <c r="E157" s="100"/>
      <c r="F157" s="100"/>
      <c r="G157" s="100"/>
      <c r="H157" s="100"/>
      <c r="I157" s="155"/>
      <c r="J157" s="128"/>
      <c r="K157" s="100"/>
      <c r="L157" s="100"/>
      <c r="M157" s="100"/>
      <c r="N157" s="100"/>
      <c r="O157" s="100"/>
      <c r="P157" s="100"/>
      <c r="Q157" s="100"/>
      <c r="R157" s="100"/>
      <c r="S157" s="68"/>
      <c r="T157" s="68"/>
      <c r="U157" s="68"/>
      <c r="V157" s="68"/>
      <c r="W157" s="68"/>
      <c r="X157" s="68"/>
      <c r="Y157" s="68"/>
      <c r="Z157" s="68"/>
      <c r="AA157" s="68"/>
    </row>
    <row r="158" spans="1:27" x14ac:dyDescent="0.25">
      <c r="A158" s="2"/>
      <c r="B158" s="100"/>
      <c r="C158" s="173"/>
      <c r="D158" s="100"/>
      <c r="E158" s="100"/>
      <c r="F158" s="100"/>
      <c r="G158" s="100"/>
      <c r="H158" s="100"/>
      <c r="I158" s="155"/>
      <c r="J158" s="128"/>
      <c r="K158" s="100"/>
      <c r="L158" s="100"/>
      <c r="M158" s="100"/>
      <c r="N158" s="100"/>
      <c r="O158" s="100"/>
      <c r="P158" s="100"/>
      <c r="Q158" s="100"/>
      <c r="R158" s="100"/>
      <c r="S158" s="68"/>
      <c r="T158" s="68"/>
      <c r="U158" s="68"/>
      <c r="V158" s="68"/>
      <c r="W158" s="68"/>
      <c r="X158" s="68"/>
      <c r="Y158" s="68"/>
      <c r="Z158" s="68"/>
      <c r="AA158" s="68"/>
    </row>
    <row r="159" spans="1:27" x14ac:dyDescent="0.25">
      <c r="A159" s="2"/>
      <c r="B159" s="100"/>
      <c r="C159" s="100"/>
      <c r="D159" s="100"/>
      <c r="E159" s="100"/>
      <c r="F159" s="100"/>
      <c r="G159" s="100"/>
      <c r="H159" s="100"/>
      <c r="I159" s="100"/>
      <c r="J159" s="174"/>
      <c r="K159" s="100"/>
      <c r="L159" s="100"/>
      <c r="M159" s="100"/>
      <c r="N159" s="175"/>
      <c r="O159" s="100"/>
      <c r="P159" s="100"/>
      <c r="Q159" s="100"/>
      <c r="R159" s="100"/>
      <c r="S159" s="68"/>
      <c r="T159" s="68"/>
      <c r="U159" s="68"/>
      <c r="V159" s="68"/>
      <c r="W159" s="68"/>
      <c r="X159" s="68"/>
      <c r="Y159" s="68"/>
      <c r="Z159" s="68"/>
      <c r="AA159" s="68"/>
    </row>
    <row r="160" spans="1:27" x14ac:dyDescent="0.25">
      <c r="A160" s="2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75"/>
      <c r="O160" s="100"/>
      <c r="P160" s="100"/>
      <c r="Q160" s="100"/>
      <c r="R160" s="100"/>
      <c r="S160" s="68"/>
      <c r="T160" s="68"/>
      <c r="U160" s="68"/>
      <c r="V160" s="68"/>
      <c r="W160" s="68"/>
      <c r="X160" s="68"/>
      <c r="Y160" s="68"/>
      <c r="Z160" s="68"/>
      <c r="AA160" s="68"/>
    </row>
    <row r="161" spans="1:27" x14ac:dyDescent="0.25">
      <c r="A161" s="2"/>
      <c r="B161" s="155"/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76"/>
      <c r="O161" s="100"/>
      <c r="P161" s="100"/>
      <c r="Q161" s="100"/>
      <c r="R161" s="100"/>
      <c r="S161" s="68"/>
      <c r="T161" s="68"/>
      <c r="U161" s="68"/>
      <c r="V161" s="68"/>
      <c r="W161" s="68"/>
      <c r="X161" s="68"/>
      <c r="Y161" s="68"/>
      <c r="Z161" s="68"/>
      <c r="AA161" s="68"/>
    </row>
    <row r="162" spans="1:27" x14ac:dyDescent="0.25">
      <c r="A162" s="2"/>
      <c r="B162" s="177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78"/>
      <c r="O162" s="100"/>
      <c r="P162" s="100"/>
      <c r="Q162" s="100"/>
      <c r="R162" s="100"/>
      <c r="S162" s="68"/>
      <c r="T162" s="68"/>
      <c r="U162" s="68"/>
      <c r="V162" s="68"/>
      <c r="W162" s="68"/>
      <c r="X162" s="68"/>
      <c r="Y162" s="68"/>
      <c r="Z162" s="68"/>
      <c r="AA162" s="68"/>
    </row>
    <row r="163" spans="1:27" x14ac:dyDescent="0.25">
      <c r="A163" s="2"/>
      <c r="B163" s="177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78"/>
      <c r="O163" s="100"/>
      <c r="P163" s="100"/>
      <c r="Q163" s="100"/>
      <c r="R163" s="100"/>
      <c r="S163" s="68"/>
      <c r="T163" s="68"/>
      <c r="U163" s="68"/>
      <c r="V163" s="68"/>
      <c r="W163" s="68"/>
      <c r="X163" s="68"/>
      <c r="Y163" s="68"/>
      <c r="Z163" s="68"/>
      <c r="AA163" s="68"/>
    </row>
    <row r="164" spans="1:27" x14ac:dyDescent="0.25">
      <c r="A164" s="2"/>
      <c r="B164" s="155"/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79"/>
      <c r="O164" s="100"/>
      <c r="P164" s="100"/>
      <c r="Q164" s="100"/>
      <c r="R164" s="100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 x14ac:dyDescent="0.25">
      <c r="A165" s="2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80"/>
      <c r="O165" s="100"/>
      <c r="P165" s="100"/>
      <c r="Q165" s="100"/>
      <c r="R165" s="100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 x14ac:dyDescent="0.25">
      <c r="A166" s="2"/>
      <c r="B166" s="155"/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81"/>
      <c r="O166" s="100"/>
      <c r="P166" s="100"/>
      <c r="Q166" s="100"/>
      <c r="R166" s="100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 x14ac:dyDescent="0.25">
      <c r="A167" s="2"/>
      <c r="B167" s="155"/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81"/>
      <c r="O167" s="100"/>
      <c r="P167" s="100"/>
      <c r="Q167" s="100"/>
      <c r="R167" s="100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 x14ac:dyDescent="0.25">
      <c r="A168" s="1"/>
      <c r="B168" s="71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70"/>
      <c r="O168" s="69"/>
      <c r="P168" s="69"/>
      <c r="Q168" s="69"/>
      <c r="R168" s="69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 x14ac:dyDescent="0.25">
      <c r="A169" s="1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 x14ac:dyDescent="0.25"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 x14ac:dyDescent="0.25"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 x14ac:dyDescent="0.25"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 x14ac:dyDescent="0.25"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</sheetData>
  <mergeCells count="5">
    <mergeCell ref="H155:I155"/>
    <mergeCell ref="H154:I154"/>
    <mergeCell ref="H37:I37"/>
    <mergeCell ref="H78:I78"/>
    <mergeCell ref="H116:I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2EBE-1645-4B44-B762-169D792171C4}">
  <dimension ref="B1:P79"/>
  <sheetViews>
    <sheetView showGridLines="0" workbookViewId="0">
      <selection activeCell="S21" sqref="S21"/>
    </sheetView>
  </sheetViews>
  <sheetFormatPr defaultRowHeight="15" x14ac:dyDescent="0.25"/>
  <cols>
    <col min="9" max="16" width="18.5703125" customWidth="1"/>
  </cols>
  <sheetData>
    <row r="1" spans="2:16" s="193" customFormat="1" x14ac:dyDescent="0.25">
      <c r="J1" s="194">
        <f>G45</f>
        <v>0.35</v>
      </c>
      <c r="K1" s="194">
        <f>J1</f>
        <v>0.35</v>
      </c>
      <c r="L1" s="194">
        <f t="shared" ref="L1:P1" si="0">K1</f>
        <v>0.35</v>
      </c>
      <c r="M1" s="194">
        <f t="shared" si="0"/>
        <v>0.35</v>
      </c>
      <c r="N1" s="194">
        <f t="shared" si="0"/>
        <v>0.35</v>
      </c>
      <c r="O1" s="194">
        <f t="shared" si="0"/>
        <v>0.35</v>
      </c>
      <c r="P1" s="194">
        <f t="shared" si="0"/>
        <v>0.35</v>
      </c>
    </row>
    <row r="3" spans="2:16" x14ac:dyDescent="0.25">
      <c r="B3" s="98" t="s">
        <v>103</v>
      </c>
      <c r="C3" s="99"/>
      <c r="D3" s="99"/>
      <c r="E3" s="98"/>
      <c r="F3" s="98"/>
      <c r="G3" s="98"/>
      <c r="H3" s="98"/>
      <c r="I3" s="102" t="s">
        <v>102</v>
      </c>
      <c r="J3" s="102">
        <v>1</v>
      </c>
      <c r="K3" s="102">
        <v>2</v>
      </c>
      <c r="L3" s="102">
        <v>3</v>
      </c>
      <c r="M3" s="102">
        <v>4</v>
      </c>
      <c r="N3" s="102">
        <v>5</v>
      </c>
      <c r="O3" s="102">
        <v>6</v>
      </c>
      <c r="P3" s="20" t="s">
        <v>2</v>
      </c>
    </row>
    <row r="4" spans="2:16" x14ac:dyDescent="0.25">
      <c r="B4" s="2"/>
      <c r="C4" s="2"/>
      <c r="D4" s="2"/>
      <c r="E4" s="103"/>
      <c r="F4" s="103"/>
      <c r="G4" s="103"/>
      <c r="H4" s="103"/>
      <c r="I4" s="104"/>
      <c r="J4" s="105"/>
      <c r="K4" s="105"/>
      <c r="L4" s="105"/>
      <c r="M4" s="105"/>
      <c r="N4" s="105"/>
      <c r="O4" s="100"/>
      <c r="P4" s="2"/>
    </row>
    <row r="5" spans="2:16" x14ac:dyDescent="0.25">
      <c r="B5" s="106" t="s">
        <v>101</v>
      </c>
      <c r="C5" s="2"/>
      <c r="D5" s="2"/>
      <c r="E5" s="107"/>
      <c r="F5" s="107"/>
      <c r="G5" s="107"/>
      <c r="H5" s="107"/>
      <c r="I5" s="108"/>
      <c r="J5" s="109">
        <f>J1</f>
        <v>0.35</v>
      </c>
      <c r="K5" s="109">
        <f t="shared" ref="K5:P5" si="1">K1</f>
        <v>0.35</v>
      </c>
      <c r="L5" s="109">
        <f t="shared" si="1"/>
        <v>0.35</v>
      </c>
      <c r="M5" s="109">
        <f t="shared" si="1"/>
        <v>0.35</v>
      </c>
      <c r="N5" s="109">
        <f t="shared" si="1"/>
        <v>0.35</v>
      </c>
      <c r="O5" s="109">
        <f t="shared" si="1"/>
        <v>0.35</v>
      </c>
      <c r="P5" s="109">
        <f t="shared" si="1"/>
        <v>0.35</v>
      </c>
    </row>
    <row r="6" spans="2:16" x14ac:dyDescent="0.25">
      <c r="B6" s="2"/>
      <c r="C6" s="2"/>
      <c r="D6" s="2"/>
      <c r="E6" s="2"/>
      <c r="F6" s="2"/>
      <c r="G6" s="17"/>
      <c r="H6" s="2"/>
      <c r="I6" s="111"/>
      <c r="J6" s="2"/>
      <c r="K6" s="2"/>
      <c r="L6" s="2"/>
      <c r="M6" s="2"/>
      <c r="N6" s="2"/>
      <c r="O6" s="100"/>
      <c r="P6" s="2"/>
    </row>
    <row r="7" spans="2:16" x14ac:dyDescent="0.25">
      <c r="B7" s="112" t="s">
        <v>100</v>
      </c>
      <c r="C7" s="2"/>
      <c r="D7" s="2"/>
      <c r="E7" s="103"/>
      <c r="F7" s="103"/>
      <c r="G7" s="103"/>
      <c r="H7" s="103"/>
      <c r="I7" s="113">
        <f>'story&amp;estimations'!C110</f>
        <v>14867</v>
      </c>
      <c r="J7" s="114">
        <f>I7+(I7*J5)</f>
        <v>20070.45</v>
      </c>
      <c r="K7" s="114">
        <f>J7+(J7*K5)</f>
        <v>27095.107500000002</v>
      </c>
      <c r="L7" s="114">
        <f>K7+(K7*L5)</f>
        <v>36578.395125000003</v>
      </c>
      <c r="M7" s="114">
        <f>L7+(L7*M5)</f>
        <v>49380.83341875</v>
      </c>
      <c r="N7" s="114">
        <f t="shared" ref="N7:P7" si="2">M7+(M7*N5)</f>
        <v>66664.12511531249</v>
      </c>
      <c r="O7" s="114">
        <f t="shared" si="2"/>
        <v>89996.568905671855</v>
      </c>
      <c r="P7" s="114">
        <f t="shared" si="2"/>
        <v>121495.368022657</v>
      </c>
    </row>
    <row r="8" spans="2:16" x14ac:dyDescent="0.25">
      <c r="B8" s="106"/>
      <c r="C8" s="2"/>
      <c r="D8" s="2"/>
      <c r="E8" s="107"/>
      <c r="F8" s="107"/>
      <c r="G8" s="107"/>
      <c r="H8" s="107"/>
      <c r="I8" s="116"/>
      <c r="J8" s="117"/>
      <c r="K8" s="117"/>
      <c r="L8" s="117"/>
      <c r="M8" s="117"/>
      <c r="N8" s="117"/>
      <c r="O8" s="118"/>
      <c r="P8" s="2"/>
    </row>
    <row r="9" spans="2:16" x14ac:dyDescent="0.25">
      <c r="B9" s="2" t="s">
        <v>99</v>
      </c>
      <c r="C9" s="2"/>
      <c r="D9" s="2"/>
      <c r="E9" s="2"/>
      <c r="F9" s="2"/>
      <c r="G9" s="2"/>
      <c r="H9" s="2"/>
      <c r="I9" s="119"/>
      <c r="J9" s="120">
        <f>DCF!J19</f>
        <v>0.16400000000000001</v>
      </c>
      <c r="K9" s="120">
        <f>DCF!K19</f>
        <v>0.16500000000000001</v>
      </c>
      <c r="L9" s="120">
        <f>DCF!L19</f>
        <v>0.16600000000000001</v>
      </c>
      <c r="M9" s="120">
        <f>DCF!M19</f>
        <v>0.16700000000000001</v>
      </c>
      <c r="N9" s="120">
        <f>DCF!N19</f>
        <v>0.16800000000000001</v>
      </c>
      <c r="O9" s="120">
        <f>DCF!O19</f>
        <v>0.16900000000000001</v>
      </c>
      <c r="P9" s="120">
        <f>DCF!P19</f>
        <v>0.17</v>
      </c>
    </row>
    <row r="10" spans="2:16" x14ac:dyDescent="0.25">
      <c r="B10" s="2"/>
      <c r="C10" s="2"/>
      <c r="D10" s="2"/>
      <c r="E10" s="2"/>
      <c r="F10" s="2"/>
      <c r="G10" s="2"/>
      <c r="H10" s="2"/>
      <c r="I10" s="113"/>
      <c r="J10" s="121"/>
      <c r="K10" s="121"/>
      <c r="L10" s="121"/>
      <c r="M10" s="121"/>
      <c r="N10" s="121"/>
      <c r="O10" s="118"/>
      <c r="P10" s="2"/>
    </row>
    <row r="11" spans="2:16" x14ac:dyDescent="0.25">
      <c r="B11" s="112" t="s">
        <v>98</v>
      </c>
      <c r="C11" s="2"/>
      <c r="D11" s="2"/>
      <c r="E11" s="103"/>
      <c r="F11" s="103"/>
      <c r="G11" s="103"/>
      <c r="H11" s="103"/>
      <c r="I11" s="113"/>
      <c r="J11" s="122">
        <f t="shared" ref="J11:P11" si="3">J7*J9</f>
        <v>3291.5538000000001</v>
      </c>
      <c r="K11" s="122">
        <f>K7*K9</f>
        <v>4470.6927375000005</v>
      </c>
      <c r="L11" s="122">
        <f t="shared" si="3"/>
        <v>6072.0135907500007</v>
      </c>
      <c r="M11" s="122">
        <f t="shared" si="3"/>
        <v>8246.5991809312509</v>
      </c>
      <c r="N11" s="122">
        <f t="shared" si="3"/>
        <v>11199.573019372499</v>
      </c>
      <c r="O11" s="122">
        <f t="shared" si="3"/>
        <v>15209.420145058544</v>
      </c>
      <c r="P11" s="122">
        <f t="shared" si="3"/>
        <v>20654.212563851692</v>
      </c>
    </row>
    <row r="12" spans="2:16" x14ac:dyDescent="0.25">
      <c r="B12" s="106"/>
      <c r="C12" s="2"/>
      <c r="D12" s="2"/>
      <c r="E12" s="107"/>
      <c r="F12" s="107"/>
      <c r="G12" s="107"/>
      <c r="H12" s="107"/>
      <c r="I12" s="116"/>
      <c r="J12" s="117"/>
      <c r="K12" s="117"/>
      <c r="L12" s="117"/>
      <c r="M12" s="117"/>
      <c r="N12" s="117"/>
      <c r="O12" s="118"/>
      <c r="P12" s="2"/>
    </row>
    <row r="13" spans="2:16" x14ac:dyDescent="0.25">
      <c r="B13" s="2" t="s">
        <v>97</v>
      </c>
      <c r="C13" s="2"/>
      <c r="D13" s="2"/>
      <c r="E13" s="2"/>
      <c r="F13" s="2"/>
      <c r="G13" s="2"/>
      <c r="H13" s="2"/>
      <c r="I13" s="123"/>
      <c r="J13" s="56">
        <v>0.2</v>
      </c>
      <c r="K13" s="56">
        <v>0.21</v>
      </c>
      <c r="L13" s="56">
        <v>0.22</v>
      </c>
      <c r="M13" s="56">
        <v>0.23</v>
      </c>
      <c r="N13" s="56">
        <v>0.24</v>
      </c>
      <c r="O13" s="124">
        <f>N13</f>
        <v>0.24</v>
      </c>
      <c r="P13" s="124">
        <f>O13</f>
        <v>0.24</v>
      </c>
    </row>
    <row r="14" spans="2:16" x14ac:dyDescent="0.25">
      <c r="B14" s="2"/>
      <c r="C14" s="2"/>
      <c r="D14" s="2"/>
      <c r="E14" s="2"/>
      <c r="F14" s="2"/>
      <c r="G14" s="2"/>
      <c r="H14" s="2"/>
      <c r="I14" s="111"/>
      <c r="J14" s="2"/>
      <c r="K14" s="2"/>
      <c r="L14" s="2"/>
      <c r="M14" s="2"/>
      <c r="N14" s="2"/>
      <c r="O14" s="100"/>
      <c r="P14" s="2"/>
    </row>
    <row r="15" spans="2:16" x14ac:dyDescent="0.25">
      <c r="B15" s="121" t="s">
        <v>96</v>
      </c>
      <c r="C15" s="125"/>
      <c r="D15" s="125"/>
      <c r="E15" s="125"/>
      <c r="F15" s="125"/>
      <c r="G15" s="125"/>
      <c r="H15" s="125"/>
      <c r="I15" s="113"/>
      <c r="J15" s="121">
        <f>J11*(1-J13)</f>
        <v>2633.2430400000003</v>
      </c>
      <c r="K15" s="121">
        <f t="shared" ref="K15:P15" si="4">K11*(1-K13)</f>
        <v>3531.8472626250004</v>
      </c>
      <c r="L15" s="121">
        <f t="shared" si="4"/>
        <v>4736.1706007850007</v>
      </c>
      <c r="M15" s="121">
        <f t="shared" si="4"/>
        <v>6349.8813693170632</v>
      </c>
      <c r="N15" s="121">
        <f t="shared" si="4"/>
        <v>8511.6754947231002</v>
      </c>
      <c r="O15" s="121">
        <f t="shared" si="4"/>
        <v>11559.159310244493</v>
      </c>
      <c r="P15" s="121">
        <f t="shared" si="4"/>
        <v>15697.201548527286</v>
      </c>
    </row>
    <row r="16" spans="2:16" x14ac:dyDescent="0.25">
      <c r="B16" s="126"/>
      <c r="C16" s="15"/>
      <c r="D16" s="15"/>
      <c r="E16" s="15"/>
      <c r="F16" s="15"/>
      <c r="G16" s="15"/>
      <c r="H16" s="15"/>
      <c r="I16" s="127"/>
      <c r="J16" s="15"/>
      <c r="K16" s="15"/>
      <c r="L16" s="15"/>
      <c r="M16" s="15"/>
      <c r="N16" s="15"/>
      <c r="O16" s="128"/>
      <c r="P16" s="2"/>
    </row>
    <row r="17" spans="2:16" x14ac:dyDescent="0.25">
      <c r="B17" s="126" t="s">
        <v>95</v>
      </c>
      <c r="C17" s="15"/>
      <c r="D17" s="15"/>
      <c r="E17" s="15"/>
      <c r="F17" s="15"/>
      <c r="G17" s="15"/>
      <c r="H17" s="15"/>
      <c r="I17" s="127"/>
      <c r="J17" s="60">
        <f>B45</f>
        <v>5</v>
      </c>
      <c r="K17" s="60">
        <f>B45</f>
        <v>5</v>
      </c>
      <c r="L17" s="60">
        <f>B45</f>
        <v>5</v>
      </c>
      <c r="M17" s="60">
        <f>B45</f>
        <v>5</v>
      </c>
      <c r="N17" s="60">
        <f>B45</f>
        <v>5</v>
      </c>
      <c r="O17" s="60">
        <f>B45</f>
        <v>5</v>
      </c>
      <c r="P17" s="60">
        <f>B45</f>
        <v>5</v>
      </c>
    </row>
    <row r="18" spans="2:16" x14ac:dyDescent="0.25">
      <c r="B18" s="126"/>
      <c r="C18" s="15"/>
      <c r="D18" s="15"/>
      <c r="E18" s="15"/>
      <c r="F18" s="15"/>
      <c r="G18" s="15"/>
      <c r="H18" s="15"/>
      <c r="I18" s="127"/>
      <c r="J18" s="15"/>
      <c r="K18" s="15"/>
      <c r="L18" s="15"/>
      <c r="M18" s="15"/>
      <c r="N18" s="15"/>
      <c r="O18" s="128"/>
      <c r="P18" s="2"/>
    </row>
    <row r="19" spans="2:16" x14ac:dyDescent="0.25">
      <c r="B19" s="126" t="s">
        <v>75</v>
      </c>
      <c r="C19" s="15"/>
      <c r="D19" s="15"/>
      <c r="E19" s="15"/>
      <c r="F19" s="15"/>
      <c r="G19" s="15"/>
      <c r="H19" s="15"/>
      <c r="I19" s="127"/>
      <c r="J19" s="129">
        <f t="shared" ref="J19:P19" si="5">J7-I7</f>
        <v>5203.4500000000007</v>
      </c>
      <c r="K19" s="129">
        <f t="shared" si="5"/>
        <v>7024.6575000000012</v>
      </c>
      <c r="L19" s="129">
        <f t="shared" si="5"/>
        <v>9483.2876250000008</v>
      </c>
      <c r="M19" s="129">
        <f t="shared" si="5"/>
        <v>12802.438293749998</v>
      </c>
      <c r="N19" s="129">
        <f t="shared" si="5"/>
        <v>17283.29169656249</v>
      </c>
      <c r="O19" s="129">
        <f t="shared" si="5"/>
        <v>23332.443790359364</v>
      </c>
      <c r="P19" s="129">
        <f t="shared" si="5"/>
        <v>31498.799116985145</v>
      </c>
    </row>
    <row r="20" spans="2:16" x14ac:dyDescent="0.25">
      <c r="B20" s="126"/>
      <c r="C20" s="15"/>
      <c r="D20" s="15"/>
      <c r="E20" s="15"/>
      <c r="F20" s="15"/>
      <c r="G20" s="15"/>
      <c r="H20" s="15"/>
      <c r="I20" s="127"/>
      <c r="J20" s="15"/>
      <c r="K20" s="15"/>
      <c r="L20" s="15"/>
      <c r="M20" s="15"/>
      <c r="N20" s="15"/>
      <c r="O20" s="128"/>
      <c r="P20" s="2"/>
    </row>
    <row r="21" spans="2:16" x14ac:dyDescent="0.25">
      <c r="B21" s="121" t="s">
        <v>94</v>
      </c>
      <c r="C21" s="15"/>
      <c r="D21" s="15"/>
      <c r="E21" s="130"/>
      <c r="F21" s="130"/>
      <c r="G21" s="130"/>
      <c r="H21" s="130"/>
      <c r="I21" s="131"/>
      <c r="J21" s="132">
        <f>J19/J17</f>
        <v>1040.69</v>
      </c>
      <c r="K21" s="132">
        <f t="shared" ref="K21:P21" si="6">K19/K17</f>
        <v>1404.9315000000001</v>
      </c>
      <c r="L21" s="132">
        <f t="shared" si="6"/>
        <v>1896.6575250000001</v>
      </c>
      <c r="M21" s="132">
        <f t="shared" si="6"/>
        <v>2560.4876587499994</v>
      </c>
      <c r="N21" s="132">
        <f t="shared" si="6"/>
        <v>3456.6583393124979</v>
      </c>
      <c r="O21" s="132">
        <f t="shared" si="6"/>
        <v>4666.4887580718732</v>
      </c>
      <c r="P21" s="132">
        <f t="shared" si="6"/>
        <v>6299.7598233970293</v>
      </c>
    </row>
    <row r="22" spans="2:16" x14ac:dyDescent="0.25">
      <c r="B22" s="121"/>
      <c r="C22" s="15"/>
      <c r="D22" s="15"/>
      <c r="E22" s="130"/>
      <c r="F22" s="130"/>
      <c r="G22" s="130"/>
      <c r="H22" s="130"/>
      <c r="I22" s="131"/>
      <c r="J22" s="132"/>
      <c r="K22" s="132"/>
      <c r="L22" s="132"/>
      <c r="M22" s="132"/>
      <c r="N22" s="132"/>
      <c r="O22" s="132"/>
      <c r="P22" s="132"/>
    </row>
    <row r="23" spans="2:16" x14ac:dyDescent="0.25">
      <c r="B23" s="121" t="s">
        <v>122</v>
      </c>
      <c r="C23" s="15"/>
      <c r="D23" s="15"/>
      <c r="E23" s="130"/>
      <c r="F23" s="130"/>
      <c r="G23" s="130"/>
      <c r="H23" s="130"/>
      <c r="I23" s="131"/>
      <c r="J23" s="54">
        <f>J21/J15</f>
        <v>0.39521228545618786</v>
      </c>
      <c r="K23" s="54">
        <f t="shared" ref="K23:O23" si="7">K21/K15</f>
        <v>0.39778942732529232</v>
      </c>
      <c r="L23" s="54">
        <f t="shared" si="7"/>
        <v>0.40046224785180606</v>
      </c>
      <c r="M23" s="54">
        <f t="shared" si="7"/>
        <v>0.40323393616806774</v>
      </c>
      <c r="N23" s="54">
        <f t="shared" si="7"/>
        <v>0.40610786224821288</v>
      </c>
      <c r="O23" s="54">
        <f t="shared" si="7"/>
        <v>0.40370485714615262</v>
      </c>
      <c r="P23" s="54">
        <f>P21/P15</f>
        <v>0.40133012269235174</v>
      </c>
    </row>
    <row r="24" spans="2:16" x14ac:dyDescent="0.25">
      <c r="B24" s="121"/>
      <c r="C24" s="15"/>
      <c r="D24" s="15"/>
      <c r="E24" s="130"/>
      <c r="F24" s="130"/>
      <c r="G24" s="130"/>
      <c r="H24" s="130"/>
      <c r="I24" s="131"/>
      <c r="J24" s="132"/>
      <c r="K24" s="132"/>
      <c r="L24" s="132"/>
      <c r="M24" s="132"/>
      <c r="N24" s="132"/>
      <c r="O24" s="132"/>
      <c r="P24" s="132"/>
    </row>
    <row r="25" spans="2:16" x14ac:dyDescent="0.25">
      <c r="B25" s="15"/>
      <c r="C25" s="15"/>
      <c r="D25" s="15"/>
      <c r="E25" s="130"/>
      <c r="F25" s="130"/>
      <c r="G25" s="130"/>
      <c r="H25" s="130"/>
      <c r="I25" s="131"/>
      <c r="J25" s="133">
        <v>1</v>
      </c>
      <c r="K25" s="133">
        <v>2</v>
      </c>
      <c r="L25" s="133">
        <v>3</v>
      </c>
      <c r="M25" s="133">
        <v>4</v>
      </c>
      <c r="N25" s="133">
        <v>5</v>
      </c>
      <c r="O25" s="133">
        <v>6</v>
      </c>
      <c r="P25" s="133">
        <v>7</v>
      </c>
    </row>
    <row r="26" spans="2:16" x14ac:dyDescent="0.25">
      <c r="B26" s="121" t="s">
        <v>93</v>
      </c>
      <c r="C26" s="15"/>
      <c r="D26" s="15"/>
      <c r="E26" s="130"/>
      <c r="F26" s="130"/>
      <c r="G26" s="130"/>
      <c r="H26" s="134" t="s">
        <v>92</v>
      </c>
      <c r="I26" s="134"/>
      <c r="J26" s="135">
        <f t="shared" ref="J26:P26" si="8">J15-J21</f>
        <v>1592.5530400000002</v>
      </c>
      <c r="K26" s="135">
        <f t="shared" si="8"/>
        <v>2126.9157626250003</v>
      </c>
      <c r="L26" s="135">
        <f>L15-L21</f>
        <v>2839.5130757850006</v>
      </c>
      <c r="M26" s="135">
        <f t="shared" si="8"/>
        <v>3789.3937105670639</v>
      </c>
      <c r="N26" s="135">
        <f t="shared" si="8"/>
        <v>5055.0171554106018</v>
      </c>
      <c r="O26" s="135">
        <f t="shared" si="8"/>
        <v>6892.6705521726199</v>
      </c>
      <c r="P26" s="135">
        <f t="shared" si="8"/>
        <v>9397.4417251302566</v>
      </c>
    </row>
    <row r="27" spans="2:16" x14ac:dyDescent="0.25">
      <c r="B27" s="2"/>
      <c r="C27" s="17"/>
      <c r="D27" s="17"/>
      <c r="E27" s="17"/>
      <c r="F27" s="17"/>
      <c r="G27" s="17"/>
      <c r="H27" s="198" t="s">
        <v>91</v>
      </c>
      <c r="I27" s="199"/>
      <c r="J27" s="136">
        <f>DCF!J37</f>
        <v>9.6261602519182157E-2</v>
      </c>
      <c r="K27" s="136">
        <f>DCF!K37</f>
        <v>9.2195679087624077E-2</v>
      </c>
      <c r="L27" s="136">
        <f>DCF!L37</f>
        <v>8.8161851283012516E-2</v>
      </c>
      <c r="M27" s="136">
        <f>DCF!M37</f>
        <v>8.4160119105347458E-2</v>
      </c>
      <c r="N27" s="136">
        <f>DCF!N37</f>
        <v>7.9703263332158311E-2</v>
      </c>
      <c r="O27" s="136">
        <f>DCF!O37</f>
        <v>8.0072721057754065E-2</v>
      </c>
      <c r="P27" s="136">
        <f>DCF!P37</f>
        <v>0.08</v>
      </c>
    </row>
    <row r="28" spans="2:16" x14ac:dyDescent="0.25">
      <c r="B28" s="2"/>
      <c r="C28" s="17"/>
      <c r="D28" s="17"/>
      <c r="E28" s="17"/>
      <c r="F28" s="17"/>
      <c r="G28" s="17"/>
      <c r="H28" s="134" t="s">
        <v>90</v>
      </c>
      <c r="I28" s="5"/>
      <c r="J28" s="135">
        <f>J26/((1+J27)^J25)</f>
        <v>1452.712597376714</v>
      </c>
      <c r="K28" s="135">
        <f t="shared" ref="K28:P28" si="9">K26/((1+K27)^K25)</f>
        <v>1782.9919472110323</v>
      </c>
      <c r="L28" s="135">
        <f t="shared" si="9"/>
        <v>2203.7553712810504</v>
      </c>
      <c r="M28" s="135">
        <f t="shared" si="9"/>
        <v>2742.8118631812517</v>
      </c>
      <c r="N28" s="135">
        <f t="shared" si="9"/>
        <v>3445.0899353203108</v>
      </c>
      <c r="O28" s="135">
        <f t="shared" si="9"/>
        <v>4341.7972231921685</v>
      </c>
      <c r="P28" s="135">
        <f t="shared" si="9"/>
        <v>5483.3169866491226</v>
      </c>
    </row>
    <row r="29" spans="2:16" ht="15.75" thickBot="1" x14ac:dyDescent="0.3">
      <c r="B29" s="2"/>
      <c r="C29" s="2"/>
      <c r="D29" s="2"/>
      <c r="E29" s="2"/>
      <c r="F29" s="2"/>
      <c r="G29" s="2"/>
      <c r="H29" s="2"/>
      <c r="I29" s="139" t="s">
        <v>89</v>
      </c>
      <c r="J29" s="140">
        <f>SUM(J28:P28)</f>
        <v>21452.475924211649</v>
      </c>
      <c r="K29" s="2"/>
      <c r="L29" s="2"/>
      <c r="M29" s="2"/>
      <c r="N29" s="2"/>
      <c r="O29" s="100"/>
      <c r="P29" s="2"/>
    </row>
    <row r="30" spans="2:16" x14ac:dyDescent="0.25">
      <c r="B30" s="2" t="s">
        <v>88</v>
      </c>
      <c r="C30" s="141">
        <v>0.04</v>
      </c>
      <c r="D30" s="2"/>
      <c r="E30" s="2"/>
      <c r="F30" s="2"/>
      <c r="G30" s="2"/>
      <c r="H30" s="2"/>
      <c r="I30" s="17"/>
      <c r="J30" s="15"/>
      <c r="K30" s="2"/>
      <c r="L30" s="2"/>
      <c r="M30" s="2"/>
      <c r="N30" s="2"/>
      <c r="O30" s="100"/>
      <c r="P30" s="2"/>
    </row>
    <row r="31" spans="2:16" x14ac:dyDescent="0.25">
      <c r="B31" s="2" t="s">
        <v>87</v>
      </c>
      <c r="C31" s="2"/>
      <c r="D31" s="2"/>
      <c r="E31" s="2"/>
      <c r="F31" s="2"/>
      <c r="G31" s="2"/>
      <c r="H31" s="2"/>
      <c r="I31" s="2"/>
      <c r="J31" s="48"/>
      <c r="K31" s="2"/>
      <c r="L31" s="2"/>
      <c r="M31" s="2"/>
      <c r="N31" s="59">
        <f>P28/(P27-C30)</f>
        <v>137082.92466622806</v>
      </c>
      <c r="O31" s="100"/>
      <c r="P31" s="2"/>
    </row>
    <row r="32" spans="2:16" x14ac:dyDescent="0.25">
      <c r="B32" s="88" t="s">
        <v>86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143">
        <f>N31/((1+P27)^P25)</f>
        <v>79986.569897186724</v>
      </c>
      <c r="O32" s="100"/>
      <c r="P32" s="2"/>
    </row>
    <row r="33" spans="2:16" x14ac:dyDescent="0.25">
      <c r="B33" s="17" t="s">
        <v>85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4">
        <f>J29+N32</f>
        <v>101439.04582139838</v>
      </c>
      <c r="O33" s="100"/>
      <c r="P33" s="2"/>
    </row>
    <row r="34" spans="2:16" x14ac:dyDescent="0.25">
      <c r="B34" s="145" t="s">
        <v>84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7">
        <f>'story&amp;estimations'!F110</f>
        <v>3234</v>
      </c>
      <c r="O34" s="100"/>
      <c r="P34" s="2"/>
    </row>
    <row r="35" spans="2:16" x14ac:dyDescent="0.25">
      <c r="B35" s="146" t="s">
        <v>83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47">
        <f>'story&amp;estimations'!E110</f>
        <v>1657</v>
      </c>
      <c r="O35" s="100"/>
      <c r="P35" s="2"/>
    </row>
    <row r="36" spans="2:16" x14ac:dyDescent="0.25">
      <c r="B36" s="17" t="s">
        <v>82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47">
        <f>N33+N34-N35</f>
        <v>103016.04582139838</v>
      </c>
      <c r="O36" s="100"/>
      <c r="P36" s="2"/>
    </row>
    <row r="37" spans="2:16" x14ac:dyDescent="0.25">
      <c r="B37" s="88" t="s">
        <v>81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185">
        <v>1132.7</v>
      </c>
      <c r="O37" s="100"/>
      <c r="P37" s="2"/>
    </row>
    <row r="38" spans="2:16" x14ac:dyDescent="0.25">
      <c r="B38" s="17" t="s">
        <v>80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48">
        <f>N36/N37</f>
        <v>90.947334529353199</v>
      </c>
      <c r="O38" s="100"/>
      <c r="P38" s="2"/>
    </row>
    <row r="39" spans="2:16" ht="15.75" thickBot="1" x14ac:dyDescent="0.3">
      <c r="B39" s="17" t="s">
        <v>79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48">
        <v>80</v>
      </c>
      <c r="O39" s="100"/>
      <c r="P39" s="2"/>
    </row>
    <row r="40" spans="2:16" ht="15.75" thickBot="1" x14ac:dyDescent="0.3">
      <c r="B40" s="17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86">
        <f>(N38-N39)/N39</f>
        <v>0.13684168161691498</v>
      </c>
      <c r="O40" s="100"/>
      <c r="P40" s="2"/>
    </row>
    <row r="44" spans="2:16" x14ac:dyDescent="0.25">
      <c r="B44" t="s">
        <v>123</v>
      </c>
      <c r="C44" t="s">
        <v>124</v>
      </c>
      <c r="D44" t="s">
        <v>125</v>
      </c>
    </row>
    <row r="45" spans="2:16" x14ac:dyDescent="0.25">
      <c r="B45">
        <v>5</v>
      </c>
      <c r="D45" s="190">
        <v>0</v>
      </c>
      <c r="E45" s="189">
        <v>24.57</v>
      </c>
      <c r="G45" s="192">
        <v>0.35</v>
      </c>
      <c r="H45" s="195">
        <f>N38</f>
        <v>90.947334529353199</v>
      </c>
    </row>
    <row r="46" spans="2:16" x14ac:dyDescent="0.25">
      <c r="D46" s="190">
        <v>0.01</v>
      </c>
      <c r="E46" s="189">
        <v>25</v>
      </c>
    </row>
    <row r="47" spans="2:16" x14ac:dyDescent="0.25">
      <c r="D47" s="190">
        <v>0.05</v>
      </c>
      <c r="E47" s="189">
        <v>26.54</v>
      </c>
    </row>
    <row r="48" spans="2:16" x14ac:dyDescent="0.25">
      <c r="D48" s="190">
        <v>7.0000000000000007E-2</v>
      </c>
      <c r="E48" s="189">
        <v>27.16</v>
      </c>
    </row>
    <row r="49" spans="4:5" x14ac:dyDescent="0.25">
      <c r="D49" s="192">
        <v>0.1</v>
      </c>
      <c r="E49" s="195">
        <v>27.828897765251966</v>
      </c>
    </row>
    <row r="50" spans="4:5" x14ac:dyDescent="0.25">
      <c r="D50" s="192">
        <v>0.15</v>
      </c>
      <c r="E50" s="195">
        <v>27.946939809872685</v>
      </c>
    </row>
    <row r="51" spans="4:5" x14ac:dyDescent="0.25">
      <c r="D51" s="192">
        <v>0.25</v>
      </c>
      <c r="E51" s="195">
        <v>21.904491981873576</v>
      </c>
    </row>
    <row r="52" spans="4:5" x14ac:dyDescent="0.25">
      <c r="D52" s="192">
        <v>0.35</v>
      </c>
      <c r="E52" s="195">
        <v>0.83865697327149946</v>
      </c>
    </row>
    <row r="53" spans="4:5" x14ac:dyDescent="0.25">
      <c r="D53" s="190"/>
      <c r="E53" s="189"/>
    </row>
    <row r="54" spans="4:5" x14ac:dyDescent="0.25">
      <c r="D54" s="190"/>
      <c r="E54" s="189"/>
    </row>
    <row r="55" spans="4:5" x14ac:dyDescent="0.25">
      <c r="D55" s="190"/>
      <c r="E55" s="189"/>
    </row>
    <row r="56" spans="4:5" x14ac:dyDescent="0.25">
      <c r="D56" s="190"/>
      <c r="E56" s="189"/>
    </row>
    <row r="57" spans="4:5" x14ac:dyDescent="0.25">
      <c r="D57" s="190"/>
      <c r="E57" s="189"/>
    </row>
    <row r="58" spans="4:5" x14ac:dyDescent="0.25">
      <c r="D58" s="190"/>
      <c r="E58" s="189"/>
    </row>
    <row r="59" spans="4:5" x14ac:dyDescent="0.25">
      <c r="D59" s="190"/>
      <c r="E59" s="189"/>
    </row>
    <row r="60" spans="4:5" x14ac:dyDescent="0.25">
      <c r="D60" s="190"/>
      <c r="E60" s="189"/>
    </row>
    <row r="61" spans="4:5" x14ac:dyDescent="0.25">
      <c r="D61" s="190"/>
      <c r="E61" s="189"/>
    </row>
    <row r="62" spans="4:5" x14ac:dyDescent="0.25">
      <c r="D62" s="190"/>
      <c r="E62" s="189"/>
    </row>
    <row r="63" spans="4:5" x14ac:dyDescent="0.25">
      <c r="D63" s="190"/>
      <c r="E63" s="189"/>
    </row>
    <row r="64" spans="4:5" x14ac:dyDescent="0.25">
      <c r="D64" s="190"/>
      <c r="E64" s="189"/>
    </row>
    <row r="65" spans="4:5" x14ac:dyDescent="0.25">
      <c r="D65" s="190"/>
      <c r="E65" s="189"/>
    </row>
    <row r="66" spans="4:5" x14ac:dyDescent="0.25">
      <c r="D66" s="190"/>
      <c r="E66" s="189"/>
    </row>
    <row r="67" spans="4:5" x14ac:dyDescent="0.25">
      <c r="D67" s="190"/>
      <c r="E67" s="189"/>
    </row>
    <row r="68" spans="4:5" x14ac:dyDescent="0.25">
      <c r="D68" s="190"/>
    </row>
    <row r="69" spans="4:5" x14ac:dyDescent="0.25">
      <c r="D69" s="190"/>
    </row>
    <row r="70" spans="4:5" x14ac:dyDescent="0.25">
      <c r="D70" s="190"/>
    </row>
    <row r="71" spans="4:5" x14ac:dyDescent="0.25">
      <c r="D71" s="190"/>
    </row>
    <row r="72" spans="4:5" x14ac:dyDescent="0.25">
      <c r="D72" s="190"/>
    </row>
    <row r="73" spans="4:5" x14ac:dyDescent="0.25">
      <c r="D73" s="190"/>
    </row>
    <row r="74" spans="4:5" x14ac:dyDescent="0.25">
      <c r="D74" s="190"/>
    </row>
    <row r="75" spans="4:5" x14ac:dyDescent="0.25">
      <c r="D75" s="190"/>
    </row>
    <row r="76" spans="4:5" x14ac:dyDescent="0.25">
      <c r="D76" s="190"/>
    </row>
    <row r="77" spans="4:5" x14ac:dyDescent="0.25">
      <c r="D77" s="190"/>
    </row>
    <row r="78" spans="4:5" x14ac:dyDescent="0.25">
      <c r="D78" s="190"/>
    </row>
    <row r="79" spans="4:5" x14ac:dyDescent="0.25">
      <c r="D79" s="190"/>
    </row>
  </sheetData>
  <mergeCells count="1">
    <mergeCell ref="H27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equity</vt:lpstr>
      <vt:lpstr>debt</vt:lpstr>
      <vt:lpstr>wacc</vt:lpstr>
      <vt:lpstr>story&amp;estimations</vt:lpstr>
      <vt:lpstr>DCF</vt:lpstr>
      <vt:lpstr>spread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דיין</dc:creator>
  <cp:lastModifiedBy>רועי דיין</cp:lastModifiedBy>
  <dcterms:created xsi:type="dcterms:W3CDTF">2015-06-05T18:17:20Z</dcterms:created>
  <dcterms:modified xsi:type="dcterms:W3CDTF">2024-06-22T17:52:21Z</dcterms:modified>
</cp:coreProperties>
</file>