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USER\Desktop\borsa\DCF\Companies\specifics\food\VITAL FARMS\"/>
    </mc:Choice>
  </mc:AlternateContent>
  <xr:revisionPtr revIDLastSave="0" documentId="13_ncr:1_{EA5977EB-9F72-435E-BB12-512B38518F17}" xr6:coauthVersionLast="47" xr6:coauthVersionMax="47" xr10:uidLastSave="{00000000-0000-0000-0000-000000000000}"/>
  <bookViews>
    <workbookView xWindow="-120" yWindow="-120" windowWidth="29040" windowHeight="15720" activeTab="2" xr2:uid="{00000000-000D-0000-FFFF-FFFF00000000}"/>
  </bookViews>
  <sheets>
    <sheet name="WACC" sheetId="1" r:id="rId1"/>
    <sheet name="Forecasts" sheetId="2" r:id="rId2"/>
    <sheet name="DCF" sheetId="4" r:id="rId3"/>
  </sheets>
  <externalReferences>
    <externalReference r:id="rId4"/>
  </externalReferences>
  <definedNames>
    <definedName name="tgr">DCF!#REF!</definedName>
    <definedName name="wacc">DCF!#REF!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14" i="2" l="1"/>
  <c r="Q415" i="2"/>
  <c r="Q416" i="2"/>
  <c r="Q417" i="2"/>
  <c r="Q418" i="2"/>
  <c r="Q413" i="2"/>
  <c r="P418" i="2"/>
  <c r="P417" i="2"/>
  <c r="P416" i="2"/>
  <c r="P415" i="2"/>
  <c r="P414" i="2"/>
  <c r="P413" i="2"/>
  <c r="N79" i="4"/>
  <c r="D164" i="1"/>
  <c r="E164" i="1" s="1"/>
  <c r="F164" i="1" s="1"/>
  <c r="G164" i="1" s="1"/>
  <c r="H164" i="1" s="1"/>
  <c r="I164" i="1" s="1"/>
  <c r="J164" i="1" s="1"/>
  <c r="K164" i="1" s="1"/>
  <c r="L164" i="1" s="1"/>
  <c r="M164" i="1" s="1"/>
  <c r="N164" i="1" s="1"/>
  <c r="O164" i="1" s="1"/>
  <c r="C164" i="1"/>
  <c r="B164" i="1"/>
  <c r="C162" i="1"/>
  <c r="P164" i="1"/>
  <c r="K58" i="4"/>
  <c r="L58" i="4"/>
  <c r="M58" i="4"/>
  <c r="N58" i="4"/>
  <c r="O58" i="4"/>
  <c r="P58" i="4"/>
  <c r="P70" i="4" s="1"/>
  <c r="Q58" i="4"/>
  <c r="Q70" i="4" s="1"/>
  <c r="R58" i="4"/>
  <c r="R70" i="4" s="1"/>
  <c r="S58" i="4"/>
  <c r="S70" i="4" s="1"/>
  <c r="T58" i="4"/>
  <c r="T70" i="4" s="1"/>
  <c r="U58" i="4"/>
  <c r="U70" i="4" s="1"/>
  <c r="V58" i="4"/>
  <c r="V70" i="4" s="1"/>
  <c r="W58" i="4"/>
  <c r="W70" i="4" s="1"/>
  <c r="X58" i="4"/>
  <c r="X70" i="4" s="1"/>
  <c r="X72" i="4" s="1"/>
  <c r="N75" i="4" s="1"/>
  <c r="N76" i="4" s="1"/>
  <c r="J58" i="4"/>
  <c r="K54" i="4"/>
  <c r="L54" i="4"/>
  <c r="M54" i="4"/>
  <c r="N54" i="4"/>
  <c r="O54" i="4"/>
  <c r="P54" i="4"/>
  <c r="Q54" i="4"/>
  <c r="R54" i="4"/>
  <c r="S54" i="4"/>
  <c r="T54" i="4"/>
  <c r="U54" i="4"/>
  <c r="V54" i="4"/>
  <c r="W54" i="4"/>
  <c r="X54" i="4"/>
  <c r="J54" i="4"/>
  <c r="K52" i="4"/>
  <c r="L52" i="4"/>
  <c r="M52" i="4"/>
  <c r="N52" i="4"/>
  <c r="O52" i="4"/>
  <c r="P52" i="4"/>
  <c r="Q52" i="4"/>
  <c r="R52" i="4"/>
  <c r="S52" i="4"/>
  <c r="T52" i="4"/>
  <c r="U52" i="4"/>
  <c r="V52" i="4"/>
  <c r="W52" i="4"/>
  <c r="X52" i="4"/>
  <c r="J52" i="4"/>
  <c r="K50" i="4"/>
  <c r="L50" i="4" s="1"/>
  <c r="J50" i="4"/>
  <c r="K48" i="4"/>
  <c r="L48" i="4"/>
  <c r="M48" i="4"/>
  <c r="N48" i="4"/>
  <c r="O48" i="4"/>
  <c r="P48" i="4"/>
  <c r="Q48" i="4"/>
  <c r="R48" i="4"/>
  <c r="S48" i="4"/>
  <c r="T48" i="4"/>
  <c r="U48" i="4"/>
  <c r="V48" i="4"/>
  <c r="W48" i="4"/>
  <c r="X48" i="4"/>
  <c r="J48" i="4"/>
  <c r="N122" i="4"/>
  <c r="R124" i="4"/>
  <c r="D159" i="1"/>
  <c r="E159" i="1"/>
  <c r="F159" i="1"/>
  <c r="G159" i="1"/>
  <c r="H159" i="1"/>
  <c r="I159" i="1" s="1"/>
  <c r="J159" i="1" s="1"/>
  <c r="C159" i="1"/>
  <c r="C157" i="1"/>
  <c r="K159" i="1"/>
  <c r="B159" i="1"/>
  <c r="J113" i="4"/>
  <c r="J115" i="4" s="1"/>
  <c r="K101" i="4"/>
  <c r="K113" i="4" s="1"/>
  <c r="L101" i="4"/>
  <c r="L113" i="4" s="1"/>
  <c r="M101" i="4"/>
  <c r="N101" i="4"/>
  <c r="O101" i="4"/>
  <c r="O113" i="4" s="1"/>
  <c r="P101" i="4"/>
  <c r="P113" i="4" s="1"/>
  <c r="Q101" i="4"/>
  <c r="R101" i="4"/>
  <c r="S101" i="4"/>
  <c r="J101" i="4"/>
  <c r="K97" i="4"/>
  <c r="L97" i="4"/>
  <c r="M97" i="4"/>
  <c r="N97" i="4"/>
  <c r="O97" i="4"/>
  <c r="P97" i="4"/>
  <c r="Q97" i="4"/>
  <c r="R97" i="4"/>
  <c r="S97" i="4"/>
  <c r="J97" i="4"/>
  <c r="K95" i="4"/>
  <c r="L95" i="4"/>
  <c r="M95" i="4"/>
  <c r="N95" i="4"/>
  <c r="O95" i="4"/>
  <c r="P95" i="4"/>
  <c r="Q95" i="4"/>
  <c r="R95" i="4"/>
  <c r="S95" i="4"/>
  <c r="J95" i="4"/>
  <c r="P93" i="4"/>
  <c r="K93" i="4"/>
  <c r="K109" i="4" s="1"/>
  <c r="J93" i="4"/>
  <c r="I93" i="4"/>
  <c r="K91" i="4"/>
  <c r="L91" i="4"/>
  <c r="M91" i="4"/>
  <c r="N91" i="4"/>
  <c r="O91" i="4"/>
  <c r="P91" i="4"/>
  <c r="Q91" i="4"/>
  <c r="R91" i="4"/>
  <c r="S91" i="4"/>
  <c r="J91" i="4"/>
  <c r="S113" i="4"/>
  <c r="S115" i="4" s="1"/>
  <c r="N118" i="4" s="1"/>
  <c r="N119" i="4" s="1"/>
  <c r="R113" i="4"/>
  <c r="Q113" i="4"/>
  <c r="N113" i="4"/>
  <c r="M113" i="4"/>
  <c r="J109" i="4"/>
  <c r="O70" i="4"/>
  <c r="N70" i="4"/>
  <c r="M70" i="4"/>
  <c r="L70" i="4"/>
  <c r="K70" i="4"/>
  <c r="J70" i="4"/>
  <c r="K66" i="4"/>
  <c r="J66" i="4"/>
  <c r="AC22" i="4"/>
  <c r="U22" i="4"/>
  <c r="W22" i="4"/>
  <c r="Y22" i="4"/>
  <c r="AA22" i="4"/>
  <c r="T26" i="4"/>
  <c r="U26" i="4"/>
  <c r="V26" i="4"/>
  <c r="W26" i="4"/>
  <c r="X26" i="4"/>
  <c r="Y26" i="4"/>
  <c r="Z26" i="4"/>
  <c r="AA26" i="4"/>
  <c r="AB26" i="4"/>
  <c r="AC26" i="4"/>
  <c r="T28" i="4"/>
  <c r="U28" i="4"/>
  <c r="V28" i="4"/>
  <c r="W28" i="4"/>
  <c r="X28" i="4"/>
  <c r="Y28" i="4"/>
  <c r="Z28" i="4"/>
  <c r="AA28" i="4"/>
  <c r="AB28" i="4"/>
  <c r="AC28" i="4"/>
  <c r="S26" i="4"/>
  <c r="N38" i="4"/>
  <c r="W72" i="4" l="1"/>
  <c r="R72" i="4"/>
  <c r="L72" i="4"/>
  <c r="V72" i="4"/>
  <c r="P72" i="4"/>
  <c r="K72" i="4"/>
  <c r="M72" i="4"/>
  <c r="O72" i="4"/>
  <c r="U72" i="4"/>
  <c r="J72" i="4"/>
  <c r="N72" i="4"/>
  <c r="T72" i="4"/>
  <c r="Q72" i="4"/>
  <c r="S72" i="4"/>
  <c r="L66" i="4"/>
  <c r="M50" i="4"/>
  <c r="N115" i="4"/>
  <c r="Q115" i="4"/>
  <c r="P115" i="4"/>
  <c r="M115" i="4"/>
  <c r="R115" i="4"/>
  <c r="O115" i="4"/>
  <c r="K115" i="4"/>
  <c r="L115" i="4"/>
  <c r="L93" i="4"/>
  <c r="J22" i="4"/>
  <c r="J26" i="4"/>
  <c r="J28" i="4" s="1"/>
  <c r="J73" i="4" l="1"/>
  <c r="N77" i="4" s="1"/>
  <c r="N80" i="4" s="1"/>
  <c r="N82" i="4" s="1"/>
  <c r="N84" i="4"/>
  <c r="N50" i="4"/>
  <c r="M66" i="4"/>
  <c r="J116" i="4"/>
  <c r="N120" i="4" s="1"/>
  <c r="N123" i="4" s="1"/>
  <c r="N125" i="4" s="1"/>
  <c r="N127" i="4" s="1"/>
  <c r="L109" i="4"/>
  <c r="M93" i="4"/>
  <c r="K22" i="4"/>
  <c r="K26" i="4"/>
  <c r="K28" i="4" s="1"/>
  <c r="O50" i="4" l="1"/>
  <c r="N66" i="4"/>
  <c r="N93" i="4"/>
  <c r="M109" i="4"/>
  <c r="L26" i="4"/>
  <c r="L28" i="4" s="1"/>
  <c r="L22" i="4"/>
  <c r="P50" i="4" l="1"/>
  <c r="O66" i="4"/>
  <c r="O93" i="4"/>
  <c r="N109" i="4"/>
  <c r="M26" i="4"/>
  <c r="M28" i="4" s="1"/>
  <c r="M22" i="4"/>
  <c r="P66" i="4" l="1"/>
  <c r="Q50" i="4"/>
  <c r="O109" i="4"/>
  <c r="N26" i="4"/>
  <c r="N28" i="4" s="1"/>
  <c r="N22" i="4"/>
  <c r="R50" i="4" l="1"/>
  <c r="S50" i="4" s="1"/>
  <c r="Q66" i="4"/>
  <c r="Q93" i="4"/>
  <c r="P109" i="4"/>
  <c r="O22" i="4"/>
  <c r="O26" i="4"/>
  <c r="O28" i="4" s="1"/>
  <c r="J29" i="4" s="1"/>
  <c r="T50" i="4" l="1"/>
  <c r="U50" i="4" s="1"/>
  <c r="S66" i="4"/>
  <c r="Q109" i="4"/>
  <c r="R93" i="4"/>
  <c r="S93" i="4" s="1"/>
  <c r="S109" i="4" s="1"/>
  <c r="P22" i="4"/>
  <c r="P26" i="4"/>
  <c r="P28" i="4" s="1"/>
  <c r="V50" i="4" l="1"/>
  <c r="W50" i="4" s="1"/>
  <c r="U66" i="4"/>
  <c r="Q26" i="4"/>
  <c r="Q28" i="4" s="1"/>
  <c r="Q22" i="4"/>
  <c r="W66" i="4" l="1"/>
  <c r="X50" i="4"/>
  <c r="R26" i="4"/>
  <c r="R28" i="4" s="1"/>
  <c r="S28" i="4" l="1"/>
  <c r="N31" i="4" s="1"/>
  <c r="N32" i="4" s="1"/>
  <c r="N33" i="4" s="1"/>
  <c r="N36" i="4" s="1"/>
  <c r="N40" i="4" s="1"/>
  <c r="S22" i="4"/>
  <c r="M417" i="2" l="1"/>
  <c r="M413" i="2"/>
  <c r="E415" i="2"/>
  <c r="E414" i="2"/>
  <c r="E413" i="2"/>
  <c r="K418" i="2"/>
  <c r="I418" i="2"/>
  <c r="L418" i="2" s="1"/>
  <c r="E418" i="2"/>
  <c r="M418" i="2" s="1"/>
  <c r="K417" i="2"/>
  <c r="I417" i="2"/>
  <c r="L417" i="2" s="1"/>
  <c r="E417" i="2"/>
  <c r="K416" i="2"/>
  <c r="I416" i="2"/>
  <c r="L416" i="2" s="1"/>
  <c r="E416" i="2"/>
  <c r="M416" i="2" s="1"/>
  <c r="K415" i="2"/>
  <c r="I415" i="2"/>
  <c r="L415" i="2" s="1"/>
  <c r="M415" i="2"/>
  <c r="M414" i="2"/>
  <c r="K414" i="2"/>
  <c r="I414" i="2"/>
  <c r="K413" i="2"/>
  <c r="I413" i="2"/>
  <c r="L413" i="2" s="1"/>
  <c r="T389" i="2"/>
  <c r="O389" i="2"/>
  <c r="P389" i="2" s="1"/>
  <c r="Q389" i="2" s="1"/>
  <c r="R389" i="2" s="1"/>
  <c r="S389" i="2" s="1"/>
  <c r="N389" i="2"/>
  <c r="F387" i="2"/>
  <c r="F389" i="2" s="1"/>
  <c r="G389" i="2" s="1"/>
  <c r="H389" i="2" s="1"/>
  <c r="I389" i="2" s="1"/>
  <c r="J389" i="2" s="1"/>
  <c r="K389" i="2" s="1"/>
  <c r="L389" i="2" s="1"/>
  <c r="M389" i="2" s="1"/>
  <c r="F379" i="2"/>
  <c r="I148" i="2"/>
  <c r="J148" i="2"/>
  <c r="E377" i="2"/>
  <c r="E376" i="2"/>
  <c r="S322" i="2"/>
  <c r="S323" i="2"/>
  <c r="S321" i="2"/>
  <c r="S295" i="2"/>
  <c r="R295" i="2"/>
  <c r="S294" i="2"/>
  <c r="S293" i="2"/>
  <c r="R294" i="2"/>
  <c r="R293" i="2"/>
  <c r="Q293" i="2"/>
  <c r="Q298" i="2"/>
  <c r="Q297" i="2"/>
  <c r="Q296" i="2"/>
  <c r="Q295" i="2"/>
  <c r="Q294" i="2"/>
  <c r="L414" i="2" l="1"/>
  <c r="N414" i="2"/>
  <c r="N417" i="2"/>
  <c r="N413" i="2"/>
  <c r="N415" i="2"/>
  <c r="N416" i="2"/>
  <c r="N418" i="2"/>
  <c r="E209" i="2"/>
  <c r="E208" i="2"/>
  <c r="E226" i="2"/>
  <c r="E225" i="2"/>
  <c r="E224" i="2"/>
  <c r="E223" i="2"/>
  <c r="E222" i="2"/>
  <c r="E221" i="2"/>
  <c r="E220" i="2"/>
  <c r="E219" i="2"/>
  <c r="E218" i="2"/>
  <c r="E217" i="2"/>
  <c r="E216" i="2"/>
  <c r="E215" i="2"/>
  <c r="E214" i="2"/>
  <c r="E213" i="2"/>
  <c r="E212" i="2"/>
  <c r="E211" i="2"/>
  <c r="E210" i="2"/>
  <c r="J209" i="2"/>
  <c r="J210" i="2"/>
  <c r="J211" i="2"/>
  <c r="J212" i="2"/>
  <c r="J213" i="2"/>
  <c r="J214" i="2"/>
  <c r="J215" i="2"/>
  <c r="J216" i="2"/>
  <c r="J217" i="2"/>
  <c r="J218" i="2"/>
  <c r="J219" i="2"/>
  <c r="J220" i="2"/>
  <c r="J221" i="2"/>
  <c r="J222" i="2"/>
  <c r="J223" i="2"/>
  <c r="J224" i="2"/>
  <c r="J225" i="2"/>
  <c r="J226" i="2"/>
  <c r="J208" i="2"/>
  <c r="P68" i="2"/>
  <c r="P70" i="2"/>
  <c r="D67" i="2"/>
  <c r="D68" i="2"/>
  <c r="D69" i="2"/>
  <c r="D70" i="2"/>
  <c r="D71" i="2"/>
  <c r="D72" i="2"/>
  <c r="D73" i="2"/>
  <c r="D74" i="2"/>
  <c r="D75" i="2"/>
  <c r="D76" i="2"/>
  <c r="D77" i="2"/>
  <c r="D78" i="2"/>
  <c r="D79" i="2"/>
  <c r="D80" i="2"/>
  <c r="D66" i="2"/>
  <c r="D54" i="2"/>
  <c r="D36" i="2"/>
  <c r="D31" i="2"/>
  <c r="D33" i="2"/>
  <c r="D32" i="2"/>
  <c r="D34" i="2"/>
  <c r="D35" i="2"/>
  <c r="D37" i="2"/>
  <c r="D38" i="2"/>
  <c r="D39" i="2"/>
  <c r="D40" i="2"/>
  <c r="D41" i="2"/>
  <c r="D42" i="2"/>
  <c r="D43" i="2"/>
  <c r="D44" i="2"/>
  <c r="D45" i="2"/>
  <c r="D46" i="2"/>
  <c r="D47" i="2"/>
  <c r="D48" i="2"/>
  <c r="D49" i="2"/>
  <c r="D50" i="2"/>
  <c r="D51" i="2"/>
  <c r="G56" i="2" s="1"/>
  <c r="D52" i="2"/>
  <c r="D53" i="2"/>
  <c r="D88" i="2"/>
  <c r="D89" i="2"/>
  <c r="D90" i="2"/>
  <c r="D91" i="2"/>
  <c r="D87" i="2"/>
  <c r="G58" i="2" l="1"/>
  <c r="U85" i="2"/>
  <c r="U87" i="2"/>
  <c r="K154" i="1"/>
  <c r="K153" i="1"/>
  <c r="E156" i="1"/>
  <c r="E155" i="1"/>
  <c r="F154" i="1"/>
  <c r="F153" i="1"/>
  <c r="E154" i="1"/>
  <c r="E153" i="1"/>
  <c r="J154" i="1"/>
  <c r="J153" i="1"/>
  <c r="D154" i="1"/>
  <c r="D153" i="1"/>
  <c r="G154" i="1"/>
  <c r="G153" i="1"/>
  <c r="C154" i="1"/>
  <c r="C153" i="1"/>
  <c r="G61" i="1"/>
  <c r="H154" i="1"/>
  <c r="H153" i="1"/>
  <c r="G143" i="1" l="1"/>
  <c r="G142" i="1"/>
  <c r="G141" i="1"/>
  <c r="G140" i="1"/>
  <c r="G139" i="1"/>
  <c r="G138" i="1"/>
  <c r="D129" i="1" l="1"/>
  <c r="D24" i="1"/>
  <c r="D105" i="1" l="1"/>
  <c r="D107" i="1" s="1"/>
  <c r="C105" i="1"/>
  <c r="C107" i="1" s="1"/>
  <c r="E99" i="1"/>
  <c r="E100" i="1"/>
  <c r="E101" i="1"/>
  <c r="E102" i="1"/>
  <c r="E103" i="1"/>
  <c r="E104" i="1"/>
  <c r="E106" i="1"/>
  <c r="E90" i="1"/>
  <c r="C89" i="1"/>
  <c r="E89" i="1" s="1"/>
  <c r="D125" i="1" s="1"/>
  <c r="Q60" i="1"/>
  <c r="Q61" i="1"/>
  <c r="Q62" i="1"/>
  <c r="Q63" i="1"/>
  <c r="Q64" i="1"/>
  <c r="Q65" i="1"/>
  <c r="Q66" i="1"/>
  <c r="Q67" i="1"/>
  <c r="Q68" i="1"/>
  <c r="Q69" i="1"/>
  <c r="Q70" i="1"/>
  <c r="Q71" i="1"/>
  <c r="Q72" i="1"/>
  <c r="Q73" i="1"/>
  <c r="Q74" i="1"/>
  <c r="Q75" i="1"/>
  <c r="Q76" i="1"/>
  <c r="Q77" i="1"/>
  <c r="Q59" i="1"/>
  <c r="E72" i="1"/>
  <c r="E61" i="1"/>
  <c r="E105" i="1" l="1"/>
  <c r="E107" i="1" s="1"/>
  <c r="D126" i="1"/>
  <c r="E125" i="1"/>
  <c r="C75" i="1"/>
  <c r="C74" i="1"/>
  <c r="D52" i="1"/>
  <c r="E53" i="1"/>
  <c r="F53" i="1"/>
  <c r="G53" i="1" s="1"/>
  <c r="F52" i="1"/>
  <c r="N28" i="1"/>
  <c r="G28" i="1"/>
  <c r="D31" i="1" s="1"/>
  <c r="E52" i="1" s="1"/>
  <c r="E126" i="1" l="1"/>
  <c r="F125" i="1"/>
  <c r="G52" i="1"/>
  <c r="F126" i="1" l="1"/>
  <c r="G125" i="1"/>
  <c r="G126" i="1" s="1"/>
  <c r="D128" i="1" l="1"/>
  <c r="D130" i="1" s="1"/>
  <c r="F381" i="2" l="1"/>
  <c r="G381" i="2" s="1"/>
  <c r="H381" i="2" s="1"/>
  <c r="I381" i="2" s="1"/>
  <c r="J381" i="2" s="1"/>
  <c r="K381" i="2" s="1"/>
  <c r="L381" i="2" s="1"/>
  <c r="M381" i="2" s="1"/>
  <c r="N381" i="2" s="1"/>
  <c r="O381" i="2" s="1"/>
  <c r="P381" i="2" s="1"/>
  <c r="Q381" i="2" s="1"/>
  <c r="R381" i="2" s="1"/>
  <c r="S381" i="2" s="1"/>
  <c r="T381" i="2" s="1"/>
  <c r="U381" i="2" s="1"/>
  <c r="V381" i="2" s="1"/>
  <c r="W381" i="2" s="1"/>
  <c r="X381" i="2" s="1"/>
</calcChain>
</file>

<file path=xl/sharedStrings.xml><?xml version="1.0" encoding="utf-8"?>
<sst xmlns="http://schemas.openxmlformats.org/spreadsheetml/2006/main" count="383" uniqueCount="208">
  <si>
    <t>Risk free rate</t>
  </si>
  <si>
    <t>risk free rate - the rate of return for a risk free investment</t>
  </si>
  <si>
    <t>us bonds 30 years</t>
  </si>
  <si>
    <t>current us bond 30 years T bond = current risk free rate =</t>
  </si>
  <si>
    <t>year</t>
  </si>
  <si>
    <t>risk free rate</t>
  </si>
  <si>
    <t>beta</t>
  </si>
  <si>
    <t>beta - a measure for risk</t>
  </si>
  <si>
    <t>the historical regression against the s&amp;p500:</t>
  </si>
  <si>
    <t>DE ratio:</t>
  </si>
  <si>
    <t xml:space="preserve">farming industry unlevered beta: </t>
  </si>
  <si>
    <t xml:space="preserve">levered beta = </t>
  </si>
  <si>
    <t>Equity Risk Premium</t>
  </si>
  <si>
    <t>vital farms is selling only in the US so the risk premium is only from the US</t>
  </si>
  <si>
    <t>industry average unlevered beta:  0.74</t>
  </si>
  <si>
    <t>implied ERP - 4.05%</t>
  </si>
  <si>
    <t>historical median us ERP -</t>
  </si>
  <si>
    <t>terminal</t>
  </si>
  <si>
    <t xml:space="preserve"> </t>
  </si>
  <si>
    <t>Cost Of Equity</t>
  </si>
  <si>
    <t>ERP</t>
  </si>
  <si>
    <t>COE</t>
  </si>
  <si>
    <t>Cost Of Debt</t>
  </si>
  <si>
    <t>market value of equity</t>
  </si>
  <si>
    <t>shares outstanding:</t>
  </si>
  <si>
    <t>price per share:</t>
  </si>
  <si>
    <t>m</t>
  </si>
  <si>
    <t>market value of equity:</t>
  </si>
  <si>
    <t>operating income:</t>
  </si>
  <si>
    <t>interest expense:</t>
  </si>
  <si>
    <t>ttm interest coverage ratio:</t>
  </si>
  <si>
    <t>the operating income, cover 54 times the interest expense, so on surface the company is pretty stable to be rated an AAA with a default spread of 0.75%</t>
  </si>
  <si>
    <t>market value of debt</t>
  </si>
  <si>
    <t>cost of debt</t>
  </si>
  <si>
    <t>default rate</t>
  </si>
  <si>
    <t>with that being said, the company, interest coverage ratio is very volatile and can become negative at times of bad macro economic trends</t>
  </si>
  <si>
    <t>interest
Expense</t>
  </si>
  <si>
    <t>operating
Income</t>
  </si>
  <si>
    <t>interest coverage
ratio</t>
  </si>
  <si>
    <t>2024-06-30</t>
  </si>
  <si>
    <t>2024-03-31</t>
  </si>
  <si>
    <t>2023-12-31</t>
  </si>
  <si>
    <t>2023-09-30</t>
  </si>
  <si>
    <t>2023-06-30</t>
  </si>
  <si>
    <t>2023-03-31</t>
  </si>
  <si>
    <t>2022-12-31</t>
  </si>
  <si>
    <t>2022-09-30</t>
  </si>
  <si>
    <t>2022-06-30</t>
  </si>
  <si>
    <t>2022-03-31</t>
  </si>
  <si>
    <t>2021-12-31</t>
  </si>
  <si>
    <t>2021-09-30</t>
  </si>
  <si>
    <t>2021-06-30</t>
  </si>
  <si>
    <t>2021-03-31</t>
  </si>
  <si>
    <t>2020-12-31</t>
  </si>
  <si>
    <t>2020-09-30</t>
  </si>
  <si>
    <t>2020-06-30</t>
  </si>
  <si>
    <t>2020-03-31</t>
  </si>
  <si>
    <t>2019-12-31</t>
  </si>
  <si>
    <t xml:space="preserve">fiscalDateEnding
</t>
  </si>
  <si>
    <t>median:</t>
  </si>
  <si>
    <t>average:</t>
  </si>
  <si>
    <t>on the other hand, the company expereinced such crisis only once</t>
  </si>
  <si>
    <t>considering all the facts, I think its would be fair the rate the company mid B with converts to about 3%</t>
  </si>
  <si>
    <t>as the company grows, she will become more stable, which would cause the rating to improve to A, or about 1.5%</t>
  </si>
  <si>
    <t>treating the debt as a bond</t>
  </si>
  <si>
    <t>calculating amount of years until debt is to be due</t>
  </si>
  <si>
    <t>thereafter</t>
  </si>
  <si>
    <t>operating lease</t>
  </si>
  <si>
    <t>finance lease</t>
  </si>
  <si>
    <t>total lease</t>
  </si>
  <si>
    <t>interest</t>
  </si>
  <si>
    <t>total</t>
  </si>
  <si>
    <t>all leases to be due in 4 years</t>
  </si>
  <si>
    <t>interest expense</t>
  </si>
  <si>
    <t>present value</t>
  </si>
  <si>
    <t>*note - I will go with the conservative approach and use the current cost of debt for all years</t>
  </si>
  <si>
    <t>total:</t>
  </si>
  <si>
    <t>total debt:</t>
  </si>
  <si>
    <t>sum:</t>
  </si>
  <si>
    <t>Weighted Average Cost of Capital</t>
  </si>
  <si>
    <t>fiscal year</t>
  </si>
  <si>
    <t>revenue</t>
  </si>
  <si>
    <t>gross 
profit</t>
  </si>
  <si>
    <t>operating
income</t>
  </si>
  <si>
    <t xml:space="preserve">income before tax
</t>
  </si>
  <si>
    <t>tax rate</t>
  </si>
  <si>
    <t>marginal corporate tax rate 21%</t>
  </si>
  <si>
    <t>cost of equity</t>
  </si>
  <si>
    <t>market value of
equity</t>
  </si>
  <si>
    <t>market value
of debt</t>
  </si>
  <si>
    <t>WACC</t>
  </si>
  <si>
    <t>thousand</t>
  </si>
  <si>
    <t xml:space="preserve">equity portion
</t>
  </si>
  <si>
    <t xml:space="preserve">debt portion
</t>
  </si>
  <si>
    <t>after 
tax cost of debt</t>
  </si>
  <si>
    <t xml:space="preserve">by story 1, vital farms manage to become a household name, by creating new ethical food in it's brand like milk, cheese ect'. By that she manages to achieve high growth for a much longer time, furthurmore, she becomes international, which furthure drive her growth to an extreme </t>
  </si>
  <si>
    <t>preformence</t>
  </si>
  <si>
    <t>by story 2, vital farms manage to become a household name, by creating new ethical food in it's brand like milk, cheese ect'. By that she manages to achieve high growth for a much longer time.</t>
  </si>
  <si>
    <t xml:space="preserve">by story 3, vital farms fails to innovate, and she stays as an "egg company", this egg based growth engine will soon die and vital farms will experience low to mid rate growth </t>
  </si>
  <si>
    <t>narrative</t>
  </si>
  <si>
    <t>growth</t>
  </si>
  <si>
    <t>revenue 
growth</t>
  </si>
  <si>
    <t>story</t>
  </si>
  <si>
    <r>
      <t>by story 1, vitals farms would experience</t>
    </r>
    <r>
      <rPr>
        <b/>
        <sz val="11"/>
        <color theme="1"/>
        <rFont val="Times New Roman"/>
        <family val="1"/>
        <scheme val="major"/>
      </rPr>
      <t xml:space="preserve"> high growth for a long period,</t>
    </r>
    <r>
      <rPr>
        <sz val="11"/>
        <color theme="1"/>
        <rFont val="Times New Roman"/>
        <family val="1"/>
        <scheme val="major"/>
      </rPr>
      <t xml:space="preserve"> with that being said, this growth is based on innovation, which would cause </t>
    </r>
    <r>
      <rPr>
        <b/>
        <sz val="11"/>
        <color theme="1"/>
        <rFont val="Times New Roman"/>
        <family val="1"/>
        <scheme val="major"/>
      </rPr>
      <t>high reinvestment rates</t>
    </r>
    <r>
      <rPr>
        <sz val="11"/>
        <color theme="1"/>
        <rFont val="Times New Roman"/>
        <family val="1"/>
        <scheme val="major"/>
      </rPr>
      <t xml:space="preserve"> and </t>
    </r>
    <r>
      <rPr>
        <b/>
        <sz val="11"/>
        <color theme="1"/>
        <rFont val="Times New Roman"/>
        <family val="1"/>
        <scheme val="major"/>
      </rPr>
      <t>lower operating margins</t>
    </r>
  </si>
  <si>
    <r>
      <t xml:space="preserve">by story 2, vital farms would experience </t>
    </r>
    <r>
      <rPr>
        <b/>
        <sz val="11"/>
        <color theme="1"/>
        <rFont val="Times New Roman"/>
        <family val="1"/>
        <scheme val="major"/>
      </rPr>
      <t>high growth for a mid term period</t>
    </r>
    <r>
      <rPr>
        <sz val="11"/>
        <color theme="1"/>
        <rFont val="Times New Roman"/>
        <family val="1"/>
        <scheme val="major"/>
      </rPr>
      <t xml:space="preserve">, for that reason, for the high growth period she would </t>
    </r>
    <r>
      <rPr>
        <b/>
        <sz val="11"/>
        <color theme="1"/>
        <rFont val="Times New Roman"/>
        <family val="1"/>
        <scheme val="major"/>
      </rPr>
      <t xml:space="preserve">reinvest a lot </t>
    </r>
    <r>
      <rPr>
        <sz val="11"/>
        <color theme="1"/>
        <rFont val="Times New Roman"/>
        <family val="1"/>
        <scheme val="major"/>
      </rPr>
      <t xml:space="preserve">and her </t>
    </r>
    <r>
      <rPr>
        <b/>
        <sz val="11"/>
        <color theme="1"/>
        <rFont val="Times New Roman"/>
        <family val="1"/>
        <scheme val="major"/>
      </rPr>
      <t>operating margins would be on the lower end</t>
    </r>
    <r>
      <rPr>
        <sz val="11"/>
        <color theme="1"/>
        <rFont val="Times New Roman"/>
        <family val="1"/>
        <scheme val="major"/>
      </rPr>
      <t xml:space="preserve"> in the growth period.</t>
    </r>
  </si>
  <si>
    <r>
      <t xml:space="preserve">by story 3, vital farms's "egg growth" will soon become mature, experiencing </t>
    </r>
    <r>
      <rPr>
        <b/>
        <sz val="11"/>
        <color theme="1"/>
        <rFont val="Times New Roman"/>
        <family val="1"/>
        <scheme val="major"/>
      </rPr>
      <t>mid to lower growth</t>
    </r>
    <r>
      <rPr>
        <sz val="11"/>
        <color theme="1"/>
        <rFont val="Times New Roman"/>
        <family val="1"/>
        <scheme val="major"/>
      </rPr>
      <t xml:space="preserve">, without the need to reinvest much, </t>
    </r>
    <r>
      <rPr>
        <b/>
        <sz val="11"/>
        <color theme="1"/>
        <rFont val="Times New Roman"/>
        <family val="1"/>
        <scheme val="major"/>
      </rPr>
      <t>reinvestment rate would be lower and the margins high</t>
    </r>
  </si>
  <si>
    <t>median growth:</t>
  </si>
  <si>
    <t>average growth:</t>
  </si>
  <si>
    <t>story 1</t>
  </si>
  <si>
    <t>extreme high growth for a long period</t>
  </si>
  <si>
    <t>story 2</t>
  </si>
  <si>
    <t>story 3</t>
  </si>
  <si>
    <t>terminal growth</t>
  </si>
  <si>
    <t>per capita consumption of egg in the us 2000 - 2024</t>
  </si>
  <si>
    <t>per capita egg
 consumption</t>
  </si>
  <si>
    <t>growth in egg
consumption</t>
  </si>
  <si>
    <t>median growth rate:</t>
  </si>
  <si>
    <t>average growth rate:</t>
  </si>
  <si>
    <t xml:space="preserve">terminal growth:  </t>
  </si>
  <si>
    <t>CALM is another egg based company, but is long time a mature company, so we can take her as an example for a terminal growth rate</t>
  </si>
  <si>
    <t>revenue
 growth</t>
  </si>
  <si>
    <t>a bad sample since the growth is unstable</t>
  </si>
  <si>
    <t>Operating Margin</t>
  </si>
  <si>
    <t xml:space="preserve">date
</t>
  </si>
  <si>
    <t>operating
margins
yearly</t>
  </si>
  <si>
    <t>operating
margins
ttm</t>
  </si>
  <si>
    <t>average farming sector operating margin:</t>
  </si>
  <si>
    <t>median farming sector operating margin:</t>
  </si>
  <si>
    <t>since CALM is the closest company to VITAL, we can use her operating margin as a target, but first, we neet to check the gross margin &amp; operating ex</t>
  </si>
  <si>
    <t>VITAL operating
margins
ttm</t>
  </si>
  <si>
    <t>2024-06-01</t>
  </si>
  <si>
    <t>2024-03-02</t>
  </si>
  <si>
    <t>2023-12-02</t>
  </si>
  <si>
    <t>2023-09-02</t>
  </si>
  <si>
    <t>2023-06-03</t>
  </si>
  <si>
    <t>2023-02-25</t>
  </si>
  <si>
    <t>2022-11-26</t>
  </si>
  <si>
    <t>2022-08-27</t>
  </si>
  <si>
    <t>2022-05-28</t>
  </si>
  <si>
    <t>2022-02-26</t>
  </si>
  <si>
    <t>2021-11-27</t>
  </si>
  <si>
    <t>2021-08-28</t>
  </si>
  <si>
    <t>2021-05-29</t>
  </si>
  <si>
    <t>2021-02-27</t>
  </si>
  <si>
    <t>2020-11-28</t>
  </si>
  <si>
    <t>2020-08-29</t>
  </si>
  <si>
    <t>2020-05-30</t>
  </si>
  <si>
    <t>2020-02-29</t>
  </si>
  <si>
    <t>2019-11-30</t>
  </si>
  <si>
    <t>CALM operating
margins
ttm</t>
  </si>
  <si>
    <t>CALM gross
margins
ttm</t>
  </si>
  <si>
    <t>VITAL gross
margins
ttm</t>
  </si>
  <si>
    <t>date
(CALM)</t>
  </si>
  <si>
    <t>diffrence
VITAL - CALM</t>
  </si>
  <si>
    <t>while the gross margin of vital is much higher than calm's gross margin, her operating margin is slighlty lower, which means vital has some massive operating expense</t>
  </si>
  <si>
    <t>vital</t>
  </si>
  <si>
    <t>SG&amp;A</t>
  </si>
  <si>
    <t>shipping &amp;
distribution</t>
  </si>
  <si>
    <t>total
 operating expenses</t>
  </si>
  <si>
    <t>SG&amp;A portion
of revenue</t>
  </si>
  <si>
    <t>shipping &amp;
distribution
portion of revenue</t>
  </si>
  <si>
    <t>calm</t>
  </si>
  <si>
    <t>the conclusion is clear, vital farms spends far more on SG&amp;A expense then CALM, for that reason, vital farms's whole operating expense is bigger then calm's operating expense which causes</t>
  </si>
  <si>
    <t>vital farms's operating margin to be lower than calm's operating margin. Since it does not seem like vital farms's spending on SG&amp;A is going to stop, it would be fair to assume that:</t>
  </si>
  <si>
    <t>at high growth periods the company would keep spending a lot on SG&amp;A, but when she slows down, her spending would slow down as well</t>
  </si>
  <si>
    <t>operating margin</t>
  </si>
  <si>
    <t>average industry:</t>
  </si>
  <si>
    <t>median industry:</t>
  </si>
  <si>
    <t>average ttm vital:</t>
  </si>
  <si>
    <t>median ttm vital:</t>
  </si>
  <si>
    <t>high growth, penetrating different products and markets, will burden on vital's expense and her operating margin, after become internatinal, her margin would be slighly lower than the us median, since the margins at the rest of the world are slightly lower</t>
  </si>
  <si>
    <t>high growth, penetrating different productss, will burden on vital's expense and her operating margin, with that being said, after setelling she would manage to cut fat, and settle on the median industry</t>
  </si>
  <si>
    <t>the company will fail to innovate, meaning she is losing from both sided, but still, reinvest less and slighly high operating margin, I would stay with somewhat conservative approach and will stick with the current operating margins</t>
  </si>
  <si>
    <t>reinvestment</t>
  </si>
  <si>
    <t>all number in THOUSANDS exxcept per share</t>
  </si>
  <si>
    <t>capital
expenditures</t>
  </si>
  <si>
    <t>depr&amp;amrtz</t>
  </si>
  <si>
    <t>net cap ex</t>
  </si>
  <si>
    <t>change in NWC</t>
  </si>
  <si>
    <t>operating income after tax</t>
  </si>
  <si>
    <t>reinvestment rate</t>
  </si>
  <si>
    <t>% gain (loss)</t>
  </si>
  <si>
    <t>current price</t>
  </si>
  <si>
    <t>Fair Share Price</t>
  </si>
  <si>
    <t>x</t>
  </si>
  <si>
    <t>Shares</t>
  </si>
  <si>
    <t>Equity Value</t>
  </si>
  <si>
    <t>- Debt</t>
  </si>
  <si>
    <t>+ Cash</t>
  </si>
  <si>
    <t>Enterprise Value</t>
  </si>
  <si>
    <t>Present Value of Terminal Value</t>
  </si>
  <si>
    <t>Terminal Value</t>
  </si>
  <si>
    <t>stable growth rate =</t>
  </si>
  <si>
    <t>TOTAL =</t>
  </si>
  <si>
    <t>Present Value of FCFF</t>
  </si>
  <si>
    <t>Unlevered FCFF</t>
  </si>
  <si>
    <t>FCFF</t>
  </si>
  <si>
    <t>chg in non cash wc (use of cash)</t>
  </si>
  <si>
    <t>chg in non cash wc as % of revenue</t>
  </si>
  <si>
    <t>EBIT after tax</t>
  </si>
  <si>
    <t>Tax rate</t>
  </si>
  <si>
    <t>EBIT</t>
  </si>
  <si>
    <t>Operating margins</t>
  </si>
  <si>
    <t>Revenues</t>
  </si>
  <si>
    <t>Growth rate</t>
  </si>
  <si>
    <t>fiscal 2024</t>
  </si>
  <si>
    <t>DCF</t>
  </si>
  <si>
    <t>change in NWC as %
of 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</si>
</sst>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64" formatCode="0.0%"/>
    <numFmt numFmtId="165" formatCode="_-[$$-409]* #,##0.00_ ;_-[$$-409]* \-#,##0.00\ ;_-[$$-409]* &quot;-&quot;??_ ;_-@_ "/>
    <numFmt numFmtId="166" formatCode="_-[$$-409]* #,##0_ ;_-[$$-409]* \-#,##0\ ;_-[$$-409]* &quot;-&quot;??_ ;_-@_ "/>
    <numFmt numFmtId="167" formatCode="0.0"/>
    <numFmt numFmtId="168" formatCode="_-[$$-409]* #,##0.0_ ;_-[$$-409]* \-#,##0.0\ ;_-[$$-409]* &quot;-&quot;??_ ;_-@_ "/>
    <numFmt numFmtId="169" formatCode="_ * #,##0_ ;_ * \-#,##0_ ;_ * &quot;-&quot;??_ ;_ @_ "/>
    <numFmt numFmtId="170" formatCode="_([$$-409]* #,##0.00_);_([$$-409]* \(#,##0.00\);_([$$-409]* &quot;-&quot;??_);_(@_)"/>
    <numFmt numFmtId="171" formatCode="_-[$$-409]* #,##0.000_ ;_-[$$-409]* \-#,##0.000\ ;_-[$$-409]* &quot;-&quot;??_ ;_-@_ "/>
    <numFmt numFmtId="172" formatCode="0.000%"/>
  </numFmts>
  <fonts count="29" x14ac:knownFonts="1">
    <font>
      <sz val="11"/>
      <color theme="1"/>
      <name val="Arial"/>
      <family val="2"/>
      <scheme val="minor"/>
    </font>
    <font>
      <sz val="11"/>
      <color theme="1"/>
      <name val="Arial"/>
      <family val="2"/>
      <scheme val="minor"/>
    </font>
    <font>
      <b/>
      <sz val="12"/>
      <color theme="1"/>
      <name val="Times New Roman"/>
      <family val="1"/>
      <scheme val="major"/>
    </font>
    <font>
      <sz val="11"/>
      <color theme="1"/>
      <name val="Times New Roman"/>
      <family val="1"/>
      <scheme val="major"/>
    </font>
    <font>
      <b/>
      <sz val="20"/>
      <color theme="1"/>
      <name val="Times New Roman"/>
      <family val="1"/>
      <scheme val="major"/>
    </font>
    <font>
      <b/>
      <sz val="11"/>
      <name val="Times New Roman"/>
      <family val="1"/>
      <scheme val="major"/>
    </font>
    <font>
      <b/>
      <u/>
      <sz val="11"/>
      <color theme="1"/>
      <name val="Times New Roman"/>
      <family val="1"/>
      <scheme val="major"/>
    </font>
    <font>
      <b/>
      <sz val="11"/>
      <color theme="1"/>
      <name val="Times New Roman"/>
      <family val="1"/>
      <scheme val="major"/>
    </font>
    <font>
      <sz val="14"/>
      <color theme="1"/>
      <name val="Times New Roman"/>
      <family val="1"/>
      <scheme val="major"/>
    </font>
    <font>
      <b/>
      <u/>
      <sz val="18"/>
      <color theme="1"/>
      <name val="Times New Roman"/>
      <family val="1"/>
      <scheme val="major"/>
    </font>
    <font>
      <sz val="11"/>
      <color rgb="FF444444"/>
      <name val="Arial"/>
      <family val="2"/>
      <scheme val="minor"/>
    </font>
    <font>
      <sz val="11"/>
      <name val="Times New Roman"/>
      <family val="1"/>
      <scheme val="major"/>
    </font>
    <font>
      <b/>
      <sz val="14"/>
      <color theme="1"/>
      <name val="Times New Roman"/>
      <family val="1"/>
      <scheme val="major"/>
    </font>
    <font>
      <b/>
      <sz val="18"/>
      <color theme="1"/>
      <name val="Times New Roman"/>
      <family val="1"/>
      <scheme val="major"/>
    </font>
    <font>
      <sz val="11"/>
      <color theme="0"/>
      <name val="Arial"/>
      <family val="2"/>
      <scheme val="minor"/>
    </font>
    <font>
      <sz val="11"/>
      <color theme="0"/>
      <name val="Times New Roman"/>
      <family val="1"/>
    </font>
    <font>
      <b/>
      <sz val="11"/>
      <color theme="0"/>
      <name val="Times New Roman"/>
      <family val="1"/>
    </font>
    <font>
      <sz val="11"/>
      <color theme="1"/>
      <name val="Times New Roman"/>
      <family val="1"/>
    </font>
    <font>
      <b/>
      <sz val="11"/>
      <name val="Times New Roman"/>
      <family val="1"/>
    </font>
    <font>
      <b/>
      <sz val="11"/>
      <color theme="1"/>
      <name val="Times New Roman"/>
      <family val="1"/>
    </font>
    <font>
      <b/>
      <sz val="11"/>
      <color rgb="FF00B050"/>
      <name val="Times New Roman"/>
      <family val="1"/>
    </font>
    <font>
      <sz val="11"/>
      <name val="Times New Roman"/>
      <family val="1"/>
    </font>
    <font>
      <sz val="11"/>
      <color rgb="FF00B050"/>
      <name val="Times New Roman"/>
      <family val="1"/>
    </font>
    <font>
      <sz val="11"/>
      <color rgb="FF7030A0"/>
      <name val="Times New Roman"/>
      <family val="1"/>
    </font>
    <font>
      <sz val="11"/>
      <color rgb="FFFF0000"/>
      <name val="Times New Roman"/>
      <family val="1"/>
    </font>
    <font>
      <b/>
      <sz val="11"/>
      <color rgb="FFFF0000"/>
      <name val="Times New Roman"/>
      <family val="1"/>
    </font>
    <font>
      <i/>
      <sz val="11"/>
      <color rgb="FF00B050"/>
      <name val="Times New Roman"/>
      <family val="1"/>
    </font>
    <font>
      <i/>
      <sz val="11"/>
      <color theme="1"/>
      <name val="Times New Roman"/>
      <family val="1"/>
    </font>
    <font>
      <b/>
      <i/>
      <sz val="11"/>
      <color rgb="FF00B050"/>
      <name val="Times New Roman"/>
      <family val="1"/>
    </font>
  </fonts>
  <fills count="10">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rgb="FF00B050"/>
        <bgColor indexed="64"/>
      </patternFill>
    </fill>
    <fill>
      <patternFill patternType="solid">
        <fgColor theme="3"/>
        <bgColor indexed="64"/>
      </patternFill>
    </fill>
    <fill>
      <patternFill patternType="solid">
        <fgColor rgb="FFFFD9D9"/>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78">
    <xf numFmtId="0" fontId="0" fillId="0" borderId="0" xfId="0"/>
    <xf numFmtId="0" fontId="3" fillId="0" borderId="0" xfId="0" applyFont="1"/>
    <xf numFmtId="10" fontId="3" fillId="0" borderId="0" xfId="0" applyNumberFormat="1" applyFont="1"/>
    <xf numFmtId="0" fontId="3" fillId="0" borderId="2" xfId="0" applyFont="1" applyBorder="1" applyAlignment="1">
      <alignment horizontal="center" vertical="center"/>
    </xf>
    <xf numFmtId="10" fontId="3" fillId="0" borderId="2" xfId="0" applyNumberFormat="1" applyFont="1" applyBorder="1" applyAlignment="1">
      <alignment horizontal="center" vertical="center"/>
    </xf>
    <xf numFmtId="164" fontId="3" fillId="0" borderId="0" xfId="1" applyNumberFormat="1" applyFont="1"/>
    <xf numFmtId="2" fontId="3" fillId="0" borderId="0" xfId="0" applyNumberFormat="1" applyFont="1"/>
    <xf numFmtId="2" fontId="3" fillId="0" borderId="2" xfId="0" applyNumberFormat="1" applyFont="1" applyBorder="1" applyAlignment="1">
      <alignment horizontal="center" vertical="center"/>
    </xf>
    <xf numFmtId="10" fontId="3" fillId="0" borderId="2" xfId="1" applyNumberFormat="1" applyFont="1" applyBorder="1" applyAlignment="1">
      <alignment horizontal="center" vertical="center"/>
    </xf>
    <xf numFmtId="9" fontId="3" fillId="0" borderId="2" xfId="0" applyNumberFormat="1" applyFont="1" applyBorder="1" applyAlignment="1">
      <alignment horizontal="center" vertical="center"/>
    </xf>
    <xf numFmtId="165" fontId="3" fillId="0" borderId="0" xfId="0" applyNumberFormat="1" applyFont="1"/>
    <xf numFmtId="166" fontId="0" fillId="2" borderId="0" xfId="0" applyNumberFormat="1" applyFill="1"/>
    <xf numFmtId="167" fontId="3" fillId="0" borderId="0" xfId="0" applyNumberFormat="1" applyFont="1"/>
    <xf numFmtId="0" fontId="5" fillId="4" borderId="2" xfId="0" applyFont="1" applyFill="1" applyBorder="1" applyAlignment="1">
      <alignment horizontal="center" vertical="top" wrapText="1"/>
    </xf>
    <xf numFmtId="0" fontId="3" fillId="5" borderId="2" xfId="0" applyFont="1" applyFill="1" applyBorder="1" applyAlignment="1">
      <alignment wrapText="1"/>
    </xf>
    <xf numFmtId="166" fontId="3" fillId="4" borderId="2" xfId="0" applyNumberFormat="1" applyFont="1" applyFill="1" applyBorder="1"/>
    <xf numFmtId="0" fontId="5" fillId="0" borderId="2" xfId="0" applyFont="1" applyBorder="1" applyAlignment="1">
      <alignment horizontal="center" vertical="top" wrapText="1"/>
    </xf>
    <xf numFmtId="0" fontId="3" fillId="0" borderId="2" xfId="0" applyFont="1" applyBorder="1"/>
    <xf numFmtId="1" fontId="3" fillId="0" borderId="0" xfId="0" applyNumberFormat="1" applyFont="1"/>
    <xf numFmtId="0" fontId="3" fillId="2" borderId="2" xfId="0" applyFont="1" applyFill="1" applyBorder="1"/>
    <xf numFmtId="166" fontId="3" fillId="3" borderId="2" xfId="0" applyNumberFormat="1" applyFont="1" applyFill="1" applyBorder="1"/>
    <xf numFmtId="164" fontId="3" fillId="0" borderId="2" xfId="1" applyNumberFormat="1" applyFont="1" applyBorder="1" applyAlignment="1">
      <alignment horizontal="center" vertical="center"/>
    </xf>
    <xf numFmtId="164" fontId="3" fillId="0" borderId="2" xfId="0" applyNumberFormat="1" applyFont="1" applyBorder="1" applyAlignment="1">
      <alignment horizontal="center" vertical="center"/>
    </xf>
    <xf numFmtId="0" fontId="6" fillId="0" borderId="0" xfId="0" applyFont="1"/>
    <xf numFmtId="166" fontId="3" fillId="0" borderId="0" xfId="0" applyNumberFormat="1" applyFont="1"/>
    <xf numFmtId="166" fontId="3" fillId="0" borderId="2" xfId="0" applyNumberFormat="1" applyFont="1" applyBorder="1" applyAlignment="1">
      <alignment horizontal="center" vertical="center"/>
    </xf>
    <xf numFmtId="0" fontId="3" fillId="0" borderId="0" xfId="0" applyFont="1" applyAlignment="1">
      <alignment horizontal="center" vertical="center"/>
    </xf>
    <xf numFmtId="166" fontId="3" fillId="4" borderId="2" xfId="0" applyNumberFormat="1" applyFont="1" applyFill="1" applyBorder="1" applyAlignment="1">
      <alignment horizontal="center" vertical="center"/>
    </xf>
    <xf numFmtId="165" fontId="3" fillId="0" borderId="2" xfId="0" applyNumberFormat="1" applyFont="1" applyBorder="1" applyAlignment="1">
      <alignment horizontal="center" vertical="center"/>
    </xf>
    <xf numFmtId="0" fontId="4" fillId="0" borderId="0" xfId="0" applyFont="1"/>
    <xf numFmtId="0" fontId="0" fillId="0" borderId="2" xfId="0" applyBorder="1" applyAlignment="1">
      <alignment horizontal="center" vertical="center"/>
    </xf>
    <xf numFmtId="0" fontId="0" fillId="0" borderId="2" xfId="0" applyBorder="1" applyAlignment="1">
      <alignment horizontal="center" vertical="center" wrapText="1"/>
    </xf>
    <xf numFmtId="166" fontId="0" fillId="0" borderId="2" xfId="0" applyNumberFormat="1" applyBorder="1" applyAlignment="1">
      <alignment horizontal="center" vertical="center"/>
    </xf>
    <xf numFmtId="164" fontId="0" fillId="0" borderId="2" xfId="1" applyNumberFormat="1" applyFont="1" applyBorder="1" applyAlignment="1">
      <alignment horizontal="center" vertical="center"/>
    </xf>
    <xf numFmtId="0" fontId="3" fillId="0" borderId="2" xfId="0" applyFont="1" applyBorder="1" applyAlignment="1">
      <alignment horizontal="center" vertical="center" wrapText="1"/>
    </xf>
    <xf numFmtId="167" fontId="3" fillId="4" borderId="2" xfId="0" applyNumberFormat="1" applyFont="1" applyFill="1" applyBorder="1"/>
    <xf numFmtId="167" fontId="3" fillId="3" borderId="2" xfId="0" applyNumberFormat="1" applyFont="1" applyFill="1" applyBorder="1"/>
    <xf numFmtId="0" fontId="3" fillId="0" borderId="0" xfId="0" applyFont="1" applyAlignment="1">
      <alignment wrapText="1"/>
    </xf>
    <xf numFmtId="0" fontId="3" fillId="0" borderId="3" xfId="0" applyFont="1" applyBorder="1" applyAlignment="1">
      <alignment horizontal="center" vertical="center"/>
    </xf>
    <xf numFmtId="166" fontId="3" fillId="0" borderId="3" xfId="0" applyNumberFormat="1" applyFont="1" applyBorder="1" applyAlignment="1">
      <alignment horizontal="center" vertical="center"/>
    </xf>
    <xf numFmtId="164" fontId="3" fillId="0" borderId="2" xfId="1" applyNumberFormat="1" applyFont="1" applyBorder="1"/>
    <xf numFmtId="164" fontId="3" fillId="0" borderId="0" xfId="0" applyNumberFormat="1" applyFont="1"/>
    <xf numFmtId="164" fontId="8" fillId="0" borderId="0" xfId="0" applyNumberFormat="1" applyFont="1"/>
    <xf numFmtId="0" fontId="8" fillId="0" borderId="0" xfId="0" applyFont="1"/>
    <xf numFmtId="0" fontId="7" fillId="0" borderId="0" xfId="0" applyFont="1"/>
    <xf numFmtId="9" fontId="3" fillId="0" borderId="0" xfId="0" applyNumberFormat="1" applyFont="1"/>
    <xf numFmtId="0" fontId="10" fillId="6" borderId="0" xfId="0" applyFont="1" applyFill="1" applyAlignment="1">
      <alignment horizontal="center" vertical="center" wrapText="1"/>
    </xf>
    <xf numFmtId="164" fontId="0" fillId="0" borderId="0" xfId="1" applyNumberFormat="1" applyFont="1"/>
    <xf numFmtId="164" fontId="3" fillId="2" borderId="2" xfId="1" applyNumberFormat="1" applyFont="1" applyFill="1" applyBorder="1"/>
    <xf numFmtId="0" fontId="11" fillId="0" borderId="2" xfId="0" applyFont="1" applyBorder="1" applyAlignment="1">
      <alignment horizontal="center" vertical="top" wrapText="1"/>
    </xf>
    <xf numFmtId="0" fontId="3" fillId="0" borderId="4" xfId="0" applyFont="1" applyBorder="1" applyAlignment="1">
      <alignment wrapText="1"/>
    </xf>
    <xf numFmtId="0" fontId="0" fillId="0" borderId="2" xfId="0" applyBorder="1"/>
    <xf numFmtId="164" fontId="0" fillId="0" borderId="2" xfId="1" applyNumberFormat="1" applyFont="1" applyBorder="1"/>
    <xf numFmtId="0" fontId="0" fillId="2" borderId="2" xfId="0" applyFill="1" applyBorder="1"/>
    <xf numFmtId="164" fontId="0" fillId="2" borderId="2" xfId="1" applyNumberFormat="1" applyFont="1" applyFill="1" applyBorder="1"/>
    <xf numFmtId="164" fontId="3" fillId="0" borderId="0" xfId="1" applyNumberFormat="1" applyFont="1" applyBorder="1"/>
    <xf numFmtId="0" fontId="11" fillId="0" borderId="2" xfId="0" applyFont="1" applyBorder="1" applyAlignment="1">
      <alignment horizontal="center" vertical="center" wrapText="1"/>
    </xf>
    <xf numFmtId="164" fontId="11" fillId="0" borderId="2" xfId="1" applyNumberFormat="1" applyFont="1" applyBorder="1" applyAlignment="1">
      <alignment horizontal="center" vertical="center" wrapText="1"/>
    </xf>
    <xf numFmtId="0" fontId="0" fillId="2" borderId="2" xfId="0" applyFill="1" applyBorder="1" applyAlignment="1">
      <alignment horizontal="center" vertical="center"/>
    </xf>
    <xf numFmtId="164" fontId="0" fillId="2" borderId="2" xfId="1" applyNumberFormat="1" applyFont="1" applyFill="1" applyBorder="1" applyAlignment="1">
      <alignment horizontal="center" vertical="center"/>
    </xf>
    <xf numFmtId="0" fontId="12" fillId="0" borderId="0" xfId="0" applyFont="1"/>
    <xf numFmtId="0" fontId="13" fillId="0" borderId="0" xfId="0" applyFont="1"/>
    <xf numFmtId="0" fontId="9" fillId="0" borderId="0" xfId="0" applyFont="1"/>
    <xf numFmtId="166" fontId="3" fillId="0" borderId="2" xfId="1" applyNumberFormat="1" applyFont="1" applyBorder="1" applyAlignment="1">
      <alignment horizontal="center" vertical="center"/>
    </xf>
    <xf numFmtId="0" fontId="3" fillId="0" borderId="0" xfId="0" applyFont="1" applyAlignment="1">
      <alignment horizontal="center" vertical="center" wrapText="1"/>
    </xf>
    <xf numFmtId="166" fontId="3" fillId="0" borderId="0" xfId="1" applyNumberFormat="1" applyFont="1" applyBorder="1" applyAlignment="1">
      <alignment horizontal="center" vertical="center"/>
    </xf>
    <xf numFmtId="10" fontId="3" fillId="0" borderId="2" xfId="0" applyNumberFormat="1" applyFont="1" applyBorder="1"/>
    <xf numFmtId="9" fontId="3" fillId="0" borderId="2" xfId="0" applyNumberFormat="1" applyFont="1" applyBorder="1"/>
    <xf numFmtId="166" fontId="3" fillId="0" borderId="2" xfId="0" applyNumberFormat="1" applyFont="1" applyBorder="1"/>
    <xf numFmtId="9" fontId="3" fillId="0" borderId="2" xfId="1" applyFont="1" applyBorder="1"/>
    <xf numFmtId="165" fontId="3" fillId="0" borderId="2" xfId="0" applyNumberFormat="1" applyFont="1" applyBorder="1"/>
    <xf numFmtId="0" fontId="0" fillId="5" borderId="0" xfId="0" applyFill="1"/>
    <xf numFmtId="0" fontId="14" fillId="5" borderId="0" xfId="0" applyFont="1" applyFill="1"/>
    <xf numFmtId="0" fontId="15" fillId="5" borderId="0" xfId="0" applyFont="1" applyFill="1"/>
    <xf numFmtId="0" fontId="16" fillId="5" borderId="0" xfId="0" applyFont="1" applyFill="1"/>
    <xf numFmtId="165" fontId="15" fillId="5" borderId="0" xfId="0" applyNumberFormat="1" applyFont="1" applyFill="1"/>
    <xf numFmtId="10" fontId="16" fillId="5" borderId="0" xfId="1" applyNumberFormat="1" applyFont="1" applyFill="1" applyBorder="1" applyAlignment="1"/>
    <xf numFmtId="0" fontId="15" fillId="5" borderId="0" xfId="0" applyFont="1" applyFill="1" applyAlignment="1">
      <alignment horizontal="center" vertical="center"/>
    </xf>
    <xf numFmtId="0" fontId="17" fillId="5" borderId="0" xfId="0" applyFont="1" applyFill="1"/>
    <xf numFmtId="0" fontId="17" fillId="0" borderId="0" xfId="0" applyFont="1"/>
    <xf numFmtId="0" fontId="17" fillId="0" borderId="5" xfId="0" applyFont="1" applyBorder="1"/>
    <xf numFmtId="10" fontId="18" fillId="7" borderId="6" xfId="1" applyNumberFormat="1" applyFont="1" applyFill="1" applyBorder="1" applyAlignment="1">
      <alignment horizontal="center" vertical="center"/>
    </xf>
    <xf numFmtId="0" fontId="19" fillId="0" borderId="0" xfId="0" applyFont="1"/>
    <xf numFmtId="170" fontId="20" fillId="0" borderId="0" xfId="0" applyNumberFormat="1" applyFont="1"/>
    <xf numFmtId="4" fontId="17" fillId="0" borderId="0" xfId="0" applyNumberFormat="1" applyFont="1"/>
    <xf numFmtId="0" fontId="17" fillId="0" borderId="1" xfId="0" applyFont="1" applyBorder="1"/>
    <xf numFmtId="37" fontId="18" fillId="0" borderId="0" xfId="0" applyNumberFormat="1" applyFont="1"/>
    <xf numFmtId="171" fontId="17" fillId="0" borderId="0" xfId="0" applyNumberFormat="1" applyFont="1"/>
    <xf numFmtId="0" fontId="17" fillId="0" borderId="1" xfId="0" quotePrefix="1" applyFont="1" applyBorder="1"/>
    <xf numFmtId="0" fontId="17" fillId="0" borderId="0" xfId="0" quotePrefix="1" applyFont="1"/>
    <xf numFmtId="165" fontId="18" fillId="0" borderId="0" xfId="0" applyNumberFormat="1" applyFont="1"/>
    <xf numFmtId="165" fontId="21" fillId="0" borderId="1" xfId="0" applyNumberFormat="1" applyFont="1" applyBorder="1"/>
    <xf numFmtId="165" fontId="21" fillId="0" borderId="0" xfId="0" applyNumberFormat="1" applyFont="1"/>
    <xf numFmtId="14" fontId="17" fillId="0" borderId="0" xfId="0" applyNumberFormat="1" applyFont="1"/>
    <xf numFmtId="165" fontId="17" fillId="0" borderId="0" xfId="0" applyNumberFormat="1" applyFont="1"/>
    <xf numFmtId="10" fontId="20" fillId="0" borderId="0" xfId="0" applyNumberFormat="1" applyFont="1"/>
    <xf numFmtId="165" fontId="17" fillId="0" borderId="7" xfId="0" applyNumberFormat="1" applyFont="1" applyBorder="1"/>
    <xf numFmtId="0" fontId="19" fillId="0" borderId="8" xfId="0" applyFont="1" applyBorder="1"/>
    <xf numFmtId="165" fontId="22" fillId="0" borderId="2" xfId="0" applyNumberFormat="1" applyFont="1" applyBorder="1"/>
    <xf numFmtId="0" fontId="17" fillId="0" borderId="2" xfId="0" applyFont="1" applyBorder="1"/>
    <xf numFmtId="0" fontId="19" fillId="0" borderId="2" xfId="0" applyFont="1" applyBorder="1"/>
    <xf numFmtId="172" fontId="19" fillId="5" borderId="0" xfId="1" applyNumberFormat="1" applyFont="1" applyFill="1" applyBorder="1" applyAlignment="1"/>
    <xf numFmtId="172" fontId="19" fillId="5" borderId="2" xfId="1" applyNumberFormat="1" applyFont="1" applyFill="1" applyBorder="1" applyAlignment="1"/>
    <xf numFmtId="165" fontId="23" fillId="0" borderId="0" xfId="0" applyNumberFormat="1" applyFont="1"/>
    <xf numFmtId="165" fontId="22" fillId="0" borderId="0" xfId="0" applyNumberFormat="1" applyFont="1"/>
    <xf numFmtId="0" fontId="21" fillId="0" borderId="0" xfId="0" applyFont="1" applyAlignment="1">
      <alignment horizontal="center" vertical="center"/>
    </xf>
    <xf numFmtId="165" fontId="23" fillId="0" borderId="10" xfId="0" applyNumberFormat="1" applyFont="1" applyBorder="1"/>
    <xf numFmtId="165" fontId="24" fillId="0" borderId="0" xfId="0" applyNumberFormat="1" applyFont="1"/>
    <xf numFmtId="9" fontId="24" fillId="0" borderId="0" xfId="1" applyFont="1"/>
    <xf numFmtId="9" fontId="25" fillId="0" borderId="0" xfId="1" applyFont="1" applyBorder="1"/>
    <xf numFmtId="9" fontId="25" fillId="0" borderId="2" xfId="1" applyFont="1" applyBorder="1"/>
    <xf numFmtId="165" fontId="23" fillId="0" borderId="4" xfId="0" applyNumberFormat="1" applyFont="1" applyBorder="1"/>
    <xf numFmtId="165" fontId="23" fillId="0" borderId="11" xfId="0" applyNumberFormat="1" applyFont="1" applyBorder="1"/>
    <xf numFmtId="165" fontId="17" fillId="0" borderId="11" xfId="0" applyNumberFormat="1" applyFont="1" applyBorder="1"/>
    <xf numFmtId="165" fontId="24" fillId="0" borderId="11" xfId="0" applyNumberFormat="1" applyFont="1" applyBorder="1"/>
    <xf numFmtId="165" fontId="25" fillId="0" borderId="2" xfId="1" applyNumberFormat="1" applyFont="1" applyBorder="1"/>
    <xf numFmtId="165" fontId="22" fillId="0" borderId="10" xfId="0" applyNumberFormat="1" applyFont="1" applyBorder="1"/>
    <xf numFmtId="165" fontId="19" fillId="0" borderId="0" xfId="0" applyNumberFormat="1" applyFont="1"/>
    <xf numFmtId="0" fontId="17" fillId="0" borderId="10" xfId="0" applyFont="1" applyBorder="1"/>
    <xf numFmtId="10" fontId="25" fillId="0" borderId="2" xfId="0" applyNumberFormat="1" applyFont="1" applyBorder="1"/>
    <xf numFmtId="9" fontId="17" fillId="0" borderId="4" xfId="0" applyNumberFormat="1" applyFont="1" applyBorder="1"/>
    <xf numFmtId="0" fontId="17" fillId="0" borderId="11" xfId="0" applyFont="1" applyBorder="1"/>
    <xf numFmtId="0" fontId="24" fillId="0" borderId="11" xfId="0" applyFont="1" applyBorder="1"/>
    <xf numFmtId="165" fontId="22" fillId="5" borderId="0" xfId="0" applyNumberFormat="1" applyFont="1" applyFill="1"/>
    <xf numFmtId="165" fontId="26" fillId="0" borderId="0" xfId="1" applyNumberFormat="1" applyFont="1" applyFill="1" applyBorder="1"/>
    <xf numFmtId="165" fontId="26" fillId="0" borderId="10" xfId="1" applyNumberFormat="1" applyFont="1" applyBorder="1"/>
    <xf numFmtId="164" fontId="27" fillId="0" borderId="0" xfId="1" applyNumberFormat="1" applyFont="1"/>
    <xf numFmtId="0" fontId="27" fillId="0" borderId="0" xfId="0" applyFont="1"/>
    <xf numFmtId="165" fontId="17" fillId="0" borderId="12" xfId="0" applyNumberFormat="1" applyFont="1" applyBorder="1"/>
    <xf numFmtId="3" fontId="23" fillId="0" borderId="0" xfId="0" applyNumberFormat="1" applyFont="1"/>
    <xf numFmtId="0" fontId="21" fillId="0" borderId="0" xfId="0" applyFont="1"/>
    <xf numFmtId="10" fontId="20" fillId="0" borderId="2" xfId="1" applyNumberFormat="1" applyFont="1" applyBorder="1"/>
    <xf numFmtId="10" fontId="22" fillId="0" borderId="4" xfId="1" applyNumberFormat="1" applyFont="1" applyBorder="1"/>
    <xf numFmtId="0" fontId="22" fillId="0" borderId="11" xfId="0" applyFont="1" applyBorder="1"/>
    <xf numFmtId="168" fontId="17" fillId="0" borderId="0" xfId="0" applyNumberFormat="1" applyFont="1"/>
    <xf numFmtId="10" fontId="28" fillId="0" borderId="2" xfId="1" applyNumberFormat="1" applyFont="1" applyFill="1" applyBorder="1"/>
    <xf numFmtId="10" fontId="27" fillId="0" borderId="4" xfId="1" applyNumberFormat="1" applyFont="1" applyBorder="1"/>
    <xf numFmtId="164" fontId="27" fillId="0" borderId="11" xfId="1" applyNumberFormat="1" applyFont="1" applyBorder="1"/>
    <xf numFmtId="0" fontId="28" fillId="0" borderId="11" xfId="0" applyFont="1" applyBorder="1"/>
    <xf numFmtId="3" fontId="21" fillId="0" borderId="0" xfId="0" applyNumberFormat="1" applyFont="1"/>
    <xf numFmtId="3" fontId="23" fillId="0" borderId="10" xfId="0" applyNumberFormat="1" applyFont="1" applyBorder="1"/>
    <xf numFmtId="0" fontId="16" fillId="8" borderId="0" xfId="0" applyFont="1" applyFill="1" applyAlignment="1">
      <alignment horizontal="center" vertical="center"/>
    </xf>
    <xf numFmtId="0" fontId="16" fillId="8" borderId="0" xfId="0" applyFont="1" applyFill="1"/>
    <xf numFmtId="0" fontId="17" fillId="8" borderId="0" xfId="0" applyFont="1" applyFill="1"/>
    <xf numFmtId="0" fontId="16" fillId="5" borderId="0" xfId="0" applyFont="1" applyFill="1" applyAlignment="1">
      <alignment horizontal="center" vertical="center"/>
    </xf>
    <xf numFmtId="165" fontId="25" fillId="0" borderId="9" xfId="1" applyNumberFormat="1" applyFont="1" applyBorder="1"/>
    <xf numFmtId="9" fontId="25" fillId="0" borderId="9" xfId="1" applyFont="1" applyBorder="1"/>
    <xf numFmtId="165" fontId="22" fillId="0" borderId="9" xfId="0" applyNumberFormat="1" applyFont="1" applyBorder="1"/>
    <xf numFmtId="10" fontId="28" fillId="5" borderId="0" xfId="1" applyNumberFormat="1" applyFont="1" applyFill="1" applyBorder="1"/>
    <xf numFmtId="10" fontId="20" fillId="5" borderId="0" xfId="1" applyNumberFormat="1" applyFont="1" applyFill="1" applyBorder="1"/>
    <xf numFmtId="10" fontId="25" fillId="5" borderId="0" xfId="0" applyNumberFormat="1" applyFont="1" applyFill="1"/>
    <xf numFmtId="165" fontId="25" fillId="5" borderId="0" xfId="1" applyNumberFormat="1" applyFont="1" applyFill="1" applyBorder="1"/>
    <xf numFmtId="9" fontId="25" fillId="5" borderId="0" xfId="1" applyFont="1" applyFill="1" applyBorder="1"/>
    <xf numFmtId="165" fontId="21" fillId="5" borderId="0" xfId="0" applyNumberFormat="1" applyFont="1" applyFill="1"/>
    <xf numFmtId="0" fontId="21" fillId="5" borderId="0" xfId="0" applyFont="1" applyFill="1" applyAlignment="1">
      <alignment horizontal="center" vertical="center"/>
    </xf>
    <xf numFmtId="166" fontId="17" fillId="0" borderId="10" xfId="0" applyNumberFormat="1" applyFont="1" applyBorder="1"/>
    <xf numFmtId="166" fontId="17" fillId="0" borderId="0" xfId="0" applyNumberFormat="1" applyFont="1"/>
    <xf numFmtId="166" fontId="17" fillId="0" borderId="12" xfId="0" applyNumberFormat="1" applyFont="1" applyBorder="1"/>
    <xf numFmtId="166" fontId="21" fillId="0" borderId="0" xfId="0" applyNumberFormat="1" applyFont="1"/>
    <xf numFmtId="166" fontId="22" fillId="0" borderId="2" xfId="0" applyNumberFormat="1" applyFont="1" applyBorder="1"/>
    <xf numFmtId="166" fontId="17" fillId="0" borderId="7" xfId="0" applyNumberFormat="1" applyFont="1" applyBorder="1"/>
    <xf numFmtId="166" fontId="17" fillId="5" borderId="0" xfId="0" applyNumberFormat="1" applyFont="1" applyFill="1"/>
    <xf numFmtId="166" fontId="15" fillId="5" borderId="0" xfId="0" applyNumberFormat="1" applyFont="1" applyFill="1"/>
    <xf numFmtId="166" fontId="14" fillId="5" borderId="0" xfId="0" applyNumberFormat="1" applyFont="1" applyFill="1"/>
    <xf numFmtId="10" fontId="3" fillId="0" borderId="10" xfId="0" applyNumberFormat="1" applyFont="1" applyBorder="1"/>
    <xf numFmtId="10" fontId="18" fillId="9" borderId="6" xfId="1" applyNumberFormat="1" applyFont="1" applyFill="1" applyBorder="1" applyAlignment="1">
      <alignment horizontal="center" vertical="center"/>
    </xf>
    <xf numFmtId="169" fontId="3" fillId="5" borderId="0" xfId="2" applyNumberFormat="1" applyFont="1" applyFill="1"/>
    <xf numFmtId="0" fontId="2" fillId="0" borderId="0" xfId="0" applyFont="1" applyAlignment="1">
      <alignment horizontal="center"/>
    </xf>
    <xf numFmtId="0" fontId="2" fillId="0" borderId="1" xfId="0" applyFont="1" applyBorder="1" applyAlignment="1">
      <alignment horizontal="center"/>
    </xf>
    <xf numFmtId="0" fontId="4" fillId="0" borderId="0" xfId="0" applyFont="1" applyAlignment="1">
      <alignment horizontal="center"/>
    </xf>
    <xf numFmtId="0" fontId="4" fillId="0" borderId="1" xfId="0" applyFont="1" applyBorder="1" applyAlignment="1">
      <alignment horizontal="center"/>
    </xf>
    <xf numFmtId="0" fontId="3" fillId="0" borderId="2" xfId="0" applyFont="1" applyBorder="1" applyAlignment="1">
      <alignment horizontal="center" vertical="center"/>
    </xf>
    <xf numFmtId="10" fontId="3" fillId="0" borderId="2" xfId="0" applyNumberFormat="1" applyFont="1" applyBorder="1" applyAlignment="1">
      <alignment horizontal="center" vertical="center"/>
    </xf>
    <xf numFmtId="0" fontId="8" fillId="0" borderId="0" xfId="0" applyFont="1" applyAlignment="1">
      <alignment horizontal="center"/>
    </xf>
    <xf numFmtId="0" fontId="9" fillId="0" borderId="0" xfId="0" applyFont="1" applyAlignment="1">
      <alignment horizontal="center"/>
    </xf>
    <xf numFmtId="0" fontId="19" fillId="0" borderId="9" xfId="0" applyFont="1" applyBorder="1" applyAlignment="1">
      <alignment horizontal="center"/>
    </xf>
    <xf numFmtId="0" fontId="19" fillId="0" borderId="4" xfId="0" applyFont="1" applyBorder="1" applyAlignment="1">
      <alignment horizontal="center"/>
    </xf>
    <xf numFmtId="0" fontId="16" fillId="5" borderId="0" xfId="0" applyFont="1" applyFill="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WACC!$G$51</c:f>
              <c:strCache>
                <c:ptCount val="1"/>
                <c:pt idx="0">
                  <c:v>COE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WACC!$C$52:$C$53</c:f>
              <c:strCache>
                <c:ptCount val="2"/>
                <c:pt idx="0">
                  <c:v>0</c:v>
                </c:pt>
                <c:pt idx="1">
                  <c:v>terminal</c:v>
                </c:pt>
              </c:strCache>
            </c:strRef>
          </c:cat>
          <c:val>
            <c:numRef>
              <c:f>WACC!$G$52:$G$53</c:f>
              <c:numCache>
                <c:formatCode>0.00%</c:formatCode>
                <c:ptCount val="2"/>
                <c:pt idx="0">
                  <c:v>8.2106685710361074E-2</c:v>
                </c:pt>
                <c:pt idx="1">
                  <c:v>7.078799999999999E-2</c:v>
                </c:pt>
              </c:numCache>
            </c:numRef>
          </c:val>
          <c:extLst>
            <c:ext xmlns:c16="http://schemas.microsoft.com/office/drawing/2014/chart" uri="{C3380CC4-5D6E-409C-BE32-E72D297353CC}">
              <c16:uniqueId val="{00000000-3BA7-444B-801C-9C12CE894555}"/>
            </c:ext>
          </c:extLst>
        </c:ser>
        <c:dLbls>
          <c:showLegendKey val="0"/>
          <c:showVal val="0"/>
          <c:showCatName val="0"/>
          <c:showSerName val="0"/>
          <c:showPercent val="0"/>
          <c:showBubbleSize val="0"/>
        </c:dLbls>
        <c:gapWidth val="219"/>
        <c:overlap val="-27"/>
        <c:axId val="85792463"/>
        <c:axId val="85796303"/>
      </c:barChart>
      <c:catAx>
        <c:axId val="8579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he-IL"/>
          </a:p>
        </c:txPr>
        <c:crossAx val="85796303"/>
        <c:crosses val="autoZero"/>
        <c:auto val="1"/>
        <c:lblAlgn val="ctr"/>
        <c:lblOffset val="100"/>
        <c:noMultiLvlLbl val="0"/>
      </c:catAx>
      <c:valAx>
        <c:axId val="857963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857924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 margins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lineChart>
        <c:grouping val="standard"/>
        <c:varyColors val="0"/>
        <c:ser>
          <c:idx val="0"/>
          <c:order val="0"/>
          <c:tx>
            <c:strRef>
              <c:f>Forecasts!$C$152</c:f>
              <c:strCache>
                <c:ptCount val="1"/>
                <c:pt idx="0">
                  <c:v>operating
margins
ttm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he-I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Forecasts!$B$153:$B$171</c:f>
              <c:strCache>
                <c:ptCount val="19"/>
                <c:pt idx="0">
                  <c:v>2024-06-30</c:v>
                </c:pt>
                <c:pt idx="1">
                  <c:v>2024-03-31</c:v>
                </c:pt>
                <c:pt idx="2">
                  <c:v>2023-12-31</c:v>
                </c:pt>
                <c:pt idx="3">
                  <c:v>2023-09-30</c:v>
                </c:pt>
                <c:pt idx="4">
                  <c:v>2023-06-30</c:v>
                </c:pt>
                <c:pt idx="5">
                  <c:v>2023-03-31</c:v>
                </c:pt>
                <c:pt idx="6">
                  <c:v>2022-12-31</c:v>
                </c:pt>
                <c:pt idx="7">
                  <c:v>2022-09-30</c:v>
                </c:pt>
                <c:pt idx="8">
                  <c:v>2022-06-30</c:v>
                </c:pt>
                <c:pt idx="9">
                  <c:v>2022-03-31</c:v>
                </c:pt>
                <c:pt idx="10">
                  <c:v>2021-12-31</c:v>
                </c:pt>
                <c:pt idx="11">
                  <c:v>2021-09-30</c:v>
                </c:pt>
                <c:pt idx="12">
                  <c:v>2021-06-30</c:v>
                </c:pt>
                <c:pt idx="13">
                  <c:v>2021-03-31</c:v>
                </c:pt>
                <c:pt idx="14">
                  <c:v>2020-12-31</c:v>
                </c:pt>
                <c:pt idx="15">
                  <c:v>2020-09-30</c:v>
                </c:pt>
                <c:pt idx="16">
                  <c:v>2020-06-30</c:v>
                </c:pt>
                <c:pt idx="17">
                  <c:v>2020-03-31</c:v>
                </c:pt>
                <c:pt idx="18">
                  <c:v>2019-12-31</c:v>
                </c:pt>
              </c:strCache>
            </c:strRef>
          </c:cat>
          <c:val>
            <c:numRef>
              <c:f>Forecasts!$C$153:$C$171</c:f>
              <c:numCache>
                <c:formatCode>0.0%</c:formatCode>
                <c:ptCount val="19"/>
                <c:pt idx="0">
                  <c:v>0.1021595523322761</c:v>
                </c:pt>
                <c:pt idx="1">
                  <c:v>9.2531566773994031E-2</c:v>
                </c:pt>
                <c:pt idx="2">
                  <c:v>7.0395671345739805E-2</c:v>
                </c:pt>
                <c:pt idx="3">
                  <c:v>6.1768693481052593E-2</c:v>
                </c:pt>
                <c:pt idx="4">
                  <c:v>5.7004839945433823E-2</c:v>
                </c:pt>
                <c:pt idx="5">
                  <c:v>4.2270525425154498E-2</c:v>
                </c:pt>
                <c:pt idx="6">
                  <c:v>5.7973091007282457E-3</c:v>
                </c:pt>
                <c:pt idx="7">
                  <c:v>-1.6946991704078752E-2</c:v>
                </c:pt>
                <c:pt idx="8">
                  <c:v>-3.116277683783238E-2</c:v>
                </c:pt>
                <c:pt idx="9">
                  <c:v>-2.5469001026918139E-2</c:v>
                </c:pt>
                <c:pt idx="10">
                  <c:v>1.992665458293895E-4</c:v>
                </c:pt>
                <c:pt idx="11">
                  <c:v>9.0340631373143892E-3</c:v>
                </c:pt>
                <c:pt idx="12">
                  <c:v>2.815480273493683E-2</c:v>
                </c:pt>
                <c:pt idx="13">
                  <c:v>5.5152336718593743E-2</c:v>
                </c:pt>
                <c:pt idx="14">
                  <c:v>5.7127640191172967E-2</c:v>
                </c:pt>
                <c:pt idx="15">
                  <c:v>4.1528189763787339E-2</c:v>
                </c:pt>
                <c:pt idx="16">
                  <c:v>3.9156246745202093E-2</c:v>
                </c:pt>
                <c:pt idx="17">
                  <c:v>1.2808382732497891E-2</c:v>
                </c:pt>
                <c:pt idx="18">
                  <c:v>2.380394079569113E-2</c:v>
                </c:pt>
              </c:numCache>
            </c:numRef>
          </c:val>
          <c:smooth val="0"/>
          <c:extLst>
            <c:ext xmlns:c16="http://schemas.microsoft.com/office/drawing/2014/chart" uri="{C3380CC4-5D6E-409C-BE32-E72D297353CC}">
              <c16:uniqueId val="{00000000-AA0B-450F-82FA-5EFDBC32D175}"/>
            </c:ext>
          </c:extLst>
        </c:ser>
        <c:dLbls>
          <c:dLblPos val="t"/>
          <c:showLegendKey val="0"/>
          <c:showVal val="1"/>
          <c:showCatName val="0"/>
          <c:showSerName val="0"/>
          <c:showPercent val="0"/>
          <c:showBubbleSize val="0"/>
        </c:dLbls>
        <c:marker val="1"/>
        <c:smooth val="0"/>
        <c:axId val="381443887"/>
        <c:axId val="381444847"/>
      </c:lineChart>
      <c:catAx>
        <c:axId val="38144388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381444847"/>
        <c:crosses val="autoZero"/>
        <c:auto val="1"/>
        <c:lblAlgn val="ctr"/>
        <c:lblOffset val="100"/>
        <c:noMultiLvlLbl val="0"/>
      </c:catAx>
      <c:valAx>
        <c:axId val="381444847"/>
        <c:scaling>
          <c:orientation val="minMax"/>
        </c:scaling>
        <c:delete val="0"/>
        <c:axPos val="r"/>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381443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CALM &amp; VITAL gross</a:t>
            </a:r>
            <a:r>
              <a:rPr lang="en-US" baseline="0"/>
              <a:t> margin ttm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lineChart>
        <c:grouping val="standard"/>
        <c:varyColors val="0"/>
        <c:ser>
          <c:idx val="0"/>
          <c:order val="0"/>
          <c:tx>
            <c:strRef>
              <c:f>Forecasts!$H$207</c:f>
              <c:strCache>
                <c:ptCount val="1"/>
                <c:pt idx="0">
                  <c:v>VITAL gross
margins
ttm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he-I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Forecasts!$G$208:$G$226</c:f>
              <c:strCache>
                <c:ptCount val="19"/>
                <c:pt idx="0">
                  <c:v>2024-06-30</c:v>
                </c:pt>
                <c:pt idx="1">
                  <c:v>2024-03-31</c:v>
                </c:pt>
                <c:pt idx="2">
                  <c:v>2023-12-31</c:v>
                </c:pt>
                <c:pt idx="3">
                  <c:v>2023-09-30</c:v>
                </c:pt>
                <c:pt idx="4">
                  <c:v>2023-06-30</c:v>
                </c:pt>
                <c:pt idx="5">
                  <c:v>2023-03-31</c:v>
                </c:pt>
                <c:pt idx="6">
                  <c:v>2022-12-31</c:v>
                </c:pt>
                <c:pt idx="7">
                  <c:v>2022-09-30</c:v>
                </c:pt>
                <c:pt idx="8">
                  <c:v>2022-06-30</c:v>
                </c:pt>
                <c:pt idx="9">
                  <c:v>2022-03-31</c:v>
                </c:pt>
                <c:pt idx="10">
                  <c:v>2021-12-31</c:v>
                </c:pt>
                <c:pt idx="11">
                  <c:v>2021-09-30</c:v>
                </c:pt>
                <c:pt idx="12">
                  <c:v>2021-06-30</c:v>
                </c:pt>
                <c:pt idx="13">
                  <c:v>2021-03-31</c:v>
                </c:pt>
                <c:pt idx="14">
                  <c:v>2020-12-31</c:v>
                </c:pt>
                <c:pt idx="15">
                  <c:v>2020-09-30</c:v>
                </c:pt>
                <c:pt idx="16">
                  <c:v>2020-06-30</c:v>
                </c:pt>
                <c:pt idx="17">
                  <c:v>2020-03-31</c:v>
                </c:pt>
                <c:pt idx="18">
                  <c:v>2019-12-31</c:v>
                </c:pt>
              </c:strCache>
            </c:strRef>
          </c:cat>
          <c:val>
            <c:numRef>
              <c:f>Forecasts!$H$208:$H$226</c:f>
              <c:numCache>
                <c:formatCode>0.0%</c:formatCode>
                <c:ptCount val="19"/>
                <c:pt idx="0">
                  <c:v>0.3644242265078208</c:v>
                </c:pt>
                <c:pt idx="1">
                  <c:v>0.35510507673674441</c:v>
                </c:pt>
                <c:pt idx="2">
                  <c:v>0.34362927006882071</c:v>
                </c:pt>
                <c:pt idx="3">
                  <c:v>0.33658781047667202</c:v>
                </c:pt>
                <c:pt idx="4">
                  <c:v>0.33466634275783452</c:v>
                </c:pt>
                <c:pt idx="5">
                  <c:v>0.32263499304809917</c:v>
                </c:pt>
                <c:pt idx="6">
                  <c:v>0.30155651136454442</c:v>
                </c:pt>
                <c:pt idx="7">
                  <c:v>0.29118288970036937</c:v>
                </c:pt>
                <c:pt idx="8">
                  <c:v>0.28565326940968849</c:v>
                </c:pt>
                <c:pt idx="9">
                  <c:v>0.29794580591605041</c:v>
                </c:pt>
                <c:pt idx="10">
                  <c:v>0.31767302659058771</c:v>
                </c:pt>
                <c:pt idx="11">
                  <c:v>0.3401552308236841</c:v>
                </c:pt>
                <c:pt idx="12">
                  <c:v>0.35066492598411259</c:v>
                </c:pt>
                <c:pt idx="13">
                  <c:v>0.35557679059534658</c:v>
                </c:pt>
                <c:pt idx="14">
                  <c:v>0.34818521165912159</c:v>
                </c:pt>
                <c:pt idx="15">
                  <c:v>0.33073740810920738</c:v>
                </c:pt>
                <c:pt idx="16">
                  <c:v>0.32300751549969031</c:v>
                </c:pt>
                <c:pt idx="17">
                  <c:v>0.30396416227384188</c:v>
                </c:pt>
                <c:pt idx="18">
                  <c:v>0.30466912522293987</c:v>
                </c:pt>
              </c:numCache>
            </c:numRef>
          </c:val>
          <c:smooth val="0"/>
          <c:extLst>
            <c:ext xmlns:c16="http://schemas.microsoft.com/office/drawing/2014/chart" uri="{C3380CC4-5D6E-409C-BE32-E72D297353CC}">
              <c16:uniqueId val="{00000000-A21F-4885-8F53-E1DC05C60D33}"/>
            </c:ext>
          </c:extLst>
        </c:ser>
        <c:ser>
          <c:idx val="1"/>
          <c:order val="1"/>
          <c:tx>
            <c:strRef>
              <c:f>Forecasts!$I$207</c:f>
              <c:strCache>
                <c:ptCount val="1"/>
                <c:pt idx="0">
                  <c:v>CALM gross
margins
ttm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he-I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Forecasts!$G$208:$G$226</c:f>
              <c:strCache>
                <c:ptCount val="19"/>
                <c:pt idx="0">
                  <c:v>2024-06-30</c:v>
                </c:pt>
                <c:pt idx="1">
                  <c:v>2024-03-31</c:v>
                </c:pt>
                <c:pt idx="2">
                  <c:v>2023-12-31</c:v>
                </c:pt>
                <c:pt idx="3">
                  <c:v>2023-09-30</c:v>
                </c:pt>
                <c:pt idx="4">
                  <c:v>2023-06-30</c:v>
                </c:pt>
                <c:pt idx="5">
                  <c:v>2023-03-31</c:v>
                </c:pt>
                <c:pt idx="6">
                  <c:v>2022-12-31</c:v>
                </c:pt>
                <c:pt idx="7">
                  <c:v>2022-09-30</c:v>
                </c:pt>
                <c:pt idx="8">
                  <c:v>2022-06-30</c:v>
                </c:pt>
                <c:pt idx="9">
                  <c:v>2022-03-31</c:v>
                </c:pt>
                <c:pt idx="10">
                  <c:v>2021-12-31</c:v>
                </c:pt>
                <c:pt idx="11">
                  <c:v>2021-09-30</c:v>
                </c:pt>
                <c:pt idx="12">
                  <c:v>2021-06-30</c:v>
                </c:pt>
                <c:pt idx="13">
                  <c:v>2021-03-31</c:v>
                </c:pt>
                <c:pt idx="14">
                  <c:v>2020-12-31</c:v>
                </c:pt>
                <c:pt idx="15">
                  <c:v>2020-09-30</c:v>
                </c:pt>
                <c:pt idx="16">
                  <c:v>2020-06-30</c:v>
                </c:pt>
                <c:pt idx="17">
                  <c:v>2020-03-31</c:v>
                </c:pt>
                <c:pt idx="18">
                  <c:v>2019-12-31</c:v>
                </c:pt>
              </c:strCache>
            </c:strRef>
          </c:cat>
          <c:val>
            <c:numRef>
              <c:f>Forecasts!$I$208:$I$226</c:f>
              <c:numCache>
                <c:formatCode>0.0%</c:formatCode>
                <c:ptCount val="19"/>
                <c:pt idx="0">
                  <c:v>0.23061531084912371</c:v>
                </c:pt>
                <c:pt idx="1">
                  <c:v>0.23087054228142551</c:v>
                </c:pt>
                <c:pt idx="2">
                  <c:v>0.29664883334684528</c:v>
                </c:pt>
                <c:pt idx="3">
                  <c:v>0.34576895451133299</c:v>
                </c:pt>
                <c:pt idx="4">
                  <c:v>0.37920884651711179</c:v>
                </c:pt>
                <c:pt idx="5">
                  <c:v>0.39009040605422141</c:v>
                </c:pt>
                <c:pt idx="6">
                  <c:v>0.32438915048547518</c:v>
                </c:pt>
                <c:pt idx="7">
                  <c:v>0.2580301222890905</c:v>
                </c:pt>
                <c:pt idx="8">
                  <c:v>0.1876359008787839</c:v>
                </c:pt>
                <c:pt idx="9">
                  <c:v>0.115828964870736</c:v>
                </c:pt>
                <c:pt idx="10">
                  <c:v>9.4725317638526665E-2</c:v>
                </c:pt>
                <c:pt idx="11">
                  <c:v>0.10843246794031471</c:v>
                </c:pt>
                <c:pt idx="12">
                  <c:v>0.11909878641730311</c:v>
                </c:pt>
                <c:pt idx="13">
                  <c:v>0.16815086576942331</c:v>
                </c:pt>
                <c:pt idx="14">
                  <c:v>0.17133334862139871</c:v>
                </c:pt>
                <c:pt idx="15">
                  <c:v>0.15498441091058099</c:v>
                </c:pt>
                <c:pt idx="16">
                  <c:v>0.13286978704640171</c:v>
                </c:pt>
                <c:pt idx="17">
                  <c:v>6.008662694427102E-2</c:v>
                </c:pt>
                <c:pt idx="18">
                  <c:v>8.4983154693395707E-2</c:v>
                </c:pt>
              </c:numCache>
            </c:numRef>
          </c:val>
          <c:smooth val="0"/>
          <c:extLst>
            <c:ext xmlns:c16="http://schemas.microsoft.com/office/drawing/2014/chart" uri="{C3380CC4-5D6E-409C-BE32-E72D297353CC}">
              <c16:uniqueId val="{00000001-A21F-4885-8F53-E1DC05C60D33}"/>
            </c:ext>
          </c:extLst>
        </c:ser>
        <c:dLbls>
          <c:dLblPos val="t"/>
          <c:showLegendKey val="0"/>
          <c:showVal val="1"/>
          <c:showCatName val="0"/>
          <c:showSerName val="0"/>
          <c:showPercent val="0"/>
          <c:showBubbleSize val="0"/>
        </c:dLbls>
        <c:marker val="1"/>
        <c:smooth val="0"/>
        <c:axId val="166607663"/>
        <c:axId val="166606223"/>
      </c:lineChart>
      <c:catAx>
        <c:axId val="16660766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6606223"/>
        <c:crosses val="autoZero"/>
        <c:auto val="1"/>
        <c:lblAlgn val="ctr"/>
        <c:lblOffset val="100"/>
        <c:noMultiLvlLbl val="0"/>
      </c:catAx>
      <c:valAx>
        <c:axId val="166606223"/>
        <c:scaling>
          <c:orientation val="minMax"/>
        </c:scaling>
        <c:delete val="0"/>
        <c:axPos val="r"/>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6607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diffrence in gross margins
VITAL - CALM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lineChart>
        <c:grouping val="standard"/>
        <c:varyColors val="0"/>
        <c:ser>
          <c:idx val="0"/>
          <c:order val="0"/>
          <c:tx>
            <c:strRef>
              <c:f>Forecasts!$J$207</c:f>
              <c:strCache>
                <c:ptCount val="1"/>
                <c:pt idx="0">
                  <c:v>diffrence
VITAL - CALM</c:v>
                </c:pt>
              </c:strCache>
            </c:strRef>
          </c:tx>
          <c:spPr>
            <a:ln w="28575" cap="rnd">
              <a:solidFill>
                <a:schemeClr val="tx1"/>
              </a:solidFill>
              <a:round/>
            </a:ln>
            <a:effectLst/>
          </c:spPr>
          <c:marker>
            <c:symbol val="circle"/>
            <c:size val="5"/>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he-I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Forecasts!$G$208:$G$226</c:f>
              <c:strCache>
                <c:ptCount val="19"/>
                <c:pt idx="0">
                  <c:v>2024-06-30</c:v>
                </c:pt>
                <c:pt idx="1">
                  <c:v>2024-03-31</c:v>
                </c:pt>
                <c:pt idx="2">
                  <c:v>2023-12-31</c:v>
                </c:pt>
                <c:pt idx="3">
                  <c:v>2023-09-30</c:v>
                </c:pt>
                <c:pt idx="4">
                  <c:v>2023-06-30</c:v>
                </c:pt>
                <c:pt idx="5">
                  <c:v>2023-03-31</c:v>
                </c:pt>
                <c:pt idx="6">
                  <c:v>2022-12-31</c:v>
                </c:pt>
                <c:pt idx="7">
                  <c:v>2022-09-30</c:v>
                </c:pt>
                <c:pt idx="8">
                  <c:v>2022-06-30</c:v>
                </c:pt>
                <c:pt idx="9">
                  <c:v>2022-03-31</c:v>
                </c:pt>
                <c:pt idx="10">
                  <c:v>2021-12-31</c:v>
                </c:pt>
                <c:pt idx="11">
                  <c:v>2021-09-30</c:v>
                </c:pt>
                <c:pt idx="12">
                  <c:v>2021-06-30</c:v>
                </c:pt>
                <c:pt idx="13">
                  <c:v>2021-03-31</c:v>
                </c:pt>
                <c:pt idx="14">
                  <c:v>2020-12-31</c:v>
                </c:pt>
                <c:pt idx="15">
                  <c:v>2020-09-30</c:v>
                </c:pt>
                <c:pt idx="16">
                  <c:v>2020-06-30</c:v>
                </c:pt>
                <c:pt idx="17">
                  <c:v>2020-03-31</c:v>
                </c:pt>
                <c:pt idx="18">
                  <c:v>2019-12-31</c:v>
                </c:pt>
              </c:strCache>
            </c:strRef>
          </c:cat>
          <c:val>
            <c:numRef>
              <c:f>Forecasts!$J$208:$J$226</c:f>
              <c:numCache>
                <c:formatCode>0.0%</c:formatCode>
                <c:ptCount val="19"/>
                <c:pt idx="0">
                  <c:v>0.1338089156586971</c:v>
                </c:pt>
                <c:pt idx="1">
                  <c:v>0.1242345344553189</c:v>
                </c:pt>
                <c:pt idx="2">
                  <c:v>4.6980436721975438E-2</c:v>
                </c:pt>
                <c:pt idx="3">
                  <c:v>-9.1811440346609707E-3</c:v>
                </c:pt>
                <c:pt idx="4">
                  <c:v>-4.4542503759277263E-2</c:v>
                </c:pt>
                <c:pt idx="5">
                  <c:v>-6.7455413006122233E-2</c:v>
                </c:pt>
                <c:pt idx="6">
                  <c:v>-2.2832639120930753E-2</c:v>
                </c:pt>
                <c:pt idx="7">
                  <c:v>3.3152767411278872E-2</c:v>
                </c:pt>
                <c:pt idx="8">
                  <c:v>9.8017368530904592E-2</c:v>
                </c:pt>
                <c:pt idx="9">
                  <c:v>0.18211684104531439</c:v>
                </c:pt>
                <c:pt idx="10">
                  <c:v>0.22294770895206106</c:v>
                </c:pt>
                <c:pt idx="11">
                  <c:v>0.2317227628833694</c:v>
                </c:pt>
                <c:pt idx="12">
                  <c:v>0.23156613956680949</c:v>
                </c:pt>
                <c:pt idx="13">
                  <c:v>0.18742592482592327</c:v>
                </c:pt>
                <c:pt idx="14">
                  <c:v>0.17685186303772288</c:v>
                </c:pt>
                <c:pt idx="15">
                  <c:v>0.17575299719862639</c:v>
                </c:pt>
                <c:pt idx="16">
                  <c:v>0.19013772845328861</c:v>
                </c:pt>
                <c:pt idx="17">
                  <c:v>0.24387753532957085</c:v>
                </c:pt>
                <c:pt idx="18">
                  <c:v>0.21968597052954417</c:v>
                </c:pt>
              </c:numCache>
            </c:numRef>
          </c:val>
          <c:smooth val="0"/>
          <c:extLst>
            <c:ext xmlns:c16="http://schemas.microsoft.com/office/drawing/2014/chart" uri="{C3380CC4-5D6E-409C-BE32-E72D297353CC}">
              <c16:uniqueId val="{00000000-1DBF-4BDA-B726-3709054D6F58}"/>
            </c:ext>
          </c:extLst>
        </c:ser>
        <c:dLbls>
          <c:dLblPos val="t"/>
          <c:showLegendKey val="0"/>
          <c:showVal val="1"/>
          <c:showCatName val="0"/>
          <c:showSerName val="0"/>
          <c:showPercent val="0"/>
          <c:showBubbleSize val="0"/>
        </c:dLbls>
        <c:marker val="1"/>
        <c:smooth val="0"/>
        <c:axId val="167971087"/>
        <c:axId val="167964847"/>
      </c:lineChart>
      <c:catAx>
        <c:axId val="16797108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7964847"/>
        <c:crosses val="autoZero"/>
        <c:auto val="1"/>
        <c:lblAlgn val="ctr"/>
        <c:lblOffset val="100"/>
        <c:noMultiLvlLbl val="0"/>
      </c:catAx>
      <c:valAx>
        <c:axId val="167964847"/>
        <c:scaling>
          <c:orientation val="minMax"/>
        </c:scaling>
        <c:delete val="0"/>
        <c:axPos val="r"/>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797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CALM &amp; VITAL operating margin ttm</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he-IL"/>
        </a:p>
      </c:txPr>
    </c:title>
    <c:autoTitleDeleted val="0"/>
    <c:plotArea>
      <c:layout/>
      <c:lineChart>
        <c:grouping val="standard"/>
        <c:varyColors val="0"/>
        <c:ser>
          <c:idx val="0"/>
          <c:order val="0"/>
          <c:tx>
            <c:strRef>
              <c:f>Forecasts!$C$207</c:f>
              <c:strCache>
                <c:ptCount val="1"/>
                <c:pt idx="0">
                  <c:v>VITAL operating
margins
ttm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he-I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Forecasts!$B$208:$B$226</c:f>
              <c:strCache>
                <c:ptCount val="19"/>
                <c:pt idx="0">
                  <c:v>2024-06-30</c:v>
                </c:pt>
                <c:pt idx="1">
                  <c:v>2024-03-31</c:v>
                </c:pt>
                <c:pt idx="2">
                  <c:v>2023-12-31</c:v>
                </c:pt>
                <c:pt idx="3">
                  <c:v>2023-09-30</c:v>
                </c:pt>
                <c:pt idx="4">
                  <c:v>2023-06-30</c:v>
                </c:pt>
                <c:pt idx="5">
                  <c:v>2023-03-31</c:v>
                </c:pt>
                <c:pt idx="6">
                  <c:v>2022-12-31</c:v>
                </c:pt>
                <c:pt idx="7">
                  <c:v>2022-09-30</c:v>
                </c:pt>
                <c:pt idx="8">
                  <c:v>2022-06-30</c:v>
                </c:pt>
                <c:pt idx="9">
                  <c:v>2022-03-31</c:v>
                </c:pt>
                <c:pt idx="10">
                  <c:v>2021-12-31</c:v>
                </c:pt>
                <c:pt idx="11">
                  <c:v>2021-09-30</c:v>
                </c:pt>
                <c:pt idx="12">
                  <c:v>2021-06-30</c:v>
                </c:pt>
                <c:pt idx="13">
                  <c:v>2021-03-31</c:v>
                </c:pt>
                <c:pt idx="14">
                  <c:v>2020-12-31</c:v>
                </c:pt>
                <c:pt idx="15">
                  <c:v>2020-09-30</c:v>
                </c:pt>
                <c:pt idx="16">
                  <c:v>2020-06-30</c:v>
                </c:pt>
                <c:pt idx="17">
                  <c:v>2020-03-31</c:v>
                </c:pt>
                <c:pt idx="18">
                  <c:v>2019-12-31</c:v>
                </c:pt>
              </c:strCache>
            </c:strRef>
          </c:cat>
          <c:val>
            <c:numRef>
              <c:f>Forecasts!$C$208:$C$226</c:f>
              <c:numCache>
                <c:formatCode>0.0%</c:formatCode>
                <c:ptCount val="19"/>
                <c:pt idx="0">
                  <c:v>0.1021595523322761</c:v>
                </c:pt>
                <c:pt idx="1">
                  <c:v>9.2531566773994031E-2</c:v>
                </c:pt>
                <c:pt idx="2">
                  <c:v>7.0395671345739805E-2</c:v>
                </c:pt>
                <c:pt idx="3">
                  <c:v>6.1768693481052593E-2</c:v>
                </c:pt>
                <c:pt idx="4">
                  <c:v>5.7004839945433823E-2</c:v>
                </c:pt>
                <c:pt idx="5">
                  <c:v>4.2270525425154498E-2</c:v>
                </c:pt>
                <c:pt idx="6">
                  <c:v>5.7973091007282457E-3</c:v>
                </c:pt>
                <c:pt idx="7">
                  <c:v>-1.6946991704078752E-2</c:v>
                </c:pt>
                <c:pt idx="8">
                  <c:v>-3.116277683783238E-2</c:v>
                </c:pt>
                <c:pt idx="9">
                  <c:v>-2.5469001026918139E-2</c:v>
                </c:pt>
                <c:pt idx="10">
                  <c:v>1.992665458293895E-4</c:v>
                </c:pt>
                <c:pt idx="11">
                  <c:v>9.0340631373143892E-3</c:v>
                </c:pt>
                <c:pt idx="12">
                  <c:v>2.815480273493683E-2</c:v>
                </c:pt>
                <c:pt idx="13">
                  <c:v>5.5152336718593743E-2</c:v>
                </c:pt>
                <c:pt idx="14">
                  <c:v>5.7127640191172967E-2</c:v>
                </c:pt>
                <c:pt idx="15">
                  <c:v>4.1528189763787339E-2</c:v>
                </c:pt>
                <c:pt idx="16">
                  <c:v>3.9156246745202093E-2</c:v>
                </c:pt>
                <c:pt idx="17">
                  <c:v>1.2808382732497891E-2</c:v>
                </c:pt>
                <c:pt idx="18">
                  <c:v>2.380394079569113E-2</c:v>
                </c:pt>
              </c:numCache>
            </c:numRef>
          </c:val>
          <c:smooth val="0"/>
          <c:extLst>
            <c:ext xmlns:c16="http://schemas.microsoft.com/office/drawing/2014/chart" uri="{C3380CC4-5D6E-409C-BE32-E72D297353CC}">
              <c16:uniqueId val="{00000000-81DA-4498-B324-B37ABAE6AFF7}"/>
            </c:ext>
          </c:extLst>
        </c:ser>
        <c:ser>
          <c:idx val="1"/>
          <c:order val="1"/>
          <c:tx>
            <c:strRef>
              <c:f>Forecasts!$D$207</c:f>
              <c:strCache>
                <c:ptCount val="1"/>
                <c:pt idx="0">
                  <c:v>CALM operating
margins
ttm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he-I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Forecasts!$B$208:$B$226</c:f>
              <c:strCache>
                <c:ptCount val="19"/>
                <c:pt idx="0">
                  <c:v>2024-06-30</c:v>
                </c:pt>
                <c:pt idx="1">
                  <c:v>2024-03-31</c:v>
                </c:pt>
                <c:pt idx="2">
                  <c:v>2023-12-31</c:v>
                </c:pt>
                <c:pt idx="3">
                  <c:v>2023-09-30</c:v>
                </c:pt>
                <c:pt idx="4">
                  <c:v>2023-06-30</c:v>
                </c:pt>
                <c:pt idx="5">
                  <c:v>2023-03-31</c:v>
                </c:pt>
                <c:pt idx="6">
                  <c:v>2022-12-31</c:v>
                </c:pt>
                <c:pt idx="7">
                  <c:v>2022-09-30</c:v>
                </c:pt>
                <c:pt idx="8">
                  <c:v>2022-06-30</c:v>
                </c:pt>
                <c:pt idx="9">
                  <c:v>2022-03-31</c:v>
                </c:pt>
                <c:pt idx="10">
                  <c:v>2021-12-31</c:v>
                </c:pt>
                <c:pt idx="11">
                  <c:v>2021-09-30</c:v>
                </c:pt>
                <c:pt idx="12">
                  <c:v>2021-06-30</c:v>
                </c:pt>
                <c:pt idx="13">
                  <c:v>2021-03-31</c:v>
                </c:pt>
                <c:pt idx="14">
                  <c:v>2020-12-31</c:v>
                </c:pt>
                <c:pt idx="15">
                  <c:v>2020-09-30</c:v>
                </c:pt>
                <c:pt idx="16">
                  <c:v>2020-06-30</c:v>
                </c:pt>
                <c:pt idx="17">
                  <c:v>2020-03-31</c:v>
                </c:pt>
                <c:pt idx="18">
                  <c:v>2019-12-31</c:v>
                </c:pt>
              </c:strCache>
            </c:strRef>
          </c:cat>
          <c:val>
            <c:numRef>
              <c:f>Forecasts!$D$208:$D$226</c:f>
              <c:numCache>
                <c:formatCode>0.0%</c:formatCode>
                <c:ptCount val="19"/>
                <c:pt idx="0">
                  <c:v>0.13305035739622401</c:v>
                </c:pt>
                <c:pt idx="1">
                  <c:v>0.1279027987305244</c:v>
                </c:pt>
                <c:pt idx="2">
                  <c:v>0.2050912355418833</c:v>
                </c:pt>
                <c:pt idx="3">
                  <c:v>0.26905408361101057</c:v>
                </c:pt>
                <c:pt idx="4">
                  <c:v>0.30671412362050487</c:v>
                </c:pt>
                <c:pt idx="5">
                  <c:v>0.31940705081585752</c:v>
                </c:pt>
                <c:pt idx="6">
                  <c:v>0.24032522340067841</c:v>
                </c:pt>
                <c:pt idx="7">
                  <c:v>0.16344174538042799</c:v>
                </c:pt>
                <c:pt idx="8">
                  <c:v>7.9904984897118933E-2</c:v>
                </c:pt>
                <c:pt idx="9">
                  <c:v>-9.7786602694604225E-3</c:v>
                </c:pt>
                <c:pt idx="10">
                  <c:v>-3.8528751342380159E-2</c:v>
                </c:pt>
                <c:pt idx="11">
                  <c:v>-2.787989754730082E-2</c:v>
                </c:pt>
                <c:pt idx="12">
                  <c:v>-1.9468769389635581E-2</c:v>
                </c:pt>
                <c:pt idx="13">
                  <c:v>4.3272980875345861E-2</c:v>
                </c:pt>
                <c:pt idx="14">
                  <c:v>4.7643170994926452E-2</c:v>
                </c:pt>
                <c:pt idx="15">
                  <c:v>2.6735555595146891E-2</c:v>
                </c:pt>
                <c:pt idx="16">
                  <c:v>9.3888099294988422E-4</c:v>
                </c:pt>
                <c:pt idx="17">
                  <c:v>-8.9276140774722443E-2</c:v>
                </c:pt>
                <c:pt idx="18">
                  <c:v>-5.9367280261375409E-2</c:v>
                </c:pt>
              </c:numCache>
            </c:numRef>
          </c:val>
          <c:smooth val="0"/>
          <c:extLst>
            <c:ext xmlns:c16="http://schemas.microsoft.com/office/drawing/2014/chart" uri="{C3380CC4-5D6E-409C-BE32-E72D297353CC}">
              <c16:uniqueId val="{00000001-81DA-4498-B324-B37ABAE6AFF7}"/>
            </c:ext>
          </c:extLst>
        </c:ser>
        <c:dLbls>
          <c:dLblPos val="t"/>
          <c:showLegendKey val="0"/>
          <c:showVal val="1"/>
          <c:showCatName val="0"/>
          <c:showSerName val="0"/>
          <c:showPercent val="0"/>
          <c:showBubbleSize val="0"/>
        </c:dLbls>
        <c:marker val="1"/>
        <c:smooth val="0"/>
        <c:axId val="331981103"/>
        <c:axId val="331978703"/>
      </c:lineChart>
      <c:catAx>
        <c:axId val="33198110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331978703"/>
        <c:crosses val="autoZero"/>
        <c:auto val="1"/>
        <c:lblAlgn val="ctr"/>
        <c:lblOffset val="100"/>
        <c:noMultiLvlLbl val="0"/>
      </c:catAx>
      <c:valAx>
        <c:axId val="331978703"/>
        <c:scaling>
          <c:orientation val="minMax"/>
        </c:scaling>
        <c:delete val="0"/>
        <c:axPos val="r"/>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33198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diffrence in operating margins
VITAL - CALM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lineChart>
        <c:grouping val="standard"/>
        <c:varyColors val="0"/>
        <c:ser>
          <c:idx val="0"/>
          <c:order val="0"/>
          <c:tx>
            <c:strRef>
              <c:f>Forecasts!$E$207</c:f>
              <c:strCache>
                <c:ptCount val="1"/>
                <c:pt idx="0">
                  <c:v>diffrence
VITAL - CALM</c:v>
                </c:pt>
              </c:strCache>
            </c:strRef>
          </c:tx>
          <c:spPr>
            <a:ln w="28575" cap="rnd">
              <a:solidFill>
                <a:schemeClr val="tx1"/>
              </a:solidFill>
              <a:round/>
            </a:ln>
            <a:effectLst/>
          </c:spPr>
          <c:marker>
            <c:symbol val="circle"/>
            <c:size val="5"/>
            <c:spPr>
              <a:solidFill>
                <a:schemeClr val="accent1"/>
              </a:solidFill>
              <a:ln w="9525">
                <a:solidFill>
                  <a:schemeClr val="tx1"/>
                </a:solidFill>
              </a:ln>
              <a:effectLst/>
            </c:spPr>
          </c:marker>
          <c:dLbls>
            <c:dLbl>
              <c:idx val="0"/>
              <c:layout>
                <c:manualLayout>
                  <c:x val="-2.6385964912280815E-2"/>
                  <c:y val="6.59895377661125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7C-4152-BFEC-78C2F1D8404A}"/>
                </c:ext>
              </c:extLst>
            </c:dLbl>
            <c:dLbl>
              <c:idx val="1"/>
              <c:layout>
                <c:manualLayout>
                  <c:x val="-2.4826510721247679E-2"/>
                  <c:y val="0.1076562044327791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77C-4152-BFEC-78C2F1D8404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he-I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Forecasts!$B$208:$B$226</c:f>
              <c:strCache>
                <c:ptCount val="19"/>
                <c:pt idx="0">
                  <c:v>2024-06-30</c:v>
                </c:pt>
                <c:pt idx="1">
                  <c:v>2024-03-31</c:v>
                </c:pt>
                <c:pt idx="2">
                  <c:v>2023-12-31</c:v>
                </c:pt>
                <c:pt idx="3">
                  <c:v>2023-09-30</c:v>
                </c:pt>
                <c:pt idx="4">
                  <c:v>2023-06-30</c:v>
                </c:pt>
                <c:pt idx="5">
                  <c:v>2023-03-31</c:v>
                </c:pt>
                <c:pt idx="6">
                  <c:v>2022-12-31</c:v>
                </c:pt>
                <c:pt idx="7">
                  <c:v>2022-09-30</c:v>
                </c:pt>
                <c:pt idx="8">
                  <c:v>2022-06-30</c:v>
                </c:pt>
                <c:pt idx="9">
                  <c:v>2022-03-31</c:v>
                </c:pt>
                <c:pt idx="10">
                  <c:v>2021-12-31</c:v>
                </c:pt>
                <c:pt idx="11">
                  <c:v>2021-09-30</c:v>
                </c:pt>
                <c:pt idx="12">
                  <c:v>2021-06-30</c:v>
                </c:pt>
                <c:pt idx="13">
                  <c:v>2021-03-31</c:v>
                </c:pt>
                <c:pt idx="14">
                  <c:v>2020-12-31</c:v>
                </c:pt>
                <c:pt idx="15">
                  <c:v>2020-09-30</c:v>
                </c:pt>
                <c:pt idx="16">
                  <c:v>2020-06-30</c:v>
                </c:pt>
                <c:pt idx="17">
                  <c:v>2020-03-31</c:v>
                </c:pt>
                <c:pt idx="18">
                  <c:v>2019-12-31</c:v>
                </c:pt>
              </c:strCache>
            </c:strRef>
          </c:cat>
          <c:val>
            <c:numRef>
              <c:f>Forecasts!$E$208:$E$226</c:f>
              <c:numCache>
                <c:formatCode>0.0%</c:formatCode>
                <c:ptCount val="19"/>
                <c:pt idx="0">
                  <c:v>-3.089080506394791E-2</c:v>
                </c:pt>
                <c:pt idx="1">
                  <c:v>-3.5371231956530372E-2</c:v>
                </c:pt>
                <c:pt idx="2">
                  <c:v>-0.13469556419614348</c:v>
                </c:pt>
                <c:pt idx="3">
                  <c:v>-0.20728539012995797</c:v>
                </c:pt>
                <c:pt idx="4">
                  <c:v>-0.24970928367507106</c:v>
                </c:pt>
                <c:pt idx="5">
                  <c:v>-0.27713652539070299</c:v>
                </c:pt>
                <c:pt idx="6">
                  <c:v>-0.23452791429995018</c:v>
                </c:pt>
                <c:pt idx="7">
                  <c:v>-0.18038873708450676</c:v>
                </c:pt>
                <c:pt idx="8">
                  <c:v>-0.11106776173495131</c:v>
                </c:pt>
                <c:pt idx="9">
                  <c:v>-1.5690340757457719E-2</c:v>
                </c:pt>
                <c:pt idx="10">
                  <c:v>3.8728017888209551E-2</c:v>
                </c:pt>
                <c:pt idx="11">
                  <c:v>3.6913960684615207E-2</c:v>
                </c:pt>
                <c:pt idx="12">
                  <c:v>4.7623572124572411E-2</c:v>
                </c:pt>
                <c:pt idx="13">
                  <c:v>1.1879355843247882E-2</c:v>
                </c:pt>
                <c:pt idx="14">
                  <c:v>9.4844691962465144E-3</c:v>
                </c:pt>
                <c:pt idx="15">
                  <c:v>1.4792634168640448E-2</c:v>
                </c:pt>
                <c:pt idx="16">
                  <c:v>3.8217365752252208E-2</c:v>
                </c:pt>
                <c:pt idx="17">
                  <c:v>0.10208452350722033</c:v>
                </c:pt>
                <c:pt idx="18">
                  <c:v>8.3171221057066536E-2</c:v>
                </c:pt>
              </c:numCache>
            </c:numRef>
          </c:val>
          <c:smooth val="0"/>
          <c:extLst>
            <c:ext xmlns:c16="http://schemas.microsoft.com/office/drawing/2014/chart" uri="{C3380CC4-5D6E-409C-BE32-E72D297353CC}">
              <c16:uniqueId val="{00000000-D77C-4152-BFEC-78C2F1D8404A}"/>
            </c:ext>
          </c:extLst>
        </c:ser>
        <c:dLbls>
          <c:dLblPos val="t"/>
          <c:showLegendKey val="0"/>
          <c:showVal val="1"/>
          <c:showCatName val="0"/>
          <c:showSerName val="0"/>
          <c:showPercent val="0"/>
          <c:showBubbleSize val="0"/>
        </c:dLbls>
        <c:marker val="1"/>
        <c:smooth val="0"/>
        <c:axId val="167971087"/>
        <c:axId val="167964847"/>
      </c:lineChart>
      <c:catAx>
        <c:axId val="16797108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7964847"/>
        <c:crosses val="autoZero"/>
        <c:auto val="1"/>
        <c:lblAlgn val="ctr"/>
        <c:lblOffset val="100"/>
        <c:noMultiLvlLbl val="0"/>
      </c:catAx>
      <c:valAx>
        <c:axId val="167964847"/>
        <c:scaling>
          <c:orientation val="minMax"/>
        </c:scaling>
        <c:delete val="0"/>
        <c:axPos val="r"/>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797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1"/>
          <c:order val="1"/>
          <c:tx>
            <c:strRef>
              <c:f>Forecasts!$O$292</c:f>
              <c:strCache>
                <c:ptCount val="1"/>
                <c:pt idx="0">
                  <c:v>SG&amp;A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Forecasts!$M$293:$M$295</c:f>
              <c:numCache>
                <c:formatCode>General</c:formatCode>
                <c:ptCount val="3"/>
                <c:pt idx="0">
                  <c:v>2023</c:v>
                </c:pt>
                <c:pt idx="1">
                  <c:v>2022</c:v>
                </c:pt>
                <c:pt idx="2">
                  <c:v>2021</c:v>
                </c:pt>
              </c:numCache>
            </c:numRef>
          </c:cat>
          <c:val>
            <c:numRef>
              <c:f>Forecasts!$O$293:$O$295</c:f>
              <c:numCache>
                <c:formatCode>_-[$$-409]* #,##0_ ;_-[$$-409]* \-#,##0\ ;_-[$$-409]* "-"??_ ;_-@_ </c:formatCode>
                <c:ptCount val="3"/>
                <c:pt idx="0">
                  <c:v>101728</c:v>
                </c:pt>
                <c:pt idx="1">
                  <c:v>77236</c:v>
                </c:pt>
                <c:pt idx="2">
                  <c:v>57868</c:v>
                </c:pt>
              </c:numCache>
            </c:numRef>
          </c:val>
          <c:extLst>
            <c:ext xmlns:c16="http://schemas.microsoft.com/office/drawing/2014/chart" uri="{C3380CC4-5D6E-409C-BE32-E72D297353CC}">
              <c16:uniqueId val="{00000001-7240-4D12-A2C3-3F44CB7A6663}"/>
            </c:ext>
          </c:extLst>
        </c:ser>
        <c:dLbls>
          <c:dLblPos val="outEnd"/>
          <c:showLegendKey val="0"/>
          <c:showVal val="1"/>
          <c:showCatName val="0"/>
          <c:showSerName val="0"/>
          <c:showPercent val="0"/>
          <c:showBubbleSize val="0"/>
        </c:dLbls>
        <c:gapWidth val="219"/>
        <c:overlap val="-27"/>
        <c:axId val="1160093439"/>
        <c:axId val="1160094399"/>
        <c:extLst>
          <c:ext xmlns:c15="http://schemas.microsoft.com/office/drawing/2012/chart" uri="{02D57815-91ED-43cb-92C2-25804820EDAC}">
            <c15:filteredBarSeries>
              <c15:ser>
                <c:idx val="0"/>
                <c:order val="0"/>
                <c:tx>
                  <c:strRef>
                    <c:extLst>
                      <c:ext uri="{02D57815-91ED-43cb-92C2-25804820EDAC}">
                        <c15:formulaRef>
                          <c15:sqref>Forecasts!$N$292</c15:sqref>
                        </c15:formulaRef>
                      </c:ext>
                    </c:extLst>
                    <c:strCache>
                      <c:ptCount val="1"/>
                      <c:pt idx="0">
                        <c:v>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Forecasts!$M$293:$M$295</c15:sqref>
                        </c15:formulaRef>
                      </c:ext>
                    </c:extLst>
                    <c:numCache>
                      <c:formatCode>General</c:formatCode>
                      <c:ptCount val="3"/>
                      <c:pt idx="0">
                        <c:v>2023</c:v>
                      </c:pt>
                      <c:pt idx="1">
                        <c:v>2022</c:v>
                      </c:pt>
                      <c:pt idx="2">
                        <c:v>2021</c:v>
                      </c:pt>
                    </c:numCache>
                  </c:numRef>
                </c:cat>
                <c:val>
                  <c:numRef>
                    <c:extLst>
                      <c:ext uri="{02D57815-91ED-43cb-92C2-25804820EDAC}">
                        <c15:formulaRef>
                          <c15:sqref>Forecasts!$N$293:$N$295</c15:sqref>
                        </c15:formulaRef>
                      </c:ext>
                    </c:extLst>
                    <c:numCache>
                      <c:formatCode>_-[$$-409]* #,##0_ ;_-[$$-409]* \-#,##0\ ;_-[$$-409]* "-"??_ ;_-@_ </c:formatCode>
                      <c:ptCount val="3"/>
                      <c:pt idx="0">
                        <c:v>471857</c:v>
                      </c:pt>
                      <c:pt idx="1">
                        <c:v>362050</c:v>
                      </c:pt>
                      <c:pt idx="2">
                        <c:v>260901</c:v>
                      </c:pt>
                    </c:numCache>
                  </c:numRef>
                </c:val>
                <c:extLst>
                  <c:ext xmlns:c16="http://schemas.microsoft.com/office/drawing/2014/chart" uri="{C3380CC4-5D6E-409C-BE32-E72D297353CC}">
                    <c16:uniqueId val="{00000000-7240-4D12-A2C3-3F44CB7A666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Forecasts!$P$292</c15:sqref>
                        </c15:formulaRef>
                      </c:ext>
                    </c:extLst>
                    <c:strCache>
                      <c:ptCount val="1"/>
                      <c:pt idx="0">
                        <c:v>shipping &amp;
distribution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Forecasts!$M$293:$M$295</c15:sqref>
                        </c15:formulaRef>
                      </c:ext>
                    </c:extLst>
                    <c:numCache>
                      <c:formatCode>General</c:formatCode>
                      <c:ptCount val="3"/>
                      <c:pt idx="0">
                        <c:v>2023</c:v>
                      </c:pt>
                      <c:pt idx="1">
                        <c:v>2022</c:v>
                      </c:pt>
                      <c:pt idx="2">
                        <c:v>2021</c:v>
                      </c:pt>
                    </c:numCache>
                  </c:numRef>
                </c:cat>
                <c:val>
                  <c:numRef>
                    <c:extLst xmlns:c15="http://schemas.microsoft.com/office/drawing/2012/chart">
                      <c:ext xmlns:c15="http://schemas.microsoft.com/office/drawing/2012/chart" uri="{02D57815-91ED-43cb-92C2-25804820EDAC}">
                        <c15:formulaRef>
                          <c15:sqref>Forecasts!$P$293:$P$295</c15:sqref>
                        </c15:formulaRef>
                      </c:ext>
                    </c:extLst>
                    <c:numCache>
                      <c:formatCode>_-[$$-409]* #,##0_ ;_-[$$-409]* \-#,##0\ ;_-[$$-409]* "-"??_ ;_-@_ </c:formatCode>
                      <c:ptCount val="3"/>
                      <c:pt idx="0">
                        <c:v>27344</c:v>
                      </c:pt>
                      <c:pt idx="1">
                        <c:v>30104</c:v>
                      </c:pt>
                      <c:pt idx="2">
                        <c:v>24979</c:v>
                      </c:pt>
                    </c:numCache>
                  </c:numRef>
                </c:val>
                <c:extLst xmlns:c15="http://schemas.microsoft.com/office/drawing/2012/chart">
                  <c:ext xmlns:c16="http://schemas.microsoft.com/office/drawing/2014/chart" uri="{C3380CC4-5D6E-409C-BE32-E72D297353CC}">
                    <c16:uniqueId val="{00000002-7240-4D12-A2C3-3F44CB7A6663}"/>
                  </c:ext>
                </c:extLst>
              </c15:ser>
            </c15:filteredBarSeries>
          </c:ext>
        </c:extLst>
      </c:barChart>
      <c:catAx>
        <c:axId val="116009343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160094399"/>
        <c:crosses val="autoZero"/>
        <c:auto val="1"/>
        <c:lblAlgn val="ctr"/>
        <c:lblOffset val="100"/>
        <c:noMultiLvlLbl val="0"/>
      </c:catAx>
      <c:valAx>
        <c:axId val="1160094399"/>
        <c:scaling>
          <c:orientation val="minMax"/>
        </c:scaling>
        <c:delete val="0"/>
        <c:axPos val="r"/>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1600934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2"/>
          <c:order val="2"/>
          <c:tx>
            <c:strRef>
              <c:f>Forecasts!$P$292</c:f>
              <c:strCache>
                <c:ptCount val="1"/>
                <c:pt idx="0">
                  <c:v>shipping &amp;
distribution</c:v>
                </c:pt>
              </c:strCache>
              <c:extLst xmlns:c15="http://schemas.microsoft.com/office/drawing/2012/chart"/>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Forecasts!$M$293:$M$295</c:f>
              <c:numCache>
                <c:formatCode>General</c:formatCode>
                <c:ptCount val="3"/>
                <c:pt idx="0">
                  <c:v>2023</c:v>
                </c:pt>
                <c:pt idx="1">
                  <c:v>2022</c:v>
                </c:pt>
                <c:pt idx="2">
                  <c:v>2021</c:v>
                </c:pt>
              </c:numCache>
              <c:extLst xmlns:c15="http://schemas.microsoft.com/office/drawing/2012/chart"/>
            </c:numRef>
          </c:cat>
          <c:val>
            <c:numRef>
              <c:f>Forecasts!$P$293:$P$295</c:f>
              <c:numCache>
                <c:formatCode>_-[$$-409]* #,##0_ ;_-[$$-409]* \-#,##0\ ;_-[$$-409]* "-"??_ ;_-@_ </c:formatCode>
                <c:ptCount val="3"/>
                <c:pt idx="0">
                  <c:v>27344</c:v>
                </c:pt>
                <c:pt idx="1">
                  <c:v>30104</c:v>
                </c:pt>
                <c:pt idx="2">
                  <c:v>24979</c:v>
                </c:pt>
              </c:numCache>
              <c:extLst xmlns:c15="http://schemas.microsoft.com/office/drawing/2012/chart"/>
            </c:numRef>
          </c:val>
          <c:extLst>
            <c:ext xmlns:c16="http://schemas.microsoft.com/office/drawing/2014/chart" uri="{C3380CC4-5D6E-409C-BE32-E72D297353CC}">
              <c16:uniqueId val="{00000002-B969-4246-8349-BAC2F96D5C71}"/>
            </c:ext>
          </c:extLst>
        </c:ser>
        <c:dLbls>
          <c:dLblPos val="outEnd"/>
          <c:showLegendKey val="0"/>
          <c:showVal val="1"/>
          <c:showCatName val="0"/>
          <c:showSerName val="0"/>
          <c:showPercent val="0"/>
          <c:showBubbleSize val="0"/>
        </c:dLbls>
        <c:gapWidth val="219"/>
        <c:overlap val="-27"/>
        <c:axId val="1160093439"/>
        <c:axId val="1160094399"/>
        <c:extLst>
          <c:ext xmlns:c15="http://schemas.microsoft.com/office/drawing/2012/chart" uri="{02D57815-91ED-43cb-92C2-25804820EDAC}">
            <c15:filteredBarSeries>
              <c15:ser>
                <c:idx val="0"/>
                <c:order val="0"/>
                <c:tx>
                  <c:strRef>
                    <c:extLst>
                      <c:ext uri="{02D57815-91ED-43cb-92C2-25804820EDAC}">
                        <c15:formulaRef>
                          <c15:sqref>Forecasts!$N$292</c15:sqref>
                        </c15:formulaRef>
                      </c:ext>
                    </c:extLst>
                    <c:strCache>
                      <c:ptCount val="1"/>
                      <c:pt idx="0">
                        <c:v>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Forecasts!$M$293:$M$295</c15:sqref>
                        </c15:formulaRef>
                      </c:ext>
                    </c:extLst>
                    <c:numCache>
                      <c:formatCode>General</c:formatCode>
                      <c:ptCount val="3"/>
                      <c:pt idx="0">
                        <c:v>2023</c:v>
                      </c:pt>
                      <c:pt idx="1">
                        <c:v>2022</c:v>
                      </c:pt>
                      <c:pt idx="2">
                        <c:v>2021</c:v>
                      </c:pt>
                    </c:numCache>
                  </c:numRef>
                </c:cat>
                <c:val>
                  <c:numRef>
                    <c:extLst>
                      <c:ext uri="{02D57815-91ED-43cb-92C2-25804820EDAC}">
                        <c15:formulaRef>
                          <c15:sqref>Forecasts!$N$293:$N$295</c15:sqref>
                        </c15:formulaRef>
                      </c:ext>
                    </c:extLst>
                    <c:numCache>
                      <c:formatCode>_-[$$-409]* #,##0_ ;_-[$$-409]* \-#,##0\ ;_-[$$-409]* "-"??_ ;_-@_ </c:formatCode>
                      <c:ptCount val="3"/>
                      <c:pt idx="0">
                        <c:v>471857</c:v>
                      </c:pt>
                      <c:pt idx="1">
                        <c:v>362050</c:v>
                      </c:pt>
                      <c:pt idx="2">
                        <c:v>260901</c:v>
                      </c:pt>
                    </c:numCache>
                  </c:numRef>
                </c:val>
                <c:extLst>
                  <c:ext xmlns:c16="http://schemas.microsoft.com/office/drawing/2014/chart" uri="{C3380CC4-5D6E-409C-BE32-E72D297353CC}">
                    <c16:uniqueId val="{00000001-B969-4246-8349-BAC2F96D5C7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Forecasts!$O$292</c15:sqref>
                        </c15:formulaRef>
                      </c:ext>
                    </c:extLst>
                    <c:strCache>
                      <c:ptCount val="1"/>
                      <c:pt idx="0">
                        <c:v>SG&amp;A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Forecasts!$M$293:$M$295</c15:sqref>
                        </c15:formulaRef>
                      </c:ext>
                    </c:extLst>
                    <c:numCache>
                      <c:formatCode>General</c:formatCode>
                      <c:ptCount val="3"/>
                      <c:pt idx="0">
                        <c:v>2023</c:v>
                      </c:pt>
                      <c:pt idx="1">
                        <c:v>2022</c:v>
                      </c:pt>
                      <c:pt idx="2">
                        <c:v>2021</c:v>
                      </c:pt>
                    </c:numCache>
                  </c:numRef>
                </c:cat>
                <c:val>
                  <c:numRef>
                    <c:extLst xmlns:c15="http://schemas.microsoft.com/office/drawing/2012/chart">
                      <c:ext xmlns:c15="http://schemas.microsoft.com/office/drawing/2012/chart" uri="{02D57815-91ED-43cb-92C2-25804820EDAC}">
                        <c15:formulaRef>
                          <c15:sqref>Forecasts!$O$293:$O$295</c15:sqref>
                        </c15:formulaRef>
                      </c:ext>
                    </c:extLst>
                    <c:numCache>
                      <c:formatCode>_-[$$-409]* #,##0_ ;_-[$$-409]* \-#,##0\ ;_-[$$-409]* "-"??_ ;_-@_ </c:formatCode>
                      <c:ptCount val="3"/>
                      <c:pt idx="0">
                        <c:v>101728</c:v>
                      </c:pt>
                      <c:pt idx="1">
                        <c:v>77236</c:v>
                      </c:pt>
                      <c:pt idx="2">
                        <c:v>57868</c:v>
                      </c:pt>
                    </c:numCache>
                  </c:numRef>
                </c:val>
                <c:extLst xmlns:c15="http://schemas.microsoft.com/office/drawing/2012/chart">
                  <c:ext xmlns:c16="http://schemas.microsoft.com/office/drawing/2014/chart" uri="{C3380CC4-5D6E-409C-BE32-E72D297353CC}">
                    <c16:uniqueId val="{00000000-B969-4246-8349-BAC2F96D5C71}"/>
                  </c:ext>
                </c:extLst>
              </c15:ser>
            </c15:filteredBarSeries>
          </c:ext>
        </c:extLst>
      </c:barChart>
      <c:catAx>
        <c:axId val="116009343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160094399"/>
        <c:crosses val="autoZero"/>
        <c:auto val="1"/>
        <c:lblAlgn val="ctr"/>
        <c:lblOffset val="100"/>
        <c:noMultiLvlLbl val="0"/>
      </c:catAx>
      <c:valAx>
        <c:axId val="1160094399"/>
        <c:scaling>
          <c:orientation val="minMax"/>
        </c:scaling>
        <c:delete val="0"/>
        <c:axPos val="r"/>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1600934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SG&amp;A expense as a %</a:t>
            </a:r>
            <a:r>
              <a:rPr lang="en-US" baseline="0"/>
              <a:t> of revenue - VITAL vs CALM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Forecasts!$U$320</c:f>
              <c:strCache>
                <c:ptCount val="1"/>
                <c:pt idx="0">
                  <c:v>vital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Forecasts!$P$321:$P$323</c:f>
              <c:numCache>
                <c:formatCode>General</c:formatCode>
                <c:ptCount val="3"/>
                <c:pt idx="0">
                  <c:v>2023</c:v>
                </c:pt>
                <c:pt idx="1">
                  <c:v>2022</c:v>
                </c:pt>
                <c:pt idx="2">
                  <c:v>2021</c:v>
                </c:pt>
              </c:numCache>
            </c:numRef>
          </c:cat>
          <c:val>
            <c:numRef>
              <c:f>Forecasts!$U$321:$U$323</c:f>
              <c:numCache>
                <c:formatCode>0.0%</c:formatCode>
                <c:ptCount val="3"/>
                <c:pt idx="0">
                  <c:v>0.21559074041499862</c:v>
                </c:pt>
                <c:pt idx="1">
                  <c:v>0.21332965060074574</c:v>
                </c:pt>
                <c:pt idx="2">
                  <c:v>0.22180060636026691</c:v>
                </c:pt>
              </c:numCache>
            </c:numRef>
          </c:val>
          <c:extLst>
            <c:ext xmlns:c16="http://schemas.microsoft.com/office/drawing/2014/chart" uri="{C3380CC4-5D6E-409C-BE32-E72D297353CC}">
              <c16:uniqueId val="{00000000-828C-4616-ABB1-2A293F7F86C2}"/>
            </c:ext>
          </c:extLst>
        </c:ser>
        <c:ser>
          <c:idx val="1"/>
          <c:order val="1"/>
          <c:tx>
            <c:strRef>
              <c:f>Forecasts!$V$320</c:f>
              <c:strCache>
                <c:ptCount val="1"/>
                <c:pt idx="0">
                  <c:v>calm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Forecasts!$P$321:$P$323</c:f>
              <c:numCache>
                <c:formatCode>General</c:formatCode>
                <c:ptCount val="3"/>
                <c:pt idx="0">
                  <c:v>2023</c:v>
                </c:pt>
                <c:pt idx="1">
                  <c:v>2022</c:v>
                </c:pt>
                <c:pt idx="2">
                  <c:v>2021</c:v>
                </c:pt>
              </c:numCache>
            </c:numRef>
          </c:cat>
          <c:val>
            <c:numRef>
              <c:f>Forecasts!$V$321:$V$323</c:f>
              <c:numCache>
                <c:formatCode>0.0%</c:formatCode>
                <c:ptCount val="3"/>
                <c:pt idx="0">
                  <c:v>0.10858851903958103</c:v>
                </c:pt>
                <c:pt idx="1">
                  <c:v>7.3805144400402131E-2</c:v>
                </c:pt>
                <c:pt idx="2">
                  <c:v>0.11176884004188709</c:v>
                </c:pt>
              </c:numCache>
            </c:numRef>
          </c:val>
          <c:extLst>
            <c:ext xmlns:c16="http://schemas.microsoft.com/office/drawing/2014/chart" uri="{C3380CC4-5D6E-409C-BE32-E72D297353CC}">
              <c16:uniqueId val="{00000001-828C-4616-ABB1-2A293F7F86C2}"/>
            </c:ext>
          </c:extLst>
        </c:ser>
        <c:dLbls>
          <c:dLblPos val="outEnd"/>
          <c:showLegendKey val="0"/>
          <c:showVal val="1"/>
          <c:showCatName val="0"/>
          <c:showSerName val="0"/>
          <c:showPercent val="0"/>
          <c:showBubbleSize val="0"/>
        </c:dLbls>
        <c:gapWidth val="219"/>
        <c:overlap val="-27"/>
        <c:axId val="274756271"/>
        <c:axId val="274753871"/>
      </c:barChart>
      <c:catAx>
        <c:axId val="27475627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74753871"/>
        <c:crosses val="autoZero"/>
        <c:auto val="1"/>
        <c:lblAlgn val="ctr"/>
        <c:lblOffset val="100"/>
        <c:noMultiLvlLbl val="0"/>
      </c:catAx>
      <c:valAx>
        <c:axId val="274753871"/>
        <c:scaling>
          <c:orientation val="minMax"/>
        </c:scaling>
        <c:delete val="0"/>
        <c:axPos val="r"/>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74756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Forecasts!$I$412</c:f>
              <c:strCache>
                <c:ptCount val="1"/>
                <c:pt idx="0">
                  <c:v>net cap ex</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Forecasts!$B$413:$B$418</c:f>
              <c:numCache>
                <c:formatCode>General</c:formatCode>
                <c:ptCount val="6"/>
                <c:pt idx="0">
                  <c:v>2023</c:v>
                </c:pt>
                <c:pt idx="1">
                  <c:v>2022</c:v>
                </c:pt>
                <c:pt idx="2">
                  <c:v>2021</c:v>
                </c:pt>
                <c:pt idx="3">
                  <c:v>2020</c:v>
                </c:pt>
                <c:pt idx="4">
                  <c:v>2019</c:v>
                </c:pt>
                <c:pt idx="5">
                  <c:v>2018</c:v>
                </c:pt>
              </c:numCache>
            </c:numRef>
          </c:cat>
          <c:val>
            <c:numRef>
              <c:f>Forecasts!$I$413:$I$418</c:f>
              <c:numCache>
                <c:formatCode>_-[$$-409]* #,##0_ ;_-[$$-409]* \-#,##0\ ;_-[$$-409]* "-"??_ ;_-@_ </c:formatCode>
                <c:ptCount val="6"/>
                <c:pt idx="0">
                  <c:v>3613</c:v>
                </c:pt>
                <c:pt idx="1">
                  <c:v>5027</c:v>
                </c:pt>
                <c:pt idx="2">
                  <c:v>13171</c:v>
                </c:pt>
                <c:pt idx="3">
                  <c:v>7750</c:v>
                </c:pt>
                <c:pt idx="4">
                  <c:v>2878</c:v>
                </c:pt>
                <c:pt idx="5">
                  <c:v>503</c:v>
                </c:pt>
              </c:numCache>
            </c:numRef>
          </c:val>
          <c:extLst>
            <c:ext xmlns:c16="http://schemas.microsoft.com/office/drawing/2014/chart" uri="{C3380CC4-5D6E-409C-BE32-E72D297353CC}">
              <c16:uniqueId val="{00000000-9C41-4412-A8C8-4B85B4ABB663}"/>
            </c:ext>
          </c:extLst>
        </c:ser>
        <c:dLbls>
          <c:showLegendKey val="0"/>
          <c:showVal val="0"/>
          <c:showCatName val="0"/>
          <c:showSerName val="0"/>
          <c:showPercent val="0"/>
          <c:showBubbleSize val="0"/>
        </c:dLbls>
        <c:gapWidth val="101"/>
        <c:overlap val="-27"/>
        <c:axId val="86471775"/>
        <c:axId val="86469375"/>
      </c:barChart>
      <c:catAx>
        <c:axId val="8647177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86469375"/>
        <c:crosses val="autoZero"/>
        <c:auto val="1"/>
        <c:lblAlgn val="ctr"/>
        <c:lblOffset val="100"/>
        <c:noMultiLvlLbl val="0"/>
      </c:catAx>
      <c:valAx>
        <c:axId val="86469375"/>
        <c:scaling>
          <c:orientation val="minMax"/>
        </c:scaling>
        <c:delete val="0"/>
        <c:axPos val="r"/>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86471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Forecasts!$G$412</c:f>
              <c:strCache>
                <c:ptCount val="1"/>
                <c:pt idx="0">
                  <c:v>capital
expenditures</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Forecasts!$B$413:$B$418</c:f>
              <c:numCache>
                <c:formatCode>General</c:formatCode>
                <c:ptCount val="6"/>
                <c:pt idx="0">
                  <c:v>2023</c:v>
                </c:pt>
                <c:pt idx="1">
                  <c:v>2022</c:v>
                </c:pt>
                <c:pt idx="2">
                  <c:v>2021</c:v>
                </c:pt>
                <c:pt idx="3">
                  <c:v>2020</c:v>
                </c:pt>
                <c:pt idx="4">
                  <c:v>2019</c:v>
                </c:pt>
                <c:pt idx="5">
                  <c:v>2018</c:v>
                </c:pt>
              </c:numCache>
            </c:numRef>
          </c:cat>
          <c:val>
            <c:numRef>
              <c:f>Forecasts!$G$413:$G$418</c:f>
              <c:numCache>
                <c:formatCode>_-[$$-409]* #,##0_ ;_-[$$-409]* \-#,##0\ ;_-[$$-409]* "-"??_ ;_-@_ </c:formatCode>
                <c:ptCount val="6"/>
                <c:pt idx="0">
                  <c:v>11538</c:v>
                </c:pt>
                <c:pt idx="1">
                  <c:v>10468</c:v>
                </c:pt>
                <c:pt idx="2">
                  <c:v>16711</c:v>
                </c:pt>
                <c:pt idx="3">
                  <c:v>10300</c:v>
                </c:pt>
                <c:pt idx="4">
                  <c:v>4799</c:v>
                </c:pt>
                <c:pt idx="5">
                  <c:v>1940</c:v>
                </c:pt>
              </c:numCache>
            </c:numRef>
          </c:val>
          <c:extLst>
            <c:ext xmlns:c16="http://schemas.microsoft.com/office/drawing/2014/chart" uri="{C3380CC4-5D6E-409C-BE32-E72D297353CC}">
              <c16:uniqueId val="{00000000-1344-4771-85CD-82C3928B0FB7}"/>
            </c:ext>
          </c:extLst>
        </c:ser>
        <c:dLbls>
          <c:showLegendKey val="0"/>
          <c:showVal val="0"/>
          <c:showCatName val="0"/>
          <c:showSerName val="0"/>
          <c:showPercent val="0"/>
          <c:showBubbleSize val="0"/>
        </c:dLbls>
        <c:gapWidth val="94"/>
        <c:overlap val="-27"/>
        <c:axId val="86471775"/>
        <c:axId val="86469375"/>
      </c:barChart>
      <c:catAx>
        <c:axId val="8647177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86469375"/>
        <c:crosses val="autoZero"/>
        <c:auto val="1"/>
        <c:lblAlgn val="ctr"/>
        <c:lblOffset val="100"/>
        <c:noMultiLvlLbl val="0"/>
      </c:catAx>
      <c:valAx>
        <c:axId val="86469375"/>
        <c:scaling>
          <c:orientation val="minMax"/>
        </c:scaling>
        <c:delete val="0"/>
        <c:axPos val="r"/>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86471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ttm interest coverage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lineChart>
        <c:grouping val="standard"/>
        <c:varyColors val="0"/>
        <c:ser>
          <c:idx val="0"/>
          <c:order val="0"/>
          <c:tx>
            <c:strRef>
              <c:f>WACC!$Q$58</c:f>
              <c:strCache>
                <c:ptCount val="1"/>
                <c:pt idx="0">
                  <c:v>interest coverage
ratio</c:v>
                </c:pt>
              </c:strCache>
            </c:strRef>
          </c:tx>
          <c:spPr>
            <a:ln w="28575" cap="rnd">
              <a:solidFill>
                <a:schemeClr val="tx1"/>
              </a:solidFill>
              <a:round/>
            </a:ln>
            <a:effectLst/>
          </c:spPr>
          <c:marker>
            <c:symbol val="circle"/>
            <c:size val="5"/>
            <c:spPr>
              <a:solidFill>
                <a:schemeClr val="accent1"/>
              </a:solidFill>
              <a:ln w="9525">
                <a:solidFill>
                  <a:schemeClr val="tx1"/>
                </a:solidFill>
              </a:ln>
              <a:effectLst/>
            </c:spPr>
          </c:marker>
          <c:dLbls>
            <c:dLbl>
              <c:idx val="7"/>
              <c:layout>
                <c:manualLayout>
                  <c:x val="-7.6003916858964168E-2"/>
                  <c:y val="5.2755216621544355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B7-45AB-98D5-DE1867A751EC}"/>
                </c:ext>
              </c:extLst>
            </c:dLbl>
            <c:dLbl>
              <c:idx val="8"/>
              <c:layout>
                <c:manualLayout>
                  <c:x val="-3.9101758962078327E-2"/>
                  <c:y val="4.72702723183225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B7-45AB-98D5-DE1867A751EC}"/>
                </c:ext>
              </c:extLst>
            </c:dLbl>
            <c:dLbl>
              <c:idx val="9"/>
              <c:layout>
                <c:manualLayout>
                  <c:x val="-2.5738222851412766E-4"/>
                  <c:y val="-5.223166001887559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B7-45AB-98D5-DE1867A751E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he-I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WACC!$N$59:$N$77</c:f>
              <c:strCache>
                <c:ptCount val="19"/>
                <c:pt idx="0">
                  <c:v>2024-06-30</c:v>
                </c:pt>
                <c:pt idx="1">
                  <c:v>2024-03-31</c:v>
                </c:pt>
                <c:pt idx="2">
                  <c:v>2023-12-31</c:v>
                </c:pt>
                <c:pt idx="3">
                  <c:v>2023-09-30</c:v>
                </c:pt>
                <c:pt idx="4">
                  <c:v>2023-06-30</c:v>
                </c:pt>
                <c:pt idx="5">
                  <c:v>2023-03-31</c:v>
                </c:pt>
                <c:pt idx="6">
                  <c:v>2022-12-31</c:v>
                </c:pt>
                <c:pt idx="7">
                  <c:v>2022-09-30</c:v>
                </c:pt>
                <c:pt idx="8">
                  <c:v>2022-06-30</c:v>
                </c:pt>
                <c:pt idx="9">
                  <c:v>2022-03-31</c:v>
                </c:pt>
                <c:pt idx="10">
                  <c:v>2021-12-31</c:v>
                </c:pt>
                <c:pt idx="11">
                  <c:v>2021-09-30</c:v>
                </c:pt>
                <c:pt idx="12">
                  <c:v>2021-06-30</c:v>
                </c:pt>
                <c:pt idx="13">
                  <c:v>2021-03-31</c:v>
                </c:pt>
                <c:pt idx="14">
                  <c:v>2020-12-31</c:v>
                </c:pt>
                <c:pt idx="15">
                  <c:v>2020-09-30</c:v>
                </c:pt>
                <c:pt idx="16">
                  <c:v>2020-06-30</c:v>
                </c:pt>
                <c:pt idx="17">
                  <c:v>2020-03-31</c:v>
                </c:pt>
                <c:pt idx="18">
                  <c:v>2019-12-31</c:v>
                </c:pt>
              </c:strCache>
            </c:strRef>
          </c:cat>
          <c:val>
            <c:numRef>
              <c:f>WACC!$Q$59:$Q$77</c:f>
              <c:numCache>
                <c:formatCode>0.0</c:formatCode>
                <c:ptCount val="19"/>
                <c:pt idx="0">
                  <c:v>54.589793915603536</c:v>
                </c:pt>
                <c:pt idx="1">
                  <c:v>51.811804008908688</c:v>
                </c:pt>
                <c:pt idx="2">
                  <c:v>42.524296675191813</c:v>
                </c:pt>
                <c:pt idx="3">
                  <c:v>46.015000000000001</c:v>
                </c:pt>
                <c:pt idx="4">
                  <c:v>65.251336898395721</c:v>
                </c:pt>
                <c:pt idx="5">
                  <c:v>69.738775510204079</c:v>
                </c:pt>
                <c:pt idx="6">
                  <c:v>18.456140350877192</c:v>
                </c:pt>
                <c:pt idx="7">
                  <c:v>-150.8918918918919</c:v>
                </c:pt>
                <c:pt idx="8">
                  <c:v>-261.44444444444446</c:v>
                </c:pt>
                <c:pt idx="9">
                  <c:v>-169.47619047619048</c:v>
                </c:pt>
                <c:pt idx="10">
                  <c:v>1</c:v>
                </c:pt>
                <c:pt idx="11">
                  <c:v>12.993939393939394</c:v>
                </c:pt>
                <c:pt idx="12">
                  <c:v>24.098484848484848</c:v>
                </c:pt>
                <c:pt idx="13">
                  <c:v>35.658045977011497</c:v>
                </c:pt>
                <c:pt idx="14">
                  <c:v>25.057377049180328</c:v>
                </c:pt>
                <c:pt idx="15">
                  <c:v>18.043103448275861</c:v>
                </c:pt>
                <c:pt idx="16">
                  <c:v>16.271070615034169</c:v>
                </c:pt>
                <c:pt idx="17">
                  <c:v>4.7268408551068886</c:v>
                </c:pt>
                <c:pt idx="18">
                  <c:v>9.5988538681948423</c:v>
                </c:pt>
              </c:numCache>
            </c:numRef>
          </c:val>
          <c:smooth val="0"/>
          <c:extLst>
            <c:ext xmlns:c16="http://schemas.microsoft.com/office/drawing/2014/chart" uri="{C3380CC4-5D6E-409C-BE32-E72D297353CC}">
              <c16:uniqueId val="{00000000-46B7-45AB-98D5-DE1867A751EC}"/>
            </c:ext>
          </c:extLst>
        </c:ser>
        <c:dLbls>
          <c:dLblPos val="t"/>
          <c:showLegendKey val="0"/>
          <c:showVal val="1"/>
          <c:showCatName val="0"/>
          <c:showSerName val="0"/>
          <c:showPercent val="0"/>
          <c:showBubbleSize val="0"/>
        </c:dLbls>
        <c:marker val="1"/>
        <c:smooth val="0"/>
        <c:axId val="395151599"/>
        <c:axId val="395145359"/>
      </c:lineChart>
      <c:catAx>
        <c:axId val="39515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395145359"/>
        <c:crosses val="autoZero"/>
        <c:auto val="1"/>
        <c:lblAlgn val="ctr"/>
        <c:lblOffset val="100"/>
        <c:noMultiLvlLbl val="0"/>
      </c:catAx>
      <c:valAx>
        <c:axId val="3951453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39515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Forecasts!$H$412</c:f>
              <c:strCache>
                <c:ptCount val="1"/>
                <c:pt idx="0">
                  <c:v>depr&amp;amrtz</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Forecasts!$B$413:$B$418</c:f>
              <c:numCache>
                <c:formatCode>General</c:formatCode>
                <c:ptCount val="6"/>
                <c:pt idx="0">
                  <c:v>2023</c:v>
                </c:pt>
                <c:pt idx="1">
                  <c:v>2022</c:v>
                </c:pt>
                <c:pt idx="2">
                  <c:v>2021</c:v>
                </c:pt>
                <c:pt idx="3">
                  <c:v>2020</c:v>
                </c:pt>
                <c:pt idx="4">
                  <c:v>2019</c:v>
                </c:pt>
                <c:pt idx="5">
                  <c:v>2018</c:v>
                </c:pt>
              </c:numCache>
            </c:numRef>
          </c:cat>
          <c:val>
            <c:numRef>
              <c:f>Forecasts!$H$413:$H$418</c:f>
              <c:numCache>
                <c:formatCode>_-[$$-409]* #,##0_ ;_-[$$-409]* \-#,##0\ ;_-[$$-409]* "-"??_ ;_-@_ </c:formatCode>
                <c:ptCount val="6"/>
                <c:pt idx="0">
                  <c:v>7925</c:v>
                </c:pt>
                <c:pt idx="1">
                  <c:v>5441</c:v>
                </c:pt>
                <c:pt idx="2">
                  <c:v>3540</c:v>
                </c:pt>
                <c:pt idx="3">
                  <c:v>2550</c:v>
                </c:pt>
                <c:pt idx="4">
                  <c:v>1921</c:v>
                </c:pt>
                <c:pt idx="5">
                  <c:v>1437</c:v>
                </c:pt>
              </c:numCache>
            </c:numRef>
          </c:val>
          <c:extLst>
            <c:ext xmlns:c16="http://schemas.microsoft.com/office/drawing/2014/chart" uri="{C3380CC4-5D6E-409C-BE32-E72D297353CC}">
              <c16:uniqueId val="{00000000-197C-43D7-8E38-AA457AD74A53}"/>
            </c:ext>
          </c:extLst>
        </c:ser>
        <c:dLbls>
          <c:showLegendKey val="0"/>
          <c:showVal val="0"/>
          <c:showCatName val="0"/>
          <c:showSerName val="0"/>
          <c:showPercent val="0"/>
          <c:showBubbleSize val="0"/>
        </c:dLbls>
        <c:gapWidth val="104"/>
        <c:overlap val="-27"/>
        <c:axId val="86471775"/>
        <c:axId val="86469375"/>
      </c:barChart>
      <c:catAx>
        <c:axId val="8647177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86469375"/>
        <c:crosses val="autoZero"/>
        <c:auto val="1"/>
        <c:lblAlgn val="ctr"/>
        <c:lblOffset val="100"/>
        <c:noMultiLvlLbl val="0"/>
      </c:catAx>
      <c:valAx>
        <c:axId val="86469375"/>
        <c:scaling>
          <c:orientation val="minMax"/>
        </c:scaling>
        <c:delete val="0"/>
        <c:axPos val="r"/>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86471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Forecasts!$C$86</c:f>
              <c:strCache>
                <c:ptCount val="1"/>
                <c:pt idx="0">
                  <c:v>revenue</c:v>
                </c:pt>
              </c:strCache>
            </c:strRef>
          </c:tx>
          <c:spPr>
            <a:solidFill>
              <a:srgbClr val="0070C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Forecasts!$B$87:$B$92</c:f>
              <c:numCache>
                <c:formatCode>General</c:formatCode>
                <c:ptCount val="6"/>
                <c:pt idx="0">
                  <c:v>2023</c:v>
                </c:pt>
                <c:pt idx="1">
                  <c:v>2022</c:v>
                </c:pt>
                <c:pt idx="2">
                  <c:v>2021</c:v>
                </c:pt>
                <c:pt idx="3">
                  <c:v>2020</c:v>
                </c:pt>
                <c:pt idx="4">
                  <c:v>2019</c:v>
                </c:pt>
                <c:pt idx="5">
                  <c:v>2018</c:v>
                </c:pt>
              </c:numCache>
            </c:numRef>
          </c:cat>
          <c:val>
            <c:numRef>
              <c:f>Forecasts!$C$87:$C$92</c:f>
              <c:numCache>
                <c:formatCode>_-[$$-409]* #,##0_ ;_-[$$-409]* \-#,##0\ ;_-[$$-409]* "-"??_ ;_-@_ </c:formatCode>
                <c:ptCount val="6"/>
                <c:pt idx="0">
                  <c:v>471857</c:v>
                </c:pt>
                <c:pt idx="1">
                  <c:v>362050</c:v>
                </c:pt>
                <c:pt idx="2">
                  <c:v>260901</c:v>
                </c:pt>
                <c:pt idx="3">
                  <c:v>214280</c:v>
                </c:pt>
                <c:pt idx="4">
                  <c:v>140733</c:v>
                </c:pt>
                <c:pt idx="5">
                  <c:v>106713</c:v>
                </c:pt>
              </c:numCache>
            </c:numRef>
          </c:val>
          <c:extLst>
            <c:ext xmlns:c16="http://schemas.microsoft.com/office/drawing/2014/chart" uri="{C3380CC4-5D6E-409C-BE32-E72D297353CC}">
              <c16:uniqueId val="{00000000-C0D5-4EF3-AFF3-D0983797F8D4}"/>
            </c:ext>
          </c:extLst>
        </c:ser>
        <c:dLbls>
          <c:showLegendKey val="0"/>
          <c:showVal val="0"/>
          <c:showCatName val="0"/>
          <c:showSerName val="0"/>
          <c:showPercent val="0"/>
          <c:showBubbleSize val="0"/>
        </c:dLbls>
        <c:gapWidth val="57"/>
        <c:overlap val="-27"/>
        <c:axId val="59739183"/>
        <c:axId val="59738703"/>
      </c:barChart>
      <c:catAx>
        <c:axId val="5973918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9738703"/>
        <c:crosses val="autoZero"/>
        <c:auto val="1"/>
        <c:lblAlgn val="ctr"/>
        <c:lblOffset val="100"/>
        <c:noMultiLvlLbl val="0"/>
      </c:catAx>
      <c:valAx>
        <c:axId val="59738703"/>
        <c:scaling>
          <c:orientation val="minMax"/>
        </c:scaling>
        <c:delete val="0"/>
        <c:axPos val="r"/>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9739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Forecasts!$D$86</c:f>
              <c:strCache>
                <c:ptCount val="1"/>
                <c:pt idx="0">
                  <c:v>revenue 
growth</c:v>
                </c:pt>
              </c:strCache>
            </c:strRef>
          </c:tx>
          <c:spPr>
            <a:solidFill>
              <a:srgbClr val="0070C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Forecasts!$B$87:$B$92</c:f>
              <c:numCache>
                <c:formatCode>General</c:formatCode>
                <c:ptCount val="6"/>
                <c:pt idx="0">
                  <c:v>2023</c:v>
                </c:pt>
                <c:pt idx="1">
                  <c:v>2022</c:v>
                </c:pt>
                <c:pt idx="2">
                  <c:v>2021</c:v>
                </c:pt>
                <c:pt idx="3">
                  <c:v>2020</c:v>
                </c:pt>
                <c:pt idx="4">
                  <c:v>2019</c:v>
                </c:pt>
                <c:pt idx="5">
                  <c:v>2018</c:v>
                </c:pt>
              </c:numCache>
            </c:numRef>
          </c:cat>
          <c:val>
            <c:numRef>
              <c:f>Forecasts!$D$87:$D$92</c:f>
              <c:numCache>
                <c:formatCode>0.0%</c:formatCode>
                <c:ptCount val="6"/>
                <c:pt idx="0">
                  <c:v>0.30329236293329653</c:v>
                </c:pt>
                <c:pt idx="1">
                  <c:v>0.38769111655378863</c:v>
                </c:pt>
                <c:pt idx="2">
                  <c:v>0.2175704685458279</c:v>
                </c:pt>
                <c:pt idx="3">
                  <c:v>0.52259953244796886</c:v>
                </c:pt>
                <c:pt idx="4">
                  <c:v>0.31879902167495994</c:v>
                </c:pt>
              </c:numCache>
            </c:numRef>
          </c:val>
          <c:extLst>
            <c:ext xmlns:c16="http://schemas.microsoft.com/office/drawing/2014/chart" uri="{C3380CC4-5D6E-409C-BE32-E72D297353CC}">
              <c16:uniqueId val="{00000000-0E0A-4A6E-BA92-EAAC9A827D26}"/>
            </c:ext>
          </c:extLst>
        </c:ser>
        <c:dLbls>
          <c:showLegendKey val="0"/>
          <c:showVal val="0"/>
          <c:showCatName val="0"/>
          <c:showSerName val="0"/>
          <c:showPercent val="0"/>
          <c:showBubbleSize val="0"/>
        </c:dLbls>
        <c:gapWidth val="57"/>
        <c:overlap val="-27"/>
        <c:axId val="59739183"/>
        <c:axId val="59738703"/>
      </c:barChart>
      <c:catAx>
        <c:axId val="5973918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9738703"/>
        <c:crosses val="autoZero"/>
        <c:auto val="1"/>
        <c:lblAlgn val="ctr"/>
        <c:lblOffset val="100"/>
        <c:noMultiLvlLbl val="0"/>
      </c:catAx>
      <c:valAx>
        <c:axId val="59738703"/>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9739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Forecasts!$C$29</c:f>
              <c:strCache>
                <c:ptCount val="1"/>
                <c:pt idx="0">
                  <c:v>per capita egg
 consumption</c:v>
                </c:pt>
              </c:strCache>
            </c:strRef>
          </c:tx>
          <c:spPr>
            <a:solidFill>
              <a:srgbClr val="FFC00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Forecasts!$B$30:$B$54</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Forecasts!$C$30:$C$54</c:f>
              <c:numCache>
                <c:formatCode>General</c:formatCode>
                <c:ptCount val="25"/>
                <c:pt idx="0">
                  <c:v>251</c:v>
                </c:pt>
                <c:pt idx="1">
                  <c:v>252</c:v>
                </c:pt>
                <c:pt idx="2">
                  <c:v>255</c:v>
                </c:pt>
                <c:pt idx="3">
                  <c:v>255</c:v>
                </c:pt>
                <c:pt idx="4">
                  <c:v>257</c:v>
                </c:pt>
                <c:pt idx="5">
                  <c:v>256</c:v>
                </c:pt>
                <c:pt idx="6">
                  <c:v>258</c:v>
                </c:pt>
                <c:pt idx="7">
                  <c:v>250</c:v>
                </c:pt>
                <c:pt idx="8">
                  <c:v>247</c:v>
                </c:pt>
                <c:pt idx="9">
                  <c:v>246.1</c:v>
                </c:pt>
                <c:pt idx="10">
                  <c:v>242.8</c:v>
                </c:pt>
                <c:pt idx="11">
                  <c:v>242.4</c:v>
                </c:pt>
                <c:pt idx="12">
                  <c:v>254.3</c:v>
                </c:pt>
                <c:pt idx="13">
                  <c:v>255.2</c:v>
                </c:pt>
                <c:pt idx="14">
                  <c:v>267.10000000000002</c:v>
                </c:pt>
                <c:pt idx="15">
                  <c:v>256.3</c:v>
                </c:pt>
                <c:pt idx="16">
                  <c:v>274.7</c:v>
                </c:pt>
                <c:pt idx="17">
                  <c:v>281.8</c:v>
                </c:pt>
                <c:pt idx="18">
                  <c:v>287.5</c:v>
                </c:pt>
                <c:pt idx="19">
                  <c:v>293.39999999999998</c:v>
                </c:pt>
                <c:pt idx="20">
                  <c:v>285.5</c:v>
                </c:pt>
                <c:pt idx="21">
                  <c:v>282.5</c:v>
                </c:pt>
                <c:pt idx="22">
                  <c:v>279</c:v>
                </c:pt>
                <c:pt idx="23">
                  <c:v>281.3</c:v>
                </c:pt>
                <c:pt idx="24">
                  <c:v>284.39999999999998</c:v>
                </c:pt>
              </c:numCache>
            </c:numRef>
          </c:val>
          <c:extLst>
            <c:ext xmlns:c16="http://schemas.microsoft.com/office/drawing/2014/chart" uri="{C3380CC4-5D6E-409C-BE32-E72D297353CC}">
              <c16:uniqueId val="{00000000-AF52-48FE-9C13-63124ED0BD2A}"/>
            </c:ext>
          </c:extLst>
        </c:ser>
        <c:dLbls>
          <c:dLblPos val="outEnd"/>
          <c:showLegendKey val="0"/>
          <c:showVal val="1"/>
          <c:showCatName val="0"/>
          <c:showSerName val="0"/>
          <c:showPercent val="0"/>
          <c:showBubbleSize val="0"/>
        </c:dLbls>
        <c:gapWidth val="51"/>
        <c:overlap val="-27"/>
        <c:axId val="58747263"/>
        <c:axId val="58748223"/>
      </c:barChart>
      <c:catAx>
        <c:axId val="5874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8748223"/>
        <c:crosses val="autoZero"/>
        <c:auto val="1"/>
        <c:lblAlgn val="ctr"/>
        <c:lblOffset val="100"/>
        <c:noMultiLvlLbl val="0"/>
      </c:catAx>
      <c:valAx>
        <c:axId val="5874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8747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Forecasts!$D$29</c:f>
              <c:strCache>
                <c:ptCount val="1"/>
                <c:pt idx="0">
                  <c:v>growth in egg
consumption</c:v>
                </c:pt>
              </c:strCache>
            </c:strRef>
          </c:tx>
          <c:spPr>
            <a:solidFill>
              <a:srgbClr val="FFC00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Forecasts!$B$30:$B$54</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Forecasts!$D$30:$D$54</c:f>
              <c:numCache>
                <c:formatCode>0.0%</c:formatCode>
                <c:ptCount val="25"/>
                <c:pt idx="1">
                  <c:v>3.9840637450199202E-3</c:v>
                </c:pt>
                <c:pt idx="2">
                  <c:v>1.1904761904761904E-2</c:v>
                </c:pt>
                <c:pt idx="3">
                  <c:v>0</c:v>
                </c:pt>
                <c:pt idx="4">
                  <c:v>7.8431372549019607E-3</c:v>
                </c:pt>
                <c:pt idx="5">
                  <c:v>-3.8910505836575876E-3</c:v>
                </c:pt>
                <c:pt idx="6">
                  <c:v>7.8125E-3</c:v>
                </c:pt>
                <c:pt idx="7">
                  <c:v>-3.1007751937984496E-2</c:v>
                </c:pt>
                <c:pt idx="8">
                  <c:v>-1.2E-2</c:v>
                </c:pt>
                <c:pt idx="9">
                  <c:v>-3.6437246963562982E-3</c:v>
                </c:pt>
                <c:pt idx="10">
                  <c:v>-1.3409183258837802E-2</c:v>
                </c:pt>
                <c:pt idx="11">
                  <c:v>-1.6474464579901388E-3</c:v>
                </c:pt>
                <c:pt idx="12">
                  <c:v>4.9092409240924118E-2</c:v>
                </c:pt>
                <c:pt idx="13">
                  <c:v>3.5391270153361273E-3</c:v>
                </c:pt>
                <c:pt idx="14">
                  <c:v>4.663009404388728E-2</c:v>
                </c:pt>
                <c:pt idx="15">
                  <c:v>-4.0434294271808349E-2</c:v>
                </c:pt>
                <c:pt idx="16">
                  <c:v>7.1790870074131791E-2</c:v>
                </c:pt>
                <c:pt idx="17">
                  <c:v>2.5846377866763828E-2</c:v>
                </c:pt>
                <c:pt idx="18">
                  <c:v>2.0227111426543608E-2</c:v>
                </c:pt>
                <c:pt idx="19">
                  <c:v>2.0521739130434702E-2</c:v>
                </c:pt>
                <c:pt idx="20">
                  <c:v>-2.6925698704839733E-2</c:v>
                </c:pt>
                <c:pt idx="21">
                  <c:v>-1.0507880910683012E-2</c:v>
                </c:pt>
                <c:pt idx="22">
                  <c:v>-1.2389380530973451E-2</c:v>
                </c:pt>
                <c:pt idx="23">
                  <c:v>8.2437275985663486E-3</c:v>
                </c:pt>
                <c:pt idx="24">
                  <c:v>1.1020263064343994E-2</c:v>
                </c:pt>
              </c:numCache>
            </c:numRef>
          </c:val>
          <c:extLst>
            <c:ext xmlns:c16="http://schemas.microsoft.com/office/drawing/2014/chart" uri="{C3380CC4-5D6E-409C-BE32-E72D297353CC}">
              <c16:uniqueId val="{00000000-3357-49DD-9D41-01FB20A4BF49}"/>
            </c:ext>
          </c:extLst>
        </c:ser>
        <c:dLbls>
          <c:dLblPos val="outEnd"/>
          <c:showLegendKey val="0"/>
          <c:showVal val="1"/>
          <c:showCatName val="0"/>
          <c:showSerName val="0"/>
          <c:showPercent val="0"/>
          <c:showBubbleSize val="0"/>
        </c:dLbls>
        <c:gapWidth val="51"/>
        <c:overlap val="-27"/>
        <c:axId val="58747263"/>
        <c:axId val="58748223"/>
      </c:barChart>
      <c:catAx>
        <c:axId val="5874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8748223"/>
        <c:crosses val="autoZero"/>
        <c:auto val="1"/>
        <c:lblAlgn val="ctr"/>
        <c:lblOffset val="100"/>
        <c:noMultiLvlLbl val="0"/>
      </c:catAx>
      <c:valAx>
        <c:axId val="5874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8747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Forecasts!$C$65</c:f>
              <c:strCache>
                <c:ptCount val="1"/>
                <c:pt idx="0">
                  <c:v>revenue</c:v>
                </c:pt>
              </c:strCache>
            </c:strRef>
          </c:tx>
          <c:spPr>
            <a:solidFill>
              <a:schemeClr val="accent1"/>
            </a:solidFill>
            <a:ln>
              <a:noFill/>
            </a:ln>
            <a:effectLst/>
          </c:spPr>
          <c:invertIfNegative val="0"/>
          <c:cat>
            <c:numRef>
              <c:f>Forecasts!$B$66:$B$81</c:f>
              <c:numCache>
                <c:formatCode>General</c:formatCode>
                <c:ptCount val="16"/>
                <c:pt idx="0">
                  <c:v>2024</c:v>
                </c:pt>
                <c:pt idx="1">
                  <c:v>2023</c:v>
                </c:pt>
                <c:pt idx="2">
                  <c:v>2022</c:v>
                </c:pt>
                <c:pt idx="3">
                  <c:v>2021</c:v>
                </c:pt>
                <c:pt idx="4">
                  <c:v>2020</c:v>
                </c:pt>
                <c:pt idx="5">
                  <c:v>2019</c:v>
                </c:pt>
                <c:pt idx="6">
                  <c:v>2018</c:v>
                </c:pt>
                <c:pt idx="7">
                  <c:v>2017</c:v>
                </c:pt>
                <c:pt idx="8">
                  <c:v>2016</c:v>
                </c:pt>
                <c:pt idx="9">
                  <c:v>2015</c:v>
                </c:pt>
                <c:pt idx="10">
                  <c:v>2014</c:v>
                </c:pt>
                <c:pt idx="11">
                  <c:v>2013</c:v>
                </c:pt>
                <c:pt idx="12">
                  <c:v>2012</c:v>
                </c:pt>
                <c:pt idx="13">
                  <c:v>2011</c:v>
                </c:pt>
                <c:pt idx="14">
                  <c:v>2010</c:v>
                </c:pt>
                <c:pt idx="15">
                  <c:v>2009</c:v>
                </c:pt>
              </c:numCache>
            </c:numRef>
          </c:cat>
          <c:val>
            <c:numRef>
              <c:f>Forecasts!$C$66:$C$81</c:f>
              <c:numCache>
                <c:formatCode>_-[$$-409]* #,##0_ ;_-[$$-409]* \-#,##0\ ;_-[$$-409]* "-"??_ ;_-@_ </c:formatCode>
                <c:ptCount val="16"/>
                <c:pt idx="0">
                  <c:v>2326</c:v>
                </c:pt>
                <c:pt idx="1">
                  <c:v>3146</c:v>
                </c:pt>
                <c:pt idx="2">
                  <c:v>1777</c:v>
                </c:pt>
                <c:pt idx="3">
                  <c:v>1349</c:v>
                </c:pt>
                <c:pt idx="4">
                  <c:v>1352</c:v>
                </c:pt>
                <c:pt idx="5">
                  <c:v>1361</c:v>
                </c:pt>
                <c:pt idx="6">
                  <c:v>1503</c:v>
                </c:pt>
                <c:pt idx="7">
                  <c:v>1075</c:v>
                </c:pt>
                <c:pt idx="8">
                  <c:v>1909</c:v>
                </c:pt>
                <c:pt idx="9">
                  <c:v>1576</c:v>
                </c:pt>
                <c:pt idx="10">
                  <c:v>1441</c:v>
                </c:pt>
                <c:pt idx="11">
                  <c:v>1288</c:v>
                </c:pt>
                <c:pt idx="12">
                  <c:v>1113</c:v>
                </c:pt>
                <c:pt idx="13">
                  <c:v>942</c:v>
                </c:pt>
                <c:pt idx="14">
                  <c:v>910</c:v>
                </c:pt>
                <c:pt idx="15">
                  <c:v>929</c:v>
                </c:pt>
              </c:numCache>
            </c:numRef>
          </c:val>
          <c:extLst>
            <c:ext xmlns:c16="http://schemas.microsoft.com/office/drawing/2014/chart" uri="{C3380CC4-5D6E-409C-BE32-E72D297353CC}">
              <c16:uniqueId val="{00000000-00E3-4DE5-9800-DC90ED113659}"/>
            </c:ext>
          </c:extLst>
        </c:ser>
        <c:dLbls>
          <c:showLegendKey val="0"/>
          <c:showVal val="0"/>
          <c:showCatName val="0"/>
          <c:showSerName val="0"/>
          <c:showPercent val="0"/>
          <c:showBubbleSize val="0"/>
        </c:dLbls>
        <c:gapWidth val="60"/>
        <c:overlap val="-27"/>
        <c:axId val="138588511"/>
        <c:axId val="138586111"/>
      </c:barChart>
      <c:catAx>
        <c:axId val="13858851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8586111"/>
        <c:crosses val="autoZero"/>
        <c:auto val="1"/>
        <c:lblAlgn val="ctr"/>
        <c:lblOffset val="100"/>
        <c:noMultiLvlLbl val="0"/>
      </c:catAx>
      <c:valAx>
        <c:axId val="138586111"/>
        <c:scaling>
          <c:orientation val="minMax"/>
        </c:scaling>
        <c:delete val="0"/>
        <c:axPos val="r"/>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38588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 margins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lineChart>
        <c:grouping val="standard"/>
        <c:varyColors val="0"/>
        <c:ser>
          <c:idx val="0"/>
          <c:order val="0"/>
          <c:tx>
            <c:strRef>
              <c:f>Forecasts!$C$152</c:f>
              <c:strCache>
                <c:ptCount val="1"/>
                <c:pt idx="0">
                  <c:v>operating
margins
ttm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he-I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Forecasts!$B$153:$B$171</c:f>
              <c:strCache>
                <c:ptCount val="19"/>
                <c:pt idx="0">
                  <c:v>2024-06-30</c:v>
                </c:pt>
                <c:pt idx="1">
                  <c:v>2024-03-31</c:v>
                </c:pt>
                <c:pt idx="2">
                  <c:v>2023-12-31</c:v>
                </c:pt>
                <c:pt idx="3">
                  <c:v>2023-09-30</c:v>
                </c:pt>
                <c:pt idx="4">
                  <c:v>2023-06-30</c:v>
                </c:pt>
                <c:pt idx="5">
                  <c:v>2023-03-31</c:v>
                </c:pt>
                <c:pt idx="6">
                  <c:v>2022-12-31</c:v>
                </c:pt>
                <c:pt idx="7">
                  <c:v>2022-09-30</c:v>
                </c:pt>
                <c:pt idx="8">
                  <c:v>2022-06-30</c:v>
                </c:pt>
                <c:pt idx="9">
                  <c:v>2022-03-31</c:v>
                </c:pt>
                <c:pt idx="10">
                  <c:v>2021-12-31</c:v>
                </c:pt>
                <c:pt idx="11">
                  <c:v>2021-09-30</c:v>
                </c:pt>
                <c:pt idx="12">
                  <c:v>2021-06-30</c:v>
                </c:pt>
                <c:pt idx="13">
                  <c:v>2021-03-31</c:v>
                </c:pt>
                <c:pt idx="14">
                  <c:v>2020-12-31</c:v>
                </c:pt>
                <c:pt idx="15">
                  <c:v>2020-09-30</c:v>
                </c:pt>
                <c:pt idx="16">
                  <c:v>2020-06-30</c:v>
                </c:pt>
                <c:pt idx="17">
                  <c:v>2020-03-31</c:v>
                </c:pt>
                <c:pt idx="18">
                  <c:v>2019-12-31</c:v>
                </c:pt>
              </c:strCache>
            </c:strRef>
          </c:cat>
          <c:val>
            <c:numRef>
              <c:f>Forecasts!$C$153:$C$171</c:f>
              <c:numCache>
                <c:formatCode>0.0%</c:formatCode>
                <c:ptCount val="19"/>
                <c:pt idx="0">
                  <c:v>0.1021595523322761</c:v>
                </c:pt>
                <c:pt idx="1">
                  <c:v>9.2531566773994031E-2</c:v>
                </c:pt>
                <c:pt idx="2">
                  <c:v>7.0395671345739805E-2</c:v>
                </c:pt>
                <c:pt idx="3">
                  <c:v>6.1768693481052593E-2</c:v>
                </c:pt>
                <c:pt idx="4">
                  <c:v>5.7004839945433823E-2</c:v>
                </c:pt>
                <c:pt idx="5">
                  <c:v>4.2270525425154498E-2</c:v>
                </c:pt>
                <c:pt idx="6">
                  <c:v>5.7973091007282457E-3</c:v>
                </c:pt>
                <c:pt idx="7">
                  <c:v>-1.6946991704078752E-2</c:v>
                </c:pt>
                <c:pt idx="8">
                  <c:v>-3.116277683783238E-2</c:v>
                </c:pt>
                <c:pt idx="9">
                  <c:v>-2.5469001026918139E-2</c:v>
                </c:pt>
                <c:pt idx="10">
                  <c:v>1.992665458293895E-4</c:v>
                </c:pt>
                <c:pt idx="11">
                  <c:v>9.0340631373143892E-3</c:v>
                </c:pt>
                <c:pt idx="12">
                  <c:v>2.815480273493683E-2</c:v>
                </c:pt>
                <c:pt idx="13">
                  <c:v>5.5152336718593743E-2</c:v>
                </c:pt>
                <c:pt idx="14">
                  <c:v>5.7127640191172967E-2</c:v>
                </c:pt>
                <c:pt idx="15">
                  <c:v>4.1528189763787339E-2</c:v>
                </c:pt>
                <c:pt idx="16">
                  <c:v>3.9156246745202093E-2</c:v>
                </c:pt>
                <c:pt idx="17">
                  <c:v>1.2808382732497891E-2</c:v>
                </c:pt>
                <c:pt idx="18">
                  <c:v>2.380394079569113E-2</c:v>
                </c:pt>
              </c:numCache>
            </c:numRef>
          </c:val>
          <c:smooth val="0"/>
          <c:extLst>
            <c:ext xmlns:c16="http://schemas.microsoft.com/office/drawing/2014/chart" uri="{C3380CC4-5D6E-409C-BE32-E72D297353CC}">
              <c16:uniqueId val="{00000000-0B06-4953-BD2B-B768CC39D4E0}"/>
            </c:ext>
          </c:extLst>
        </c:ser>
        <c:ser>
          <c:idx val="1"/>
          <c:order val="1"/>
          <c:tx>
            <c:strRef>
              <c:f>Forecasts!$D$152</c:f>
              <c:strCache>
                <c:ptCount val="1"/>
                <c:pt idx="0">
                  <c:v>operating
margins
yearly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2"/>
              <c:layout>
                <c:manualLayout>
                  <c:x val="3.0029380643044216E-2"/>
                  <c:y val="-3.10889472149315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06-4953-BD2B-B768CC39D4E0}"/>
                </c:ext>
              </c:extLst>
            </c:dLbl>
            <c:dLbl>
              <c:idx val="6"/>
              <c:layout>
                <c:manualLayout>
                  <c:x val="3.9081201676995955E-2"/>
                  <c:y val="-3.40519101778945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06-4953-BD2B-B768CC39D4E0}"/>
                </c:ext>
              </c:extLst>
            </c:dLbl>
            <c:dLbl>
              <c:idx val="10"/>
              <c:layout>
                <c:manualLayout>
                  <c:x val="-0.10212720645265121"/>
                  <c:y val="-2.51630212890055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06-4953-BD2B-B768CC39D4E0}"/>
                </c:ext>
              </c:extLst>
            </c:dLbl>
            <c:dLbl>
              <c:idx val="14"/>
              <c:layout>
                <c:manualLayout>
                  <c:x val="-2.7902273974246928E-2"/>
                  <c:y val="4.2985126859142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06-4953-BD2B-B768CC39D4E0}"/>
                </c:ext>
              </c:extLst>
            </c:dLbl>
            <c:dLbl>
              <c:idx val="18"/>
              <c:layout>
                <c:manualLayout>
                  <c:x val="-3.333336659461799E-2"/>
                  <c:y val="4.2985126859142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B06-4953-BD2B-B768CC39D4E0}"/>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he-I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Forecasts!$B$153:$B$171</c:f>
              <c:strCache>
                <c:ptCount val="19"/>
                <c:pt idx="0">
                  <c:v>2024-06-30</c:v>
                </c:pt>
                <c:pt idx="1">
                  <c:v>2024-03-31</c:v>
                </c:pt>
                <c:pt idx="2">
                  <c:v>2023-12-31</c:v>
                </c:pt>
                <c:pt idx="3">
                  <c:v>2023-09-30</c:v>
                </c:pt>
                <c:pt idx="4">
                  <c:v>2023-06-30</c:v>
                </c:pt>
                <c:pt idx="5">
                  <c:v>2023-03-31</c:v>
                </c:pt>
                <c:pt idx="6">
                  <c:v>2022-12-31</c:v>
                </c:pt>
                <c:pt idx="7">
                  <c:v>2022-09-30</c:v>
                </c:pt>
                <c:pt idx="8">
                  <c:v>2022-06-30</c:v>
                </c:pt>
                <c:pt idx="9">
                  <c:v>2022-03-31</c:v>
                </c:pt>
                <c:pt idx="10">
                  <c:v>2021-12-31</c:v>
                </c:pt>
                <c:pt idx="11">
                  <c:v>2021-09-30</c:v>
                </c:pt>
                <c:pt idx="12">
                  <c:v>2021-06-30</c:v>
                </c:pt>
                <c:pt idx="13">
                  <c:v>2021-03-31</c:v>
                </c:pt>
                <c:pt idx="14">
                  <c:v>2020-12-31</c:v>
                </c:pt>
                <c:pt idx="15">
                  <c:v>2020-09-30</c:v>
                </c:pt>
                <c:pt idx="16">
                  <c:v>2020-06-30</c:v>
                </c:pt>
                <c:pt idx="17">
                  <c:v>2020-03-31</c:v>
                </c:pt>
                <c:pt idx="18">
                  <c:v>2019-12-31</c:v>
                </c:pt>
              </c:strCache>
            </c:strRef>
          </c:cat>
          <c:val>
            <c:numRef>
              <c:f>Forecasts!$D$153:$D$171</c:f>
              <c:numCache>
                <c:formatCode>General</c:formatCode>
                <c:ptCount val="19"/>
                <c:pt idx="2" formatCode="0.0%">
                  <c:v>7.0474741288144502E-2</c:v>
                </c:pt>
                <c:pt idx="6" formatCode="0.0%">
                  <c:v>5.7973091007282457E-3</c:v>
                </c:pt>
                <c:pt idx="10" formatCode="0.0%">
                  <c:v>1.992665458293895E-4</c:v>
                </c:pt>
                <c:pt idx="14" formatCode="0.0%">
                  <c:v>5.7127640191172967E-2</c:v>
                </c:pt>
                <c:pt idx="18" formatCode="0.0%">
                  <c:v>2.380394079569113E-2</c:v>
                </c:pt>
              </c:numCache>
            </c:numRef>
          </c:val>
          <c:smooth val="0"/>
          <c:extLst>
            <c:ext xmlns:c16="http://schemas.microsoft.com/office/drawing/2014/chart" uri="{C3380CC4-5D6E-409C-BE32-E72D297353CC}">
              <c16:uniqueId val="{00000001-0B06-4953-BD2B-B768CC39D4E0}"/>
            </c:ext>
          </c:extLst>
        </c:ser>
        <c:dLbls>
          <c:dLblPos val="t"/>
          <c:showLegendKey val="0"/>
          <c:showVal val="1"/>
          <c:showCatName val="0"/>
          <c:showSerName val="0"/>
          <c:showPercent val="0"/>
          <c:showBubbleSize val="0"/>
        </c:dLbls>
        <c:marker val="1"/>
        <c:smooth val="0"/>
        <c:axId val="381443887"/>
        <c:axId val="381444847"/>
      </c:lineChart>
      <c:catAx>
        <c:axId val="38144388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381444847"/>
        <c:crosses val="autoZero"/>
        <c:auto val="1"/>
        <c:lblAlgn val="ctr"/>
        <c:lblOffset val="100"/>
        <c:noMultiLvlLbl val="0"/>
      </c:catAx>
      <c:valAx>
        <c:axId val="381444847"/>
        <c:scaling>
          <c:orientation val="minMax"/>
        </c:scaling>
        <c:delete val="0"/>
        <c:axPos val="r"/>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381443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 </a:t>
            </a:r>
            <a:r>
              <a:rPr lang="en-US"/>
              <a:t>FARMING</a:t>
            </a:r>
            <a:r>
              <a:rPr lang="he-IL" baseline="0"/>
              <a:t> </a:t>
            </a:r>
            <a:r>
              <a:rPr lang="en-US" baseline="0"/>
              <a:t> sector </a:t>
            </a:r>
            <a:r>
              <a:rPr lang="en-US"/>
              <a:t>ttm 
operating margin</a:t>
            </a:r>
          </a:p>
        </c:rich>
      </c:tx>
      <c:layout>
        <c:manualLayout>
          <c:xMode val="edge"/>
          <c:yMode val="edge"/>
          <c:x val="0.35606933508311461"/>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lotArea>
      <c:layout/>
      <c:barChart>
        <c:barDir val="col"/>
        <c:grouping val="clustered"/>
        <c:varyColors val="0"/>
        <c:ser>
          <c:idx val="0"/>
          <c:order val="0"/>
          <c:tx>
            <c:strRef>
              <c:f>[1]Sheet1!$W$1</c:f>
              <c:strCache>
                <c:ptCount val="1"/>
                <c:pt idx="0">
                  <c:v>ttm 
operating margin</c:v>
                </c:pt>
              </c:strCache>
            </c:strRef>
          </c:tx>
          <c:spPr>
            <a:solidFill>
              <a:schemeClr val="accent1"/>
            </a:solidFill>
            <a:ln>
              <a:noFill/>
            </a:ln>
            <a:effectLst/>
          </c:spPr>
          <c:invertIfNegative val="0"/>
          <c:dPt>
            <c:idx val="17"/>
            <c:invertIfNegative val="0"/>
            <c:bubble3D val="0"/>
            <c:spPr>
              <a:solidFill>
                <a:srgbClr val="FFC000"/>
              </a:solidFill>
              <a:ln>
                <a:noFill/>
              </a:ln>
              <a:effectLst/>
            </c:spPr>
            <c:extLst>
              <c:ext xmlns:c16="http://schemas.microsoft.com/office/drawing/2014/chart" uri="{C3380CC4-5D6E-409C-BE32-E72D297353CC}">
                <c16:uniqueId val="{00000001-1EBD-4CB1-B59B-0AA45F32091F}"/>
              </c:ext>
            </c:extLst>
          </c:dPt>
          <c:dPt>
            <c:idx val="24"/>
            <c:invertIfNegative val="0"/>
            <c:bubble3D val="0"/>
            <c:spPr>
              <a:solidFill>
                <a:srgbClr val="FFC000"/>
              </a:solidFill>
              <a:ln>
                <a:noFill/>
              </a:ln>
              <a:effectLst/>
            </c:spPr>
            <c:extLst>
              <c:ext xmlns:c16="http://schemas.microsoft.com/office/drawing/2014/chart" uri="{C3380CC4-5D6E-409C-BE32-E72D297353CC}">
                <c16:uniqueId val="{00000002-1EBD-4CB1-B59B-0AA45F32091F}"/>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he-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[1]Sheet1!$A$2:$A$26</c:f>
              <c:strCache>
                <c:ptCount val="25"/>
                <c:pt idx="0">
                  <c:v>BLBD</c:v>
                </c:pt>
                <c:pt idx="1">
                  <c:v>PCAR</c:v>
                </c:pt>
                <c:pt idx="2">
                  <c:v>DE</c:v>
                </c:pt>
                <c:pt idx="3">
                  <c:v>TEX</c:v>
                </c:pt>
                <c:pt idx="4">
                  <c:v>OSK</c:v>
                </c:pt>
                <c:pt idx="5">
                  <c:v>HY</c:v>
                </c:pt>
                <c:pt idx="6">
                  <c:v>AGCO</c:v>
                </c:pt>
                <c:pt idx="7">
                  <c:v>REVG</c:v>
                </c:pt>
                <c:pt idx="8">
                  <c:v>CAT</c:v>
                </c:pt>
                <c:pt idx="9">
                  <c:v>ALG</c:v>
                </c:pt>
                <c:pt idx="10">
                  <c:v>MTW</c:v>
                </c:pt>
                <c:pt idx="11">
                  <c:v>CMCO</c:v>
                </c:pt>
                <c:pt idx="12">
                  <c:v>MNTX</c:v>
                </c:pt>
                <c:pt idx="13">
                  <c:v>GENC</c:v>
                </c:pt>
                <c:pt idx="14">
                  <c:v>WNC</c:v>
                </c:pt>
                <c:pt idx="15">
                  <c:v>LNN</c:v>
                </c:pt>
                <c:pt idx="16">
                  <c:v>TWI</c:v>
                </c:pt>
                <c:pt idx="17">
                  <c:v>VITL</c:v>
                </c:pt>
                <c:pt idx="18">
                  <c:v>DOLE</c:v>
                </c:pt>
                <c:pt idx="19">
                  <c:v>LMNR</c:v>
                </c:pt>
                <c:pt idx="20">
                  <c:v>AGRO</c:v>
                </c:pt>
                <c:pt idx="21">
                  <c:v>ADM</c:v>
                </c:pt>
                <c:pt idx="22">
                  <c:v>BG</c:v>
                </c:pt>
                <c:pt idx="23">
                  <c:v>LND</c:v>
                </c:pt>
                <c:pt idx="24">
                  <c:v>CALM</c:v>
                </c:pt>
              </c:strCache>
            </c:strRef>
          </c:cat>
          <c:val>
            <c:numRef>
              <c:f>[1]Sheet1!$W$2:$W$26</c:f>
              <c:numCache>
                <c:formatCode>General</c:formatCode>
                <c:ptCount val="25"/>
                <c:pt idx="0">
                  <c:v>0.11935999999999999</c:v>
                </c:pt>
                <c:pt idx="1">
                  <c:v>0.15578</c:v>
                </c:pt>
                <c:pt idx="2">
                  <c:v>0.19016</c:v>
                </c:pt>
                <c:pt idx="3">
                  <c:v>0.13889000000000001</c:v>
                </c:pt>
                <c:pt idx="4">
                  <c:v>0.11012</c:v>
                </c:pt>
                <c:pt idx="5">
                  <c:v>8.1070006E-2</c:v>
                </c:pt>
                <c:pt idx="6">
                  <c:v>8.8090000000000002E-2</c:v>
                </c:pt>
                <c:pt idx="7">
                  <c:v>6.0749996000000001E-2</c:v>
                </c:pt>
                <c:pt idx="8">
                  <c:v>0.24320998999999999</c:v>
                </c:pt>
                <c:pt idx="9">
                  <c:v>0.10403</c:v>
                </c:pt>
                <c:pt idx="10">
                  <c:v>3.5580000000000001E-2</c:v>
                </c:pt>
                <c:pt idx="11">
                  <c:v>8.473E-2</c:v>
                </c:pt>
                <c:pt idx="12">
                  <c:v>6.6989995999999996E-2</c:v>
                </c:pt>
                <c:pt idx="13">
                  <c:v>7.8E-2</c:v>
                </c:pt>
                <c:pt idx="14">
                  <c:v>8.1290000000000001E-2</c:v>
                </c:pt>
                <c:pt idx="15">
                  <c:v>0.14321998999999999</c:v>
                </c:pt>
                <c:pt idx="16">
                  <c:v>4.2500000000000003E-2</c:v>
                </c:pt>
                <c:pt idx="17">
                  <c:v>0.11628000400000001</c:v>
                </c:pt>
                <c:pt idx="18">
                  <c:v>3.9960000000000002E-2</c:v>
                </c:pt>
                <c:pt idx="19">
                  <c:v>0.15203</c:v>
                </c:pt>
                <c:pt idx="20">
                  <c:v>6.3689999999999997E-2</c:v>
                </c:pt>
                <c:pt idx="21">
                  <c:v>2.2200000000000001E-2</c:v>
                </c:pt>
                <c:pt idx="22">
                  <c:v>2.0920001000000001E-2</c:v>
                </c:pt>
                <c:pt idx="23">
                  <c:v>0.41006999999999999</c:v>
                </c:pt>
                <c:pt idx="24">
                  <c:v>0.20935999999999999</c:v>
                </c:pt>
              </c:numCache>
            </c:numRef>
          </c:val>
          <c:extLst>
            <c:ext xmlns:c16="http://schemas.microsoft.com/office/drawing/2014/chart" uri="{C3380CC4-5D6E-409C-BE32-E72D297353CC}">
              <c16:uniqueId val="{00000000-1EBD-4CB1-B59B-0AA45F32091F}"/>
            </c:ext>
          </c:extLst>
        </c:ser>
        <c:dLbls>
          <c:dLblPos val="outEnd"/>
          <c:showLegendKey val="0"/>
          <c:showVal val="1"/>
          <c:showCatName val="0"/>
          <c:showSerName val="0"/>
          <c:showPercent val="0"/>
          <c:showBubbleSize val="0"/>
        </c:dLbls>
        <c:gapWidth val="219"/>
        <c:overlap val="-27"/>
        <c:axId val="521252656"/>
        <c:axId val="521255536"/>
      </c:barChart>
      <c:catAx>
        <c:axId val="52125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21255536"/>
        <c:crosses val="autoZero"/>
        <c:auto val="1"/>
        <c:lblAlgn val="ctr"/>
        <c:lblOffset val="100"/>
        <c:noMultiLvlLbl val="0"/>
      </c:catAx>
      <c:valAx>
        <c:axId val="52125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21252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image" Target="../media/image2.png"/><Relationship Id="rId18" Type="http://schemas.openxmlformats.org/officeDocument/2006/relationships/chart" Target="../charts/chart18.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17" Type="http://schemas.openxmlformats.org/officeDocument/2006/relationships/chart" Target="../charts/chart17.xml"/><Relationship Id="rId2" Type="http://schemas.openxmlformats.org/officeDocument/2006/relationships/chart" Target="../charts/chart4.xml"/><Relationship Id="rId16" Type="http://schemas.openxmlformats.org/officeDocument/2006/relationships/image" Target="../media/image3.png"/><Relationship Id="rId20" Type="http://schemas.openxmlformats.org/officeDocument/2006/relationships/chart" Target="../charts/chart20.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6.xml"/><Relationship Id="rId10" Type="http://schemas.openxmlformats.org/officeDocument/2006/relationships/chart" Target="../charts/chart12.xml"/><Relationship Id="rId19" Type="http://schemas.openxmlformats.org/officeDocument/2006/relationships/chart" Target="../charts/chart19.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7</xdr:col>
      <xdr:colOff>223837</xdr:colOff>
      <xdr:row>36</xdr:row>
      <xdr:rowOff>152400</xdr:rowOff>
    </xdr:from>
    <xdr:to>
      <xdr:col>15</xdr:col>
      <xdr:colOff>257175</xdr:colOff>
      <xdr:row>53</xdr:row>
      <xdr:rowOff>114300</xdr:rowOff>
    </xdr:to>
    <xdr:graphicFrame macro="">
      <xdr:nvGraphicFramePr>
        <xdr:cNvPr id="3" name="Chart 2">
          <a:extLst>
            <a:ext uri="{FF2B5EF4-FFF2-40B4-BE49-F238E27FC236}">
              <a16:creationId xmlns:a16="http://schemas.microsoft.com/office/drawing/2014/main" id="{95317C5C-EF22-DB70-F2A1-3CD5070B2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304800</xdr:colOff>
      <xdr:row>94</xdr:row>
      <xdr:rowOff>54770</xdr:rowOff>
    </xdr:from>
    <xdr:to>
      <xdr:col>18</xdr:col>
      <xdr:colOff>639793</xdr:colOff>
      <xdr:row>109</xdr:row>
      <xdr:rowOff>162417</xdr:rowOff>
    </xdr:to>
    <xdr:pic>
      <xdr:nvPicPr>
        <xdr:cNvPr id="4" name="Picture 3">
          <a:extLst>
            <a:ext uri="{FF2B5EF4-FFF2-40B4-BE49-F238E27FC236}">
              <a16:creationId xmlns:a16="http://schemas.microsoft.com/office/drawing/2014/main" id="{D678591A-0020-AC55-50E0-F9B3D9F31491}"/>
            </a:ext>
          </a:extLst>
        </xdr:cNvPr>
        <xdr:cNvPicPr>
          <a:picLocks noChangeAspect="1"/>
        </xdr:cNvPicPr>
      </xdr:nvPicPr>
      <xdr:blipFill>
        <a:blip xmlns:r="http://schemas.openxmlformats.org/officeDocument/2006/relationships" r:embed="rId2"/>
        <a:stretch>
          <a:fillRect/>
        </a:stretch>
      </xdr:blipFill>
      <xdr:spPr>
        <a:xfrm>
          <a:off x="6457950" y="18342770"/>
          <a:ext cx="9726643" cy="2965147"/>
        </a:xfrm>
        <a:prstGeom prst="rect">
          <a:avLst/>
        </a:prstGeom>
      </xdr:spPr>
    </xdr:pic>
    <xdr:clientData/>
  </xdr:twoCellAnchor>
  <xdr:twoCellAnchor>
    <xdr:from>
      <xdr:col>7</xdr:col>
      <xdr:colOff>171450</xdr:colOff>
      <xdr:row>137</xdr:row>
      <xdr:rowOff>47625</xdr:rowOff>
    </xdr:from>
    <xdr:to>
      <xdr:col>9</xdr:col>
      <xdr:colOff>285750</xdr:colOff>
      <xdr:row>137</xdr:row>
      <xdr:rowOff>152400</xdr:rowOff>
    </xdr:to>
    <xdr:sp macro="" textlink="">
      <xdr:nvSpPr>
        <xdr:cNvPr id="5" name="Arrow: Right 4">
          <a:extLst>
            <a:ext uri="{FF2B5EF4-FFF2-40B4-BE49-F238E27FC236}">
              <a16:creationId xmlns:a16="http://schemas.microsoft.com/office/drawing/2014/main" id="{0D10922A-68B4-C56F-657C-F77A169A4344}"/>
            </a:ext>
          </a:extLst>
        </xdr:cNvPr>
        <xdr:cNvSpPr/>
      </xdr:nvSpPr>
      <xdr:spPr>
        <a:xfrm>
          <a:off x="6553200" y="26879550"/>
          <a:ext cx="1485900" cy="1047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he-IL" sz="1100"/>
        </a:p>
      </xdr:txBody>
    </xdr:sp>
    <xdr:clientData/>
  </xdr:twoCellAnchor>
  <xdr:twoCellAnchor>
    <xdr:from>
      <xdr:col>5</xdr:col>
      <xdr:colOff>252411</xdr:colOff>
      <xdr:row>61</xdr:row>
      <xdr:rowOff>133349</xdr:rowOff>
    </xdr:from>
    <xdr:to>
      <xdr:col>12</xdr:col>
      <xdr:colOff>390524</xdr:colOff>
      <xdr:row>80</xdr:row>
      <xdr:rowOff>142874</xdr:rowOff>
    </xdr:to>
    <xdr:graphicFrame macro="">
      <xdr:nvGraphicFramePr>
        <xdr:cNvPr id="7" name="Chart 6">
          <a:extLst>
            <a:ext uri="{FF2B5EF4-FFF2-40B4-BE49-F238E27FC236}">
              <a16:creationId xmlns:a16="http://schemas.microsoft.com/office/drawing/2014/main" id="{E58FF613-C7DD-F02C-33C8-331EF6D34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80962</xdr:colOff>
      <xdr:row>83</xdr:row>
      <xdr:rowOff>174171</xdr:rowOff>
    </xdr:from>
    <xdr:to>
      <xdr:col>10</xdr:col>
      <xdr:colOff>538162</xdr:colOff>
      <xdr:row>97</xdr:row>
      <xdr:rowOff>46263</xdr:rowOff>
    </xdr:to>
    <xdr:graphicFrame macro="">
      <xdr:nvGraphicFramePr>
        <xdr:cNvPr id="2" name="Chart 1">
          <a:extLst>
            <a:ext uri="{FF2B5EF4-FFF2-40B4-BE49-F238E27FC236}">
              <a16:creationId xmlns:a16="http://schemas.microsoft.com/office/drawing/2014/main" id="{49FA12CF-CD31-095B-B1C7-437D2DFE8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643619</xdr:colOff>
      <xdr:row>83</xdr:row>
      <xdr:rowOff>183697</xdr:rowOff>
    </xdr:from>
    <xdr:to>
      <xdr:col>17</xdr:col>
      <xdr:colOff>420462</xdr:colOff>
      <xdr:row>97</xdr:row>
      <xdr:rowOff>55789</xdr:rowOff>
    </xdr:to>
    <xdr:graphicFrame macro="">
      <xdr:nvGraphicFramePr>
        <xdr:cNvPr id="3" name="Chart 2">
          <a:extLst>
            <a:ext uri="{FF2B5EF4-FFF2-40B4-BE49-F238E27FC236}">
              <a16:creationId xmlns:a16="http://schemas.microsoft.com/office/drawing/2014/main" id="{5EB9179E-C33C-456D-838E-417C41865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102</xdr:row>
      <xdr:rowOff>85725</xdr:rowOff>
    </xdr:from>
    <xdr:to>
      <xdr:col>26</xdr:col>
      <xdr:colOff>400050</xdr:colOff>
      <xdr:row>107</xdr:row>
      <xdr:rowOff>66675</xdr:rowOff>
    </xdr:to>
    <xdr:sp macro="" textlink="">
      <xdr:nvSpPr>
        <xdr:cNvPr id="4" name="Minus Sign 3">
          <a:extLst>
            <a:ext uri="{FF2B5EF4-FFF2-40B4-BE49-F238E27FC236}">
              <a16:creationId xmlns:a16="http://schemas.microsoft.com/office/drawing/2014/main" id="{2E4670B1-1687-1E82-D414-B84692C1A35E}"/>
            </a:ext>
          </a:extLst>
        </xdr:cNvPr>
        <xdr:cNvSpPr/>
      </xdr:nvSpPr>
      <xdr:spPr>
        <a:xfrm>
          <a:off x="190500" y="8372475"/>
          <a:ext cx="18078450" cy="933450"/>
        </a:xfrm>
        <a:prstGeom prst="mathMinus">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he-IL" sz="1100"/>
        </a:p>
      </xdr:txBody>
    </xdr:sp>
    <xdr:clientData/>
  </xdr:twoCellAnchor>
  <xdr:twoCellAnchor>
    <xdr:from>
      <xdr:col>22</xdr:col>
      <xdr:colOff>133350</xdr:colOff>
      <xdr:row>100</xdr:row>
      <xdr:rowOff>171450</xdr:rowOff>
    </xdr:from>
    <xdr:to>
      <xdr:col>23</xdr:col>
      <xdr:colOff>471488</xdr:colOff>
      <xdr:row>108</xdr:row>
      <xdr:rowOff>128588</xdr:rowOff>
    </xdr:to>
    <xdr:sp macro="" textlink="">
      <xdr:nvSpPr>
        <xdr:cNvPr id="5" name="Minus Sign 4">
          <a:extLst>
            <a:ext uri="{FF2B5EF4-FFF2-40B4-BE49-F238E27FC236}">
              <a16:creationId xmlns:a16="http://schemas.microsoft.com/office/drawing/2014/main" id="{6455D937-73EC-4916-A304-4F6FC008CBB2}"/>
            </a:ext>
          </a:extLst>
        </xdr:cNvPr>
        <xdr:cNvSpPr/>
      </xdr:nvSpPr>
      <xdr:spPr>
        <a:xfrm rot="16200000">
          <a:off x="15030450" y="8496300"/>
          <a:ext cx="1481138" cy="1023938"/>
        </a:xfrm>
        <a:prstGeom prst="mathMinus">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he-IL" sz="1100"/>
        </a:p>
      </xdr:txBody>
    </xdr:sp>
    <xdr:clientData/>
  </xdr:twoCellAnchor>
  <xdr:twoCellAnchor>
    <xdr:from>
      <xdr:col>2</xdr:col>
      <xdr:colOff>542926</xdr:colOff>
      <xdr:row>100</xdr:row>
      <xdr:rowOff>142875</xdr:rowOff>
    </xdr:from>
    <xdr:to>
      <xdr:col>3</xdr:col>
      <xdr:colOff>966789</xdr:colOff>
      <xdr:row>108</xdr:row>
      <xdr:rowOff>100013</xdr:rowOff>
    </xdr:to>
    <xdr:sp macro="" textlink="">
      <xdr:nvSpPr>
        <xdr:cNvPr id="6" name="Minus Sign 5">
          <a:extLst>
            <a:ext uri="{FF2B5EF4-FFF2-40B4-BE49-F238E27FC236}">
              <a16:creationId xmlns:a16="http://schemas.microsoft.com/office/drawing/2014/main" id="{DA5276EC-548F-447F-A4CE-8BB40B23B380}"/>
            </a:ext>
          </a:extLst>
        </xdr:cNvPr>
        <xdr:cNvSpPr/>
      </xdr:nvSpPr>
      <xdr:spPr>
        <a:xfrm rot="16200000">
          <a:off x="1976439" y="19873912"/>
          <a:ext cx="1481138" cy="1376363"/>
        </a:xfrm>
        <a:prstGeom prst="mathMinus">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he-IL" sz="1100"/>
        </a:p>
      </xdr:txBody>
    </xdr:sp>
    <xdr:clientData/>
  </xdr:twoCellAnchor>
  <xdr:twoCellAnchor>
    <xdr:from>
      <xdr:col>2</xdr:col>
      <xdr:colOff>485775</xdr:colOff>
      <xdr:row>108</xdr:row>
      <xdr:rowOff>47624</xdr:rowOff>
    </xdr:from>
    <xdr:to>
      <xdr:col>5</xdr:col>
      <xdr:colOff>38100</xdr:colOff>
      <xdr:row>109</xdr:row>
      <xdr:rowOff>104775</xdr:rowOff>
    </xdr:to>
    <xdr:sp macro="" textlink="">
      <xdr:nvSpPr>
        <xdr:cNvPr id="7" name="Rectangle 6">
          <a:extLst>
            <a:ext uri="{FF2B5EF4-FFF2-40B4-BE49-F238E27FC236}">
              <a16:creationId xmlns:a16="http://schemas.microsoft.com/office/drawing/2014/main" id="{AD39A9FC-BD0D-C3BF-B518-1E68A3D4AA81}"/>
            </a:ext>
          </a:extLst>
        </xdr:cNvPr>
        <xdr:cNvSpPr/>
      </xdr:nvSpPr>
      <xdr:spPr>
        <a:xfrm>
          <a:off x="1857375" y="9667874"/>
          <a:ext cx="1647825" cy="247651"/>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400" b="1">
              <a:solidFill>
                <a:schemeClr val="tx1"/>
              </a:solidFill>
            </a:rPr>
            <a:t>egg</a:t>
          </a:r>
          <a:r>
            <a:rPr lang="en-US" sz="1400" b="1" baseline="0">
              <a:solidFill>
                <a:schemeClr val="tx1"/>
              </a:solidFill>
            </a:rPr>
            <a:t> based revenue</a:t>
          </a:r>
          <a:endParaRPr lang="he-IL" sz="1400" b="1">
            <a:solidFill>
              <a:schemeClr val="tx1"/>
            </a:solidFill>
          </a:endParaRPr>
        </a:p>
      </xdr:txBody>
    </xdr:sp>
    <xdr:clientData/>
  </xdr:twoCellAnchor>
  <xdr:twoCellAnchor>
    <xdr:from>
      <xdr:col>6</xdr:col>
      <xdr:colOff>609600</xdr:colOff>
      <xdr:row>97</xdr:row>
      <xdr:rowOff>114300</xdr:rowOff>
    </xdr:from>
    <xdr:to>
      <xdr:col>11</xdr:col>
      <xdr:colOff>57150</xdr:colOff>
      <xdr:row>100</xdr:row>
      <xdr:rowOff>152401</xdr:rowOff>
    </xdr:to>
    <xdr:sp macro="" textlink="">
      <xdr:nvSpPr>
        <xdr:cNvPr id="8" name="Rectangle 7">
          <a:extLst>
            <a:ext uri="{FF2B5EF4-FFF2-40B4-BE49-F238E27FC236}">
              <a16:creationId xmlns:a16="http://schemas.microsoft.com/office/drawing/2014/main" id="{68DF9AE7-BC12-48D6-924F-4830E8E20198}"/>
            </a:ext>
          </a:extLst>
        </xdr:cNvPr>
        <xdr:cNvSpPr/>
      </xdr:nvSpPr>
      <xdr:spPr>
        <a:xfrm>
          <a:off x="4762500" y="7639050"/>
          <a:ext cx="2876550" cy="609601"/>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2000" b="1">
              <a:solidFill>
                <a:schemeClr val="tx1"/>
              </a:solidFill>
            </a:rPr>
            <a:t>new ethical products</a:t>
          </a:r>
          <a:endParaRPr lang="he-IL" sz="2000" b="1">
            <a:solidFill>
              <a:schemeClr val="tx1"/>
            </a:solidFill>
          </a:endParaRPr>
        </a:p>
      </xdr:txBody>
    </xdr:sp>
    <xdr:clientData/>
  </xdr:twoCellAnchor>
  <xdr:twoCellAnchor>
    <xdr:from>
      <xdr:col>12</xdr:col>
      <xdr:colOff>438150</xdr:colOff>
      <xdr:row>101</xdr:row>
      <xdr:rowOff>19050</xdr:rowOff>
    </xdr:from>
    <xdr:to>
      <xdr:col>14</xdr:col>
      <xdr:colOff>90488</xdr:colOff>
      <xdr:row>108</xdr:row>
      <xdr:rowOff>166688</xdr:rowOff>
    </xdr:to>
    <xdr:sp macro="" textlink="">
      <xdr:nvSpPr>
        <xdr:cNvPr id="10" name="Minus Sign 9">
          <a:extLst>
            <a:ext uri="{FF2B5EF4-FFF2-40B4-BE49-F238E27FC236}">
              <a16:creationId xmlns:a16="http://schemas.microsoft.com/office/drawing/2014/main" id="{DCD81771-9220-40C2-9818-336C6663D747}"/>
            </a:ext>
          </a:extLst>
        </xdr:cNvPr>
        <xdr:cNvSpPr/>
      </xdr:nvSpPr>
      <xdr:spPr>
        <a:xfrm rot="16200000">
          <a:off x="8477250" y="8534400"/>
          <a:ext cx="1481138" cy="1023938"/>
        </a:xfrm>
        <a:prstGeom prst="mathMinus">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he-IL" sz="1100"/>
        </a:p>
      </xdr:txBody>
    </xdr:sp>
    <xdr:clientData/>
  </xdr:twoCellAnchor>
  <xdr:twoCellAnchor>
    <xdr:from>
      <xdr:col>12</xdr:col>
      <xdr:colOff>95250</xdr:colOff>
      <xdr:row>108</xdr:row>
      <xdr:rowOff>114300</xdr:rowOff>
    </xdr:from>
    <xdr:to>
      <xdr:col>14</xdr:col>
      <xdr:colOff>561975</xdr:colOff>
      <xdr:row>109</xdr:row>
      <xdr:rowOff>171450</xdr:rowOff>
    </xdr:to>
    <xdr:sp macro="" textlink="">
      <xdr:nvSpPr>
        <xdr:cNvPr id="11" name="Rectangle 10">
          <a:extLst>
            <a:ext uri="{FF2B5EF4-FFF2-40B4-BE49-F238E27FC236}">
              <a16:creationId xmlns:a16="http://schemas.microsoft.com/office/drawing/2014/main" id="{669DF2A0-53EB-4A8D-942D-D78FDCE3DA89}"/>
            </a:ext>
          </a:extLst>
        </xdr:cNvPr>
        <xdr:cNvSpPr/>
      </xdr:nvSpPr>
      <xdr:spPr>
        <a:xfrm>
          <a:off x="8362950" y="9734550"/>
          <a:ext cx="1838325" cy="2476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400" b="1">
              <a:solidFill>
                <a:schemeClr val="tx1"/>
              </a:solidFill>
            </a:rPr>
            <a:t>going international</a:t>
          </a:r>
          <a:endParaRPr lang="he-IL" sz="1400" b="1">
            <a:solidFill>
              <a:schemeClr val="tx1"/>
            </a:solidFill>
          </a:endParaRPr>
        </a:p>
      </xdr:txBody>
    </xdr:sp>
    <xdr:clientData/>
  </xdr:twoCellAnchor>
  <xdr:twoCellAnchor>
    <xdr:from>
      <xdr:col>22</xdr:col>
      <xdr:colOff>95251</xdr:colOff>
      <xdr:row>108</xdr:row>
      <xdr:rowOff>47625</xdr:rowOff>
    </xdr:from>
    <xdr:to>
      <xdr:col>23</xdr:col>
      <xdr:colOff>390525</xdr:colOff>
      <xdr:row>109</xdr:row>
      <xdr:rowOff>104775</xdr:rowOff>
    </xdr:to>
    <xdr:sp macro="" textlink="">
      <xdr:nvSpPr>
        <xdr:cNvPr id="12" name="Rectangle 11">
          <a:extLst>
            <a:ext uri="{FF2B5EF4-FFF2-40B4-BE49-F238E27FC236}">
              <a16:creationId xmlns:a16="http://schemas.microsoft.com/office/drawing/2014/main" id="{EA268F60-B8A6-4780-A173-C9D494692F28}"/>
            </a:ext>
          </a:extLst>
        </xdr:cNvPr>
        <xdr:cNvSpPr/>
      </xdr:nvSpPr>
      <xdr:spPr>
        <a:xfrm>
          <a:off x="15220951" y="9667875"/>
          <a:ext cx="981074" cy="2476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400" b="1">
              <a:solidFill>
                <a:schemeClr val="tx1"/>
              </a:solidFill>
            </a:rPr>
            <a:t>maturing</a:t>
          </a:r>
          <a:endParaRPr lang="he-IL" sz="1400" b="1">
            <a:solidFill>
              <a:schemeClr val="tx1"/>
            </a:solidFill>
          </a:endParaRPr>
        </a:p>
      </xdr:txBody>
    </xdr:sp>
    <xdr:clientData/>
  </xdr:twoCellAnchor>
  <xdr:twoCellAnchor>
    <xdr:from>
      <xdr:col>3</xdr:col>
      <xdr:colOff>447675</xdr:colOff>
      <xdr:row>100</xdr:row>
      <xdr:rowOff>19050</xdr:rowOff>
    </xdr:from>
    <xdr:to>
      <xdr:col>4</xdr:col>
      <xdr:colOff>19050</xdr:colOff>
      <xdr:row>101</xdr:row>
      <xdr:rowOff>76201</xdr:rowOff>
    </xdr:to>
    <xdr:sp macro="" textlink="">
      <xdr:nvSpPr>
        <xdr:cNvPr id="13" name="Rectangle 12">
          <a:extLst>
            <a:ext uri="{FF2B5EF4-FFF2-40B4-BE49-F238E27FC236}">
              <a16:creationId xmlns:a16="http://schemas.microsoft.com/office/drawing/2014/main" id="{06204FF2-A3C4-48B4-AB76-D4CA53A4ED57}"/>
            </a:ext>
          </a:extLst>
        </xdr:cNvPr>
        <xdr:cNvSpPr/>
      </xdr:nvSpPr>
      <xdr:spPr>
        <a:xfrm>
          <a:off x="2543175" y="8115300"/>
          <a:ext cx="257175" cy="247651"/>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400" b="1">
              <a:solidFill>
                <a:schemeClr val="tx1"/>
              </a:solidFill>
            </a:rPr>
            <a:t>0</a:t>
          </a:r>
          <a:endParaRPr lang="he-IL" sz="1400" b="1">
            <a:solidFill>
              <a:schemeClr val="tx1"/>
            </a:solidFill>
          </a:endParaRPr>
        </a:p>
      </xdr:txBody>
    </xdr:sp>
    <xdr:clientData/>
  </xdr:twoCellAnchor>
  <xdr:twoCellAnchor>
    <xdr:from>
      <xdr:col>22</xdr:col>
      <xdr:colOff>333375</xdr:colOff>
      <xdr:row>100</xdr:row>
      <xdr:rowOff>1</xdr:rowOff>
    </xdr:from>
    <xdr:to>
      <xdr:col>23</xdr:col>
      <xdr:colOff>190500</xdr:colOff>
      <xdr:row>101</xdr:row>
      <xdr:rowOff>123825</xdr:rowOff>
    </xdr:to>
    <xdr:sp macro="" textlink="">
      <xdr:nvSpPr>
        <xdr:cNvPr id="14" name="Rectangle 13">
          <a:extLst>
            <a:ext uri="{FF2B5EF4-FFF2-40B4-BE49-F238E27FC236}">
              <a16:creationId xmlns:a16="http://schemas.microsoft.com/office/drawing/2014/main" id="{FCA3DE52-EE65-45E0-BA3D-D4E5A6E7FC9E}"/>
            </a:ext>
          </a:extLst>
        </xdr:cNvPr>
        <xdr:cNvSpPr/>
      </xdr:nvSpPr>
      <xdr:spPr>
        <a:xfrm>
          <a:off x="15459075" y="8096251"/>
          <a:ext cx="542925" cy="314324"/>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400" b="1">
              <a:solidFill>
                <a:schemeClr val="tx1"/>
              </a:solidFill>
            </a:rPr>
            <a:t>20</a:t>
          </a:r>
          <a:endParaRPr lang="he-IL" sz="1400" b="1">
            <a:solidFill>
              <a:schemeClr val="tx1"/>
            </a:solidFill>
          </a:endParaRPr>
        </a:p>
      </xdr:txBody>
    </xdr:sp>
    <xdr:clientData/>
  </xdr:twoCellAnchor>
  <xdr:twoCellAnchor>
    <xdr:from>
      <xdr:col>3</xdr:col>
      <xdr:colOff>361950</xdr:colOff>
      <xdr:row>114</xdr:row>
      <xdr:rowOff>85725</xdr:rowOff>
    </xdr:from>
    <xdr:to>
      <xdr:col>23</xdr:col>
      <xdr:colOff>161925</xdr:colOff>
      <xdr:row>114</xdr:row>
      <xdr:rowOff>104775</xdr:rowOff>
    </xdr:to>
    <xdr:cxnSp macro="">
      <xdr:nvCxnSpPr>
        <xdr:cNvPr id="25" name="Straight Arrow Connector 24">
          <a:extLst>
            <a:ext uri="{FF2B5EF4-FFF2-40B4-BE49-F238E27FC236}">
              <a16:creationId xmlns:a16="http://schemas.microsoft.com/office/drawing/2014/main" id="{F88D4E41-7AA7-4B80-A74D-93300497FF02}"/>
            </a:ext>
          </a:extLst>
        </xdr:cNvPr>
        <xdr:cNvCxnSpPr/>
      </xdr:nvCxnSpPr>
      <xdr:spPr>
        <a:xfrm flipH="1" flipV="1">
          <a:off x="2457450" y="10848975"/>
          <a:ext cx="13515975" cy="19050"/>
        </a:xfrm>
        <a:prstGeom prst="straightConnector1">
          <a:avLst/>
        </a:prstGeom>
        <a:ln w="44450">
          <a:solidFill>
            <a:srgbClr val="00206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304800</xdr:colOff>
      <xdr:row>112</xdr:row>
      <xdr:rowOff>114300</xdr:rowOff>
    </xdr:from>
    <xdr:to>
      <xdr:col>6</xdr:col>
      <xdr:colOff>266700</xdr:colOff>
      <xdr:row>113</xdr:row>
      <xdr:rowOff>161925</xdr:rowOff>
    </xdr:to>
    <xdr:sp macro="" textlink="">
      <xdr:nvSpPr>
        <xdr:cNvPr id="26" name="Rectangle 25">
          <a:extLst>
            <a:ext uri="{FF2B5EF4-FFF2-40B4-BE49-F238E27FC236}">
              <a16:creationId xmlns:a16="http://schemas.microsoft.com/office/drawing/2014/main" id="{81AF2634-29BB-476A-A887-804D9B6179CC}"/>
            </a:ext>
          </a:extLst>
        </xdr:cNvPr>
        <xdr:cNvSpPr/>
      </xdr:nvSpPr>
      <xdr:spPr>
        <a:xfrm>
          <a:off x="2400300" y="10496550"/>
          <a:ext cx="2019300" cy="23812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400" b="1">
              <a:solidFill>
                <a:schemeClr val="tx1"/>
              </a:solidFill>
            </a:rPr>
            <a:t>new ethical products</a:t>
          </a:r>
          <a:endParaRPr lang="he-IL" sz="1400" b="1">
            <a:solidFill>
              <a:schemeClr val="tx1"/>
            </a:solidFill>
          </a:endParaRPr>
        </a:p>
      </xdr:txBody>
    </xdr:sp>
    <xdr:clientData/>
  </xdr:twoCellAnchor>
  <xdr:twoCellAnchor>
    <xdr:from>
      <xdr:col>13</xdr:col>
      <xdr:colOff>142875</xdr:colOff>
      <xdr:row>117</xdr:row>
      <xdr:rowOff>28575</xdr:rowOff>
    </xdr:from>
    <xdr:to>
      <xdr:col>23</xdr:col>
      <xdr:colOff>219075</xdr:colOff>
      <xdr:row>117</xdr:row>
      <xdr:rowOff>38100</xdr:rowOff>
    </xdr:to>
    <xdr:cxnSp macro="">
      <xdr:nvCxnSpPr>
        <xdr:cNvPr id="28" name="Straight Arrow Connector 27">
          <a:extLst>
            <a:ext uri="{FF2B5EF4-FFF2-40B4-BE49-F238E27FC236}">
              <a16:creationId xmlns:a16="http://schemas.microsoft.com/office/drawing/2014/main" id="{BFBBA1F2-4EB2-4E4E-849D-E615A8FFCB10}"/>
            </a:ext>
          </a:extLst>
        </xdr:cNvPr>
        <xdr:cNvCxnSpPr/>
      </xdr:nvCxnSpPr>
      <xdr:spPr>
        <a:xfrm flipH="1">
          <a:off x="9096375" y="11363325"/>
          <a:ext cx="6934200" cy="9525"/>
        </a:xfrm>
        <a:prstGeom prst="straightConnector1">
          <a:avLst/>
        </a:prstGeom>
        <a:ln w="44450">
          <a:solidFill>
            <a:srgbClr val="00206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115</xdr:row>
      <xdr:rowOff>19050</xdr:rowOff>
    </xdr:from>
    <xdr:to>
      <xdr:col>15</xdr:col>
      <xdr:colOff>514350</xdr:colOff>
      <xdr:row>116</xdr:row>
      <xdr:rowOff>76200</xdr:rowOff>
    </xdr:to>
    <xdr:sp macro="" textlink="">
      <xdr:nvSpPr>
        <xdr:cNvPr id="30" name="Rectangle 29">
          <a:extLst>
            <a:ext uri="{FF2B5EF4-FFF2-40B4-BE49-F238E27FC236}">
              <a16:creationId xmlns:a16="http://schemas.microsoft.com/office/drawing/2014/main" id="{C859486D-A1F5-4277-8543-16651D0D31CA}"/>
            </a:ext>
          </a:extLst>
        </xdr:cNvPr>
        <xdr:cNvSpPr/>
      </xdr:nvSpPr>
      <xdr:spPr>
        <a:xfrm>
          <a:off x="9001125" y="10972800"/>
          <a:ext cx="1838325" cy="2476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400" b="1">
              <a:solidFill>
                <a:schemeClr val="tx1"/>
              </a:solidFill>
            </a:rPr>
            <a:t>going international</a:t>
          </a:r>
          <a:endParaRPr lang="he-IL" sz="1400" b="1">
            <a:solidFill>
              <a:schemeClr val="tx1"/>
            </a:solidFill>
          </a:endParaRPr>
        </a:p>
      </xdr:txBody>
    </xdr:sp>
    <xdr:clientData/>
  </xdr:twoCellAnchor>
  <xdr:twoCellAnchor>
    <xdr:from>
      <xdr:col>18</xdr:col>
      <xdr:colOff>361950</xdr:colOff>
      <xdr:row>119</xdr:row>
      <xdr:rowOff>171450</xdr:rowOff>
    </xdr:from>
    <xdr:to>
      <xdr:col>23</xdr:col>
      <xdr:colOff>266700</xdr:colOff>
      <xdr:row>119</xdr:row>
      <xdr:rowOff>180975</xdr:rowOff>
    </xdr:to>
    <xdr:cxnSp macro="">
      <xdr:nvCxnSpPr>
        <xdr:cNvPr id="31" name="Straight Arrow Connector 30">
          <a:extLst>
            <a:ext uri="{FF2B5EF4-FFF2-40B4-BE49-F238E27FC236}">
              <a16:creationId xmlns:a16="http://schemas.microsoft.com/office/drawing/2014/main" id="{1541C2A4-8FAB-42B2-8559-40DBC0BB0E05}"/>
            </a:ext>
          </a:extLst>
        </xdr:cNvPr>
        <xdr:cNvCxnSpPr/>
      </xdr:nvCxnSpPr>
      <xdr:spPr>
        <a:xfrm flipH="1">
          <a:off x="12744450" y="11887200"/>
          <a:ext cx="3333750" cy="9525"/>
        </a:xfrm>
        <a:prstGeom prst="straightConnector1">
          <a:avLst/>
        </a:prstGeom>
        <a:ln w="44450">
          <a:solidFill>
            <a:srgbClr val="00206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219075</xdr:colOff>
      <xdr:row>117</xdr:row>
      <xdr:rowOff>161925</xdr:rowOff>
    </xdr:from>
    <xdr:to>
      <xdr:col>21</xdr:col>
      <xdr:colOff>485775</xdr:colOff>
      <xdr:row>119</xdr:row>
      <xdr:rowOff>28575</xdr:rowOff>
    </xdr:to>
    <xdr:sp macro="" textlink="">
      <xdr:nvSpPr>
        <xdr:cNvPr id="33" name="Rectangle 32">
          <a:extLst>
            <a:ext uri="{FF2B5EF4-FFF2-40B4-BE49-F238E27FC236}">
              <a16:creationId xmlns:a16="http://schemas.microsoft.com/office/drawing/2014/main" id="{B055B00D-0C8E-4A91-8BD7-CCFB201DD231}"/>
            </a:ext>
          </a:extLst>
        </xdr:cNvPr>
        <xdr:cNvSpPr/>
      </xdr:nvSpPr>
      <xdr:spPr>
        <a:xfrm>
          <a:off x="12601575" y="11496675"/>
          <a:ext cx="2324100" cy="24765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400" b="1">
              <a:solidFill>
                <a:schemeClr val="tx1"/>
              </a:solidFill>
            </a:rPr>
            <a:t>slowing down &amp;</a:t>
          </a:r>
          <a:r>
            <a:rPr lang="en-US" sz="1400" b="1" baseline="0">
              <a:solidFill>
                <a:schemeClr val="tx1"/>
              </a:solidFill>
            </a:rPr>
            <a:t> maturing</a:t>
          </a:r>
          <a:endParaRPr lang="he-IL" sz="1400" b="1">
            <a:solidFill>
              <a:schemeClr val="tx1"/>
            </a:solidFill>
          </a:endParaRPr>
        </a:p>
      </xdr:txBody>
    </xdr:sp>
    <xdr:clientData/>
  </xdr:twoCellAnchor>
  <xdr:twoCellAnchor>
    <xdr:from>
      <xdr:col>3</xdr:col>
      <xdr:colOff>400050</xdr:colOff>
      <xdr:row>128</xdr:row>
      <xdr:rowOff>123825</xdr:rowOff>
    </xdr:from>
    <xdr:to>
      <xdr:col>18</xdr:col>
      <xdr:colOff>85725</xdr:colOff>
      <xdr:row>128</xdr:row>
      <xdr:rowOff>133350</xdr:rowOff>
    </xdr:to>
    <xdr:cxnSp macro="">
      <xdr:nvCxnSpPr>
        <xdr:cNvPr id="34" name="Straight Arrow Connector 33">
          <a:extLst>
            <a:ext uri="{FF2B5EF4-FFF2-40B4-BE49-F238E27FC236}">
              <a16:creationId xmlns:a16="http://schemas.microsoft.com/office/drawing/2014/main" id="{5DB2A352-9537-48CF-9DD0-A591D1C892E3}"/>
            </a:ext>
          </a:extLst>
        </xdr:cNvPr>
        <xdr:cNvCxnSpPr/>
      </xdr:nvCxnSpPr>
      <xdr:spPr>
        <a:xfrm flipH="1">
          <a:off x="2495550" y="13554075"/>
          <a:ext cx="9972675" cy="9525"/>
        </a:xfrm>
        <a:prstGeom prst="straightConnector1">
          <a:avLst/>
        </a:prstGeom>
        <a:ln w="44450">
          <a:solidFill>
            <a:srgbClr val="00206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200025</xdr:colOff>
      <xdr:row>126</xdr:row>
      <xdr:rowOff>123825</xdr:rowOff>
    </xdr:from>
    <xdr:to>
      <xdr:col>6</xdr:col>
      <xdr:colOff>161925</xdr:colOff>
      <xdr:row>127</xdr:row>
      <xdr:rowOff>171450</xdr:rowOff>
    </xdr:to>
    <xdr:sp macro="" textlink="">
      <xdr:nvSpPr>
        <xdr:cNvPr id="36" name="Rectangle 35">
          <a:extLst>
            <a:ext uri="{FF2B5EF4-FFF2-40B4-BE49-F238E27FC236}">
              <a16:creationId xmlns:a16="http://schemas.microsoft.com/office/drawing/2014/main" id="{103AFD68-7F06-4588-B9CC-9F50C383BF9E}"/>
            </a:ext>
          </a:extLst>
        </xdr:cNvPr>
        <xdr:cNvSpPr/>
      </xdr:nvSpPr>
      <xdr:spPr>
        <a:xfrm>
          <a:off x="2295525" y="13173075"/>
          <a:ext cx="2019300" cy="23812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400" b="1">
              <a:solidFill>
                <a:schemeClr val="tx1"/>
              </a:solidFill>
            </a:rPr>
            <a:t>new ethical products</a:t>
          </a:r>
          <a:endParaRPr lang="he-IL" sz="1400" b="1">
            <a:solidFill>
              <a:schemeClr val="tx1"/>
            </a:solidFill>
          </a:endParaRPr>
        </a:p>
      </xdr:txBody>
    </xdr:sp>
    <xdr:clientData/>
  </xdr:twoCellAnchor>
  <xdr:twoCellAnchor>
    <xdr:from>
      <xdr:col>12</xdr:col>
      <xdr:colOff>295275</xdr:colOff>
      <xdr:row>131</xdr:row>
      <xdr:rowOff>142875</xdr:rowOff>
    </xdr:from>
    <xdr:to>
      <xdr:col>18</xdr:col>
      <xdr:colOff>114300</xdr:colOff>
      <xdr:row>131</xdr:row>
      <xdr:rowOff>152400</xdr:rowOff>
    </xdr:to>
    <xdr:cxnSp macro="">
      <xdr:nvCxnSpPr>
        <xdr:cNvPr id="39" name="Straight Arrow Connector 38">
          <a:extLst>
            <a:ext uri="{FF2B5EF4-FFF2-40B4-BE49-F238E27FC236}">
              <a16:creationId xmlns:a16="http://schemas.microsoft.com/office/drawing/2014/main" id="{3EA8FDF5-E401-4147-B0BA-2B2D7B5D8D91}"/>
            </a:ext>
          </a:extLst>
        </xdr:cNvPr>
        <xdr:cNvCxnSpPr/>
      </xdr:nvCxnSpPr>
      <xdr:spPr>
        <a:xfrm flipH="1" flipV="1">
          <a:off x="8562975" y="14144625"/>
          <a:ext cx="3933825" cy="9525"/>
        </a:xfrm>
        <a:prstGeom prst="straightConnector1">
          <a:avLst/>
        </a:prstGeom>
        <a:ln w="44450">
          <a:solidFill>
            <a:srgbClr val="00206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95249</xdr:colOff>
      <xdr:row>129</xdr:row>
      <xdr:rowOff>142875</xdr:rowOff>
    </xdr:from>
    <xdr:to>
      <xdr:col>15</xdr:col>
      <xdr:colOff>352424</xdr:colOff>
      <xdr:row>131</xdr:row>
      <xdr:rowOff>0</xdr:rowOff>
    </xdr:to>
    <xdr:sp macro="" textlink="">
      <xdr:nvSpPr>
        <xdr:cNvPr id="41" name="Rectangle 40">
          <a:extLst>
            <a:ext uri="{FF2B5EF4-FFF2-40B4-BE49-F238E27FC236}">
              <a16:creationId xmlns:a16="http://schemas.microsoft.com/office/drawing/2014/main" id="{19D25C57-565A-4C3D-8ED7-DA054D2D64BD}"/>
            </a:ext>
          </a:extLst>
        </xdr:cNvPr>
        <xdr:cNvSpPr/>
      </xdr:nvSpPr>
      <xdr:spPr>
        <a:xfrm>
          <a:off x="8362949" y="13763625"/>
          <a:ext cx="2314575" cy="23812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400" b="1">
              <a:solidFill>
                <a:schemeClr val="tx1"/>
              </a:solidFill>
            </a:rPr>
            <a:t>slowing down &amp;</a:t>
          </a:r>
          <a:r>
            <a:rPr lang="en-US" sz="1400" b="1" baseline="0">
              <a:solidFill>
                <a:schemeClr val="tx1"/>
              </a:solidFill>
            </a:rPr>
            <a:t> maturing</a:t>
          </a:r>
          <a:endParaRPr lang="he-IL" sz="1400" b="1">
            <a:solidFill>
              <a:schemeClr val="tx1"/>
            </a:solidFill>
          </a:endParaRPr>
        </a:p>
      </xdr:txBody>
    </xdr:sp>
    <xdr:clientData/>
  </xdr:twoCellAnchor>
  <xdr:twoCellAnchor>
    <xdr:from>
      <xdr:col>3</xdr:col>
      <xdr:colOff>381000</xdr:colOff>
      <xdr:row>140</xdr:row>
      <xdr:rowOff>85725</xdr:rowOff>
    </xdr:from>
    <xdr:to>
      <xdr:col>13</xdr:col>
      <xdr:colOff>0</xdr:colOff>
      <xdr:row>140</xdr:row>
      <xdr:rowOff>133350</xdr:rowOff>
    </xdr:to>
    <xdr:cxnSp macro="">
      <xdr:nvCxnSpPr>
        <xdr:cNvPr id="43" name="Straight Arrow Connector 42">
          <a:extLst>
            <a:ext uri="{FF2B5EF4-FFF2-40B4-BE49-F238E27FC236}">
              <a16:creationId xmlns:a16="http://schemas.microsoft.com/office/drawing/2014/main" id="{13843D23-B099-4C99-89DC-FE4E9D90B2D3}"/>
            </a:ext>
          </a:extLst>
        </xdr:cNvPr>
        <xdr:cNvCxnSpPr/>
      </xdr:nvCxnSpPr>
      <xdr:spPr>
        <a:xfrm flipH="1" flipV="1">
          <a:off x="2476500" y="15801975"/>
          <a:ext cx="6477000" cy="47625"/>
        </a:xfrm>
        <a:prstGeom prst="straightConnector1">
          <a:avLst/>
        </a:prstGeom>
        <a:ln w="44450">
          <a:solidFill>
            <a:srgbClr val="00206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238125</xdr:colOff>
      <xdr:row>138</xdr:row>
      <xdr:rowOff>95250</xdr:rowOff>
    </xdr:from>
    <xdr:to>
      <xdr:col>6</xdr:col>
      <xdr:colOff>495300</xdr:colOff>
      <xdr:row>139</xdr:row>
      <xdr:rowOff>142875</xdr:rowOff>
    </xdr:to>
    <xdr:sp macro="" textlink="">
      <xdr:nvSpPr>
        <xdr:cNvPr id="47" name="Rectangle 46">
          <a:extLst>
            <a:ext uri="{FF2B5EF4-FFF2-40B4-BE49-F238E27FC236}">
              <a16:creationId xmlns:a16="http://schemas.microsoft.com/office/drawing/2014/main" id="{B1D5CFA2-CAB2-47D4-8C15-B15A0F44240B}"/>
            </a:ext>
          </a:extLst>
        </xdr:cNvPr>
        <xdr:cNvSpPr/>
      </xdr:nvSpPr>
      <xdr:spPr>
        <a:xfrm>
          <a:off x="2333625" y="15430500"/>
          <a:ext cx="2314575" cy="23812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400" b="1">
              <a:solidFill>
                <a:schemeClr val="tx1"/>
              </a:solidFill>
            </a:rPr>
            <a:t>slowing down &amp;</a:t>
          </a:r>
          <a:r>
            <a:rPr lang="en-US" sz="1400" b="1" baseline="0">
              <a:solidFill>
                <a:schemeClr val="tx1"/>
              </a:solidFill>
            </a:rPr>
            <a:t> maturing</a:t>
          </a:r>
          <a:endParaRPr lang="he-IL" sz="1400" b="1">
            <a:solidFill>
              <a:schemeClr val="tx1"/>
            </a:solidFill>
          </a:endParaRPr>
        </a:p>
      </xdr:txBody>
    </xdr:sp>
    <xdr:clientData/>
  </xdr:twoCellAnchor>
  <xdr:twoCellAnchor>
    <xdr:from>
      <xdr:col>4</xdr:col>
      <xdr:colOff>100011</xdr:colOff>
      <xdr:row>28</xdr:row>
      <xdr:rowOff>16327</xdr:rowOff>
    </xdr:from>
    <xdr:to>
      <xdr:col>16</xdr:col>
      <xdr:colOff>238125</xdr:colOff>
      <xdr:row>53</xdr:row>
      <xdr:rowOff>92527</xdr:rowOff>
    </xdr:to>
    <xdr:graphicFrame macro="">
      <xdr:nvGraphicFramePr>
        <xdr:cNvPr id="48" name="Chart 47">
          <a:extLst>
            <a:ext uri="{FF2B5EF4-FFF2-40B4-BE49-F238E27FC236}">
              <a16:creationId xmlns:a16="http://schemas.microsoft.com/office/drawing/2014/main" id="{E3267819-0ADE-64B3-17FE-CC4E7D649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306881</xdr:colOff>
      <xdr:row>27</xdr:row>
      <xdr:rowOff>181455</xdr:rowOff>
    </xdr:from>
    <xdr:to>
      <xdr:col>28</xdr:col>
      <xdr:colOff>444995</xdr:colOff>
      <xdr:row>53</xdr:row>
      <xdr:rowOff>67155</xdr:rowOff>
    </xdr:to>
    <xdr:graphicFrame macro="">
      <xdr:nvGraphicFramePr>
        <xdr:cNvPr id="49" name="Chart 48">
          <a:extLst>
            <a:ext uri="{FF2B5EF4-FFF2-40B4-BE49-F238E27FC236}">
              <a16:creationId xmlns:a16="http://schemas.microsoft.com/office/drawing/2014/main" id="{4D04E5A0-DABE-4C95-B11C-677C21C4F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74543</xdr:colOff>
      <xdr:row>64</xdr:row>
      <xdr:rowOff>239366</xdr:rowOff>
    </xdr:from>
    <xdr:to>
      <xdr:col>12</xdr:col>
      <xdr:colOff>480391</xdr:colOff>
      <xdr:row>79</xdr:row>
      <xdr:rowOff>157369</xdr:rowOff>
    </xdr:to>
    <xdr:graphicFrame macro="">
      <xdr:nvGraphicFramePr>
        <xdr:cNvPr id="50" name="Chart 49">
          <a:extLst>
            <a:ext uri="{FF2B5EF4-FFF2-40B4-BE49-F238E27FC236}">
              <a16:creationId xmlns:a16="http://schemas.microsoft.com/office/drawing/2014/main" id="{FF53A019-CF39-6224-31AC-1AA02E17B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114300</xdr:colOff>
      <xdr:row>151</xdr:row>
      <xdr:rowOff>19050</xdr:rowOff>
    </xdr:from>
    <xdr:to>
      <xdr:col>16</xdr:col>
      <xdr:colOff>28575</xdr:colOff>
      <xdr:row>171</xdr:row>
      <xdr:rowOff>95249</xdr:rowOff>
    </xdr:to>
    <xdr:graphicFrame macro="">
      <xdr:nvGraphicFramePr>
        <xdr:cNvPr id="57" name="Chart 56">
          <a:extLst>
            <a:ext uri="{FF2B5EF4-FFF2-40B4-BE49-F238E27FC236}">
              <a16:creationId xmlns:a16="http://schemas.microsoft.com/office/drawing/2014/main" id="{09020BFC-92F3-9733-842A-5277749D0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685799</xdr:colOff>
      <xdr:row>171</xdr:row>
      <xdr:rowOff>171450</xdr:rowOff>
    </xdr:from>
    <xdr:to>
      <xdr:col>14</xdr:col>
      <xdr:colOff>314324</xdr:colOff>
      <xdr:row>197</xdr:row>
      <xdr:rowOff>95250</xdr:rowOff>
    </xdr:to>
    <xdr:graphicFrame macro="">
      <xdr:nvGraphicFramePr>
        <xdr:cNvPr id="58" name="Chart 57">
          <a:extLst>
            <a:ext uri="{FF2B5EF4-FFF2-40B4-BE49-F238E27FC236}">
              <a16:creationId xmlns:a16="http://schemas.microsoft.com/office/drawing/2014/main" id="{D92AFD1D-0438-48B9-88EA-A1AC20865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523875</xdr:colOff>
      <xdr:row>150</xdr:row>
      <xdr:rowOff>104775</xdr:rowOff>
    </xdr:from>
    <xdr:to>
      <xdr:col>29</xdr:col>
      <xdr:colOff>133350</xdr:colOff>
      <xdr:row>170</xdr:row>
      <xdr:rowOff>180974</xdr:rowOff>
    </xdr:to>
    <xdr:graphicFrame macro="">
      <xdr:nvGraphicFramePr>
        <xdr:cNvPr id="59" name="Chart 58">
          <a:extLst>
            <a:ext uri="{FF2B5EF4-FFF2-40B4-BE49-F238E27FC236}">
              <a16:creationId xmlns:a16="http://schemas.microsoft.com/office/drawing/2014/main" id="{B539FDC1-7E40-4593-8A8D-DED16F043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147636</xdr:colOff>
      <xdr:row>226</xdr:row>
      <xdr:rowOff>133350</xdr:rowOff>
    </xdr:from>
    <xdr:to>
      <xdr:col>12</xdr:col>
      <xdr:colOff>76199</xdr:colOff>
      <xdr:row>255</xdr:row>
      <xdr:rowOff>114300</xdr:rowOff>
    </xdr:to>
    <xdr:graphicFrame macro="">
      <xdr:nvGraphicFramePr>
        <xdr:cNvPr id="61" name="Chart 60">
          <a:extLst>
            <a:ext uri="{FF2B5EF4-FFF2-40B4-BE49-F238E27FC236}">
              <a16:creationId xmlns:a16="http://schemas.microsoft.com/office/drawing/2014/main" id="{799E9556-B784-D7E6-1168-B9865ED01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114300</xdr:colOff>
      <xdr:row>226</xdr:row>
      <xdr:rowOff>142875</xdr:rowOff>
    </xdr:from>
    <xdr:to>
      <xdr:col>24</xdr:col>
      <xdr:colOff>28575</xdr:colOff>
      <xdr:row>255</xdr:row>
      <xdr:rowOff>104775</xdr:rowOff>
    </xdr:to>
    <xdr:graphicFrame macro="">
      <xdr:nvGraphicFramePr>
        <xdr:cNvPr id="63" name="Chart 62">
          <a:extLst>
            <a:ext uri="{FF2B5EF4-FFF2-40B4-BE49-F238E27FC236}">
              <a16:creationId xmlns:a16="http://schemas.microsoft.com/office/drawing/2014/main" id="{36192F79-AA90-499D-98CC-993A4F606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85726</xdr:colOff>
      <xdr:row>256</xdr:row>
      <xdr:rowOff>19050</xdr:rowOff>
    </xdr:from>
    <xdr:to>
      <xdr:col>12</xdr:col>
      <xdr:colOff>57150</xdr:colOff>
      <xdr:row>284</xdr:row>
      <xdr:rowOff>114300</xdr:rowOff>
    </xdr:to>
    <xdr:graphicFrame macro="">
      <xdr:nvGraphicFramePr>
        <xdr:cNvPr id="64" name="Chart 63">
          <a:extLst>
            <a:ext uri="{FF2B5EF4-FFF2-40B4-BE49-F238E27FC236}">
              <a16:creationId xmlns:a16="http://schemas.microsoft.com/office/drawing/2014/main" id="{04708871-B4C6-FA90-DA23-A4A873943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133351</xdr:colOff>
      <xdr:row>256</xdr:row>
      <xdr:rowOff>28575</xdr:rowOff>
    </xdr:from>
    <xdr:to>
      <xdr:col>24</xdr:col>
      <xdr:colOff>19050</xdr:colOff>
      <xdr:row>284</xdr:row>
      <xdr:rowOff>161924</xdr:rowOff>
    </xdr:to>
    <xdr:graphicFrame macro="">
      <xdr:nvGraphicFramePr>
        <xdr:cNvPr id="65" name="Chart 64">
          <a:extLst>
            <a:ext uri="{FF2B5EF4-FFF2-40B4-BE49-F238E27FC236}">
              <a16:creationId xmlns:a16="http://schemas.microsoft.com/office/drawing/2014/main" id="{AB7C5B31-1E93-4B19-A64C-29DA1A350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590550</xdr:colOff>
      <xdr:row>290</xdr:row>
      <xdr:rowOff>14797</xdr:rowOff>
    </xdr:from>
    <xdr:to>
      <xdr:col>10</xdr:col>
      <xdr:colOff>779726</xdr:colOff>
      <xdr:row>297</xdr:row>
      <xdr:rowOff>146868</xdr:rowOff>
    </xdr:to>
    <xdr:pic>
      <xdr:nvPicPr>
        <xdr:cNvPr id="66" name="Picture 65">
          <a:extLst>
            <a:ext uri="{FF2B5EF4-FFF2-40B4-BE49-F238E27FC236}">
              <a16:creationId xmlns:a16="http://schemas.microsoft.com/office/drawing/2014/main" id="{EC1EF42B-0F53-45FA-19EC-A644D0E56828}"/>
            </a:ext>
          </a:extLst>
        </xdr:cNvPr>
        <xdr:cNvPicPr>
          <a:picLocks noChangeAspect="1"/>
        </xdr:cNvPicPr>
      </xdr:nvPicPr>
      <xdr:blipFill>
        <a:blip xmlns:r="http://schemas.openxmlformats.org/officeDocument/2006/relationships" r:embed="rId13"/>
        <a:stretch>
          <a:fillRect/>
        </a:stretch>
      </xdr:blipFill>
      <xdr:spPr>
        <a:xfrm>
          <a:off x="590550" y="57031447"/>
          <a:ext cx="8266376" cy="2037071"/>
        </a:xfrm>
        <a:prstGeom prst="rect">
          <a:avLst/>
        </a:prstGeom>
      </xdr:spPr>
    </xdr:pic>
    <xdr:clientData/>
  </xdr:twoCellAnchor>
  <xdr:twoCellAnchor>
    <xdr:from>
      <xdr:col>0</xdr:col>
      <xdr:colOff>671512</xdr:colOff>
      <xdr:row>299</xdr:row>
      <xdr:rowOff>0</xdr:rowOff>
    </xdr:from>
    <xdr:to>
      <xdr:col>6</xdr:col>
      <xdr:colOff>595312</xdr:colOff>
      <xdr:row>313</xdr:row>
      <xdr:rowOff>76200</xdr:rowOff>
    </xdr:to>
    <xdr:graphicFrame macro="">
      <xdr:nvGraphicFramePr>
        <xdr:cNvPr id="67" name="Chart 66">
          <a:extLst>
            <a:ext uri="{FF2B5EF4-FFF2-40B4-BE49-F238E27FC236}">
              <a16:creationId xmlns:a16="http://schemas.microsoft.com/office/drawing/2014/main" id="{030334EF-4008-B81E-4E4F-03A1AA773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762000</xdr:colOff>
      <xdr:row>298</xdr:row>
      <xdr:rowOff>152400</xdr:rowOff>
    </xdr:from>
    <xdr:to>
      <xdr:col>13</xdr:col>
      <xdr:colOff>152400</xdr:colOff>
      <xdr:row>313</xdr:row>
      <xdr:rowOff>38100</xdr:rowOff>
    </xdr:to>
    <xdr:graphicFrame macro="">
      <xdr:nvGraphicFramePr>
        <xdr:cNvPr id="68" name="Chart 67">
          <a:extLst>
            <a:ext uri="{FF2B5EF4-FFF2-40B4-BE49-F238E27FC236}">
              <a16:creationId xmlns:a16="http://schemas.microsoft.com/office/drawing/2014/main" id="{A33BC0FE-923A-4B0F-B926-ADCB8D09A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323850</xdr:colOff>
      <xdr:row>304</xdr:row>
      <xdr:rowOff>9525</xdr:rowOff>
    </xdr:from>
    <xdr:to>
      <xdr:col>11</xdr:col>
      <xdr:colOff>619125</xdr:colOff>
      <xdr:row>304</xdr:row>
      <xdr:rowOff>19050</xdr:rowOff>
    </xdr:to>
    <xdr:cxnSp macro="">
      <xdr:nvCxnSpPr>
        <xdr:cNvPr id="70" name="Straight Arrow Connector 69">
          <a:extLst>
            <a:ext uri="{FF2B5EF4-FFF2-40B4-BE49-F238E27FC236}">
              <a16:creationId xmlns:a16="http://schemas.microsoft.com/office/drawing/2014/main" id="{4C2AF643-0C1F-955A-E234-6FAD92CB4023}"/>
            </a:ext>
          </a:extLst>
        </xdr:cNvPr>
        <xdr:cNvCxnSpPr/>
      </xdr:nvCxnSpPr>
      <xdr:spPr>
        <a:xfrm>
          <a:off x="5810250" y="60264675"/>
          <a:ext cx="3267075" cy="9525"/>
        </a:xfrm>
        <a:prstGeom prst="straightConnector1">
          <a:avLst/>
        </a:prstGeom>
        <a:ln w="317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457200</xdr:colOff>
      <xdr:row>300</xdr:row>
      <xdr:rowOff>85725</xdr:rowOff>
    </xdr:from>
    <xdr:to>
      <xdr:col>5</xdr:col>
      <xdr:colOff>28575</xdr:colOff>
      <xdr:row>305</xdr:row>
      <xdr:rowOff>95250</xdr:rowOff>
    </xdr:to>
    <xdr:cxnSp macro="">
      <xdr:nvCxnSpPr>
        <xdr:cNvPr id="72" name="Straight Arrow Connector 71">
          <a:extLst>
            <a:ext uri="{FF2B5EF4-FFF2-40B4-BE49-F238E27FC236}">
              <a16:creationId xmlns:a16="http://schemas.microsoft.com/office/drawing/2014/main" id="{B8FFE7C6-6B7E-461B-B1FE-5BFA99A58110}"/>
            </a:ext>
          </a:extLst>
        </xdr:cNvPr>
        <xdr:cNvCxnSpPr/>
      </xdr:nvCxnSpPr>
      <xdr:spPr>
        <a:xfrm flipV="1">
          <a:off x="1143000" y="59578875"/>
          <a:ext cx="2847975" cy="962025"/>
        </a:xfrm>
        <a:prstGeom prst="straightConnector1">
          <a:avLst/>
        </a:prstGeom>
        <a:ln w="317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57150</xdr:colOff>
      <xdr:row>316</xdr:row>
      <xdr:rowOff>133350</xdr:rowOff>
    </xdr:from>
    <xdr:to>
      <xdr:col>13</xdr:col>
      <xdr:colOff>427241</xdr:colOff>
      <xdr:row>328</xdr:row>
      <xdr:rowOff>171828</xdr:rowOff>
    </xdr:to>
    <xdr:pic>
      <xdr:nvPicPr>
        <xdr:cNvPr id="75" name="Picture 74">
          <a:extLst>
            <a:ext uri="{FF2B5EF4-FFF2-40B4-BE49-F238E27FC236}">
              <a16:creationId xmlns:a16="http://schemas.microsoft.com/office/drawing/2014/main" id="{8ACD5571-3D08-7EEB-A8F0-F92E0139BA74}"/>
            </a:ext>
          </a:extLst>
        </xdr:cNvPr>
        <xdr:cNvPicPr>
          <a:picLocks noChangeAspect="1"/>
        </xdr:cNvPicPr>
      </xdr:nvPicPr>
      <xdr:blipFill>
        <a:blip xmlns:r="http://schemas.openxmlformats.org/officeDocument/2006/relationships" r:embed="rId16"/>
        <a:stretch>
          <a:fillRect/>
        </a:stretch>
      </xdr:blipFill>
      <xdr:spPr>
        <a:xfrm>
          <a:off x="742950" y="62769750"/>
          <a:ext cx="10155067" cy="2705478"/>
        </a:xfrm>
        <a:prstGeom prst="rect">
          <a:avLst/>
        </a:prstGeom>
      </xdr:spPr>
    </xdr:pic>
    <xdr:clientData/>
  </xdr:twoCellAnchor>
  <xdr:twoCellAnchor>
    <xdr:from>
      <xdr:col>4</xdr:col>
      <xdr:colOff>119061</xdr:colOff>
      <xdr:row>329</xdr:row>
      <xdr:rowOff>142875</xdr:rowOff>
    </xdr:from>
    <xdr:to>
      <xdr:col>14</xdr:col>
      <xdr:colOff>238124</xdr:colOff>
      <xdr:row>347</xdr:row>
      <xdr:rowOff>85725</xdr:rowOff>
    </xdr:to>
    <xdr:graphicFrame macro="">
      <xdr:nvGraphicFramePr>
        <xdr:cNvPr id="76" name="Chart 75">
          <a:extLst>
            <a:ext uri="{FF2B5EF4-FFF2-40B4-BE49-F238E27FC236}">
              <a16:creationId xmlns:a16="http://schemas.microsoft.com/office/drawing/2014/main" id="{40D8F830-927C-EED0-505F-02FC1E070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619125</xdr:colOff>
      <xdr:row>349</xdr:row>
      <xdr:rowOff>85725</xdr:rowOff>
    </xdr:from>
    <xdr:to>
      <xdr:col>8</xdr:col>
      <xdr:colOff>628650</xdr:colOff>
      <xdr:row>358</xdr:row>
      <xdr:rowOff>142875</xdr:rowOff>
    </xdr:to>
    <xdr:cxnSp macro="">
      <xdr:nvCxnSpPr>
        <xdr:cNvPr id="77" name="Straight Arrow Connector 76">
          <a:extLst>
            <a:ext uri="{FF2B5EF4-FFF2-40B4-BE49-F238E27FC236}">
              <a16:creationId xmlns:a16="http://schemas.microsoft.com/office/drawing/2014/main" id="{15DE4BEC-EDA5-49C2-9549-48A5E89D3CFC}"/>
            </a:ext>
          </a:extLst>
        </xdr:cNvPr>
        <xdr:cNvCxnSpPr/>
      </xdr:nvCxnSpPr>
      <xdr:spPr>
        <a:xfrm flipH="1">
          <a:off x="6886575" y="69389625"/>
          <a:ext cx="9525" cy="1771650"/>
        </a:xfrm>
        <a:prstGeom prst="straightConnector1">
          <a:avLst/>
        </a:prstGeom>
        <a:ln w="317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99390</xdr:colOff>
      <xdr:row>418</xdr:row>
      <xdr:rowOff>156539</xdr:rowOff>
    </xdr:from>
    <xdr:to>
      <xdr:col>18</xdr:col>
      <xdr:colOff>596347</xdr:colOff>
      <xdr:row>432</xdr:row>
      <xdr:rowOff>41413</xdr:rowOff>
    </xdr:to>
    <xdr:graphicFrame macro="">
      <xdr:nvGraphicFramePr>
        <xdr:cNvPr id="79" name="Chart 78">
          <a:extLst>
            <a:ext uri="{FF2B5EF4-FFF2-40B4-BE49-F238E27FC236}">
              <a16:creationId xmlns:a16="http://schemas.microsoft.com/office/drawing/2014/main" id="{730457DC-01E0-2698-4E71-57D2F3183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331304</xdr:colOff>
      <xdr:row>418</xdr:row>
      <xdr:rowOff>149087</xdr:rowOff>
    </xdr:from>
    <xdr:to>
      <xdr:col>5</xdr:col>
      <xdr:colOff>704022</xdr:colOff>
      <xdr:row>432</xdr:row>
      <xdr:rowOff>51351</xdr:rowOff>
    </xdr:to>
    <xdr:graphicFrame macro="">
      <xdr:nvGraphicFramePr>
        <xdr:cNvPr id="80" name="Chart 79">
          <a:extLst>
            <a:ext uri="{FF2B5EF4-FFF2-40B4-BE49-F238E27FC236}">
              <a16:creationId xmlns:a16="http://schemas.microsoft.com/office/drawing/2014/main" id="{BD69D0EC-5675-44A9-99A1-54FE23A8C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115957</xdr:colOff>
      <xdr:row>418</xdr:row>
      <xdr:rowOff>149086</xdr:rowOff>
    </xdr:from>
    <xdr:to>
      <xdr:col>12</xdr:col>
      <xdr:colOff>16565</xdr:colOff>
      <xdr:row>432</xdr:row>
      <xdr:rowOff>57978</xdr:rowOff>
    </xdr:to>
    <xdr:graphicFrame macro="">
      <xdr:nvGraphicFramePr>
        <xdr:cNvPr id="81" name="Chart 80">
          <a:extLst>
            <a:ext uri="{FF2B5EF4-FFF2-40B4-BE49-F238E27FC236}">
              <a16:creationId xmlns:a16="http://schemas.microsoft.com/office/drawing/2014/main" id="{FCD54CC0-0FD1-498D-AF71-606D15D60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borsa\saved_Data\AlphaVantage%20API%20data\yf_meta_data.xlsx" TargetMode="External"/><Relationship Id="rId1" Type="http://schemas.openxmlformats.org/officeDocument/2006/relationships/externalLinkPath" Target="/Users/USER/Desktop/borsa/saved_Data/AlphaVantage%20API%20data/yf_meta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growth companies "/>
      <sheetName val="Sheet1"/>
      <sheetName val="analysis"/>
    </sheetNames>
    <sheetDataSet>
      <sheetData sheetId="0" refreshError="1"/>
      <sheetData sheetId="1" refreshError="1"/>
      <sheetData sheetId="2">
        <row r="1">
          <cell r="W1" t="str">
            <v>ttm 
operating margin</v>
          </cell>
        </row>
        <row r="2">
          <cell r="A2" t="str">
            <v>BLBD</v>
          </cell>
          <cell r="W2">
            <v>0.11935999999999999</v>
          </cell>
        </row>
        <row r="3">
          <cell r="A3" t="str">
            <v>PCAR</v>
          </cell>
          <cell r="W3">
            <v>0.15578</v>
          </cell>
        </row>
        <row r="4">
          <cell r="A4" t="str">
            <v>DE</v>
          </cell>
          <cell r="W4">
            <v>0.19016</v>
          </cell>
        </row>
        <row r="5">
          <cell r="A5" t="str">
            <v>TEX</v>
          </cell>
          <cell r="W5">
            <v>0.13889000000000001</v>
          </cell>
        </row>
        <row r="6">
          <cell r="A6" t="str">
            <v>OSK</v>
          </cell>
          <cell r="W6">
            <v>0.11012</v>
          </cell>
        </row>
        <row r="7">
          <cell r="A7" t="str">
            <v>HY</v>
          </cell>
          <cell r="W7">
            <v>8.1070006E-2</v>
          </cell>
        </row>
        <row r="8">
          <cell r="A8" t="str">
            <v>AGCO</v>
          </cell>
          <cell r="W8">
            <v>8.8090000000000002E-2</v>
          </cell>
        </row>
        <row r="9">
          <cell r="A9" t="str">
            <v>REVG</v>
          </cell>
          <cell r="W9">
            <v>6.0749996000000001E-2</v>
          </cell>
        </row>
        <row r="10">
          <cell r="A10" t="str">
            <v>CAT</v>
          </cell>
          <cell r="W10">
            <v>0.24320998999999999</v>
          </cell>
        </row>
        <row r="11">
          <cell r="A11" t="str">
            <v>ALG</v>
          </cell>
          <cell r="W11">
            <v>0.10403</v>
          </cell>
        </row>
        <row r="12">
          <cell r="A12" t="str">
            <v>MTW</v>
          </cell>
          <cell r="W12">
            <v>3.5580000000000001E-2</v>
          </cell>
        </row>
        <row r="13">
          <cell r="A13" t="str">
            <v>CMCO</v>
          </cell>
          <cell r="W13">
            <v>8.473E-2</v>
          </cell>
        </row>
        <row r="14">
          <cell r="A14" t="str">
            <v>MNTX</v>
          </cell>
          <cell r="W14">
            <v>6.6989995999999996E-2</v>
          </cell>
        </row>
        <row r="15">
          <cell r="A15" t="str">
            <v>GENC</v>
          </cell>
          <cell r="W15">
            <v>7.8E-2</v>
          </cell>
        </row>
        <row r="16">
          <cell r="A16" t="str">
            <v>WNC</v>
          </cell>
          <cell r="W16">
            <v>8.1290000000000001E-2</v>
          </cell>
        </row>
        <row r="17">
          <cell r="A17" t="str">
            <v>LNN</v>
          </cell>
          <cell r="W17">
            <v>0.14321998999999999</v>
          </cell>
        </row>
        <row r="18">
          <cell r="A18" t="str">
            <v>TWI</v>
          </cell>
          <cell r="W18">
            <v>4.2500000000000003E-2</v>
          </cell>
        </row>
        <row r="19">
          <cell r="A19" t="str">
            <v>VITL</v>
          </cell>
          <cell r="W19">
            <v>0.11628000400000001</v>
          </cell>
        </row>
        <row r="20">
          <cell r="A20" t="str">
            <v>DOLE</v>
          </cell>
          <cell r="W20">
            <v>3.9960000000000002E-2</v>
          </cell>
        </row>
        <row r="21">
          <cell r="A21" t="str">
            <v>LMNR</v>
          </cell>
          <cell r="W21">
            <v>0.15203</v>
          </cell>
        </row>
        <row r="22">
          <cell r="A22" t="str">
            <v>AGRO</v>
          </cell>
          <cell r="W22">
            <v>6.3689999999999997E-2</v>
          </cell>
        </row>
        <row r="23">
          <cell r="A23" t="str">
            <v>ADM</v>
          </cell>
          <cell r="W23">
            <v>2.2200000000000001E-2</v>
          </cell>
        </row>
        <row r="24">
          <cell r="A24" t="str">
            <v>BG</v>
          </cell>
          <cell r="W24">
            <v>2.0920001000000001E-2</v>
          </cell>
        </row>
        <row r="25">
          <cell r="A25" t="str">
            <v>LND</v>
          </cell>
          <cell r="W25">
            <v>0.41006999999999999</v>
          </cell>
        </row>
        <row r="26">
          <cell r="A26" t="str">
            <v>CALM</v>
          </cell>
          <cell r="W26">
            <v>0.20935999999999999</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164"/>
  <sheetViews>
    <sheetView showGridLines="0" topLeftCell="A145" zoomScaleNormal="100" workbookViewId="0">
      <selection activeCell="J172" sqref="J172"/>
    </sheetView>
  </sheetViews>
  <sheetFormatPr defaultRowHeight="15" x14ac:dyDescent="0.25"/>
  <cols>
    <col min="1" max="1" width="9" style="1"/>
    <col min="2" max="2" width="11.375" style="1" customWidth="1"/>
    <col min="3" max="3" width="14" style="1" customWidth="1"/>
    <col min="4" max="4" width="11.75" style="1" customWidth="1"/>
    <col min="5" max="6" width="9.75" style="1" bestFit="1" customWidth="1"/>
    <col min="7" max="7" width="18.125" style="1" bestFit="1" customWidth="1"/>
    <col min="8" max="8" width="9.875" style="1" bestFit="1" customWidth="1"/>
    <col min="9" max="9" width="9" style="1"/>
    <col min="10" max="10" width="10.125" style="1" customWidth="1"/>
    <col min="11" max="11" width="18.125" style="1" bestFit="1" customWidth="1"/>
    <col min="12" max="13" width="9" style="1"/>
    <col min="14" max="14" width="10.25" style="1" customWidth="1"/>
    <col min="15" max="15" width="16" style="1" customWidth="1"/>
    <col min="16" max="16" width="13.875" style="1" bestFit="1" customWidth="1"/>
    <col min="17" max="16384" width="9" style="1"/>
  </cols>
  <sheetData>
    <row r="2" spans="1:8" x14ac:dyDescent="0.25">
      <c r="A2" s="169" t="s">
        <v>19</v>
      </c>
      <c r="B2" s="169"/>
      <c r="C2" s="169"/>
    </row>
    <row r="3" spans="1:8" x14ac:dyDescent="0.25">
      <c r="A3" s="169"/>
      <c r="B3" s="169"/>
      <c r="C3" s="169"/>
    </row>
    <row r="4" spans="1:8" x14ac:dyDescent="0.25">
      <c r="A4" s="170"/>
      <c r="B4" s="170"/>
      <c r="C4" s="170"/>
    </row>
    <row r="5" spans="1:8" x14ac:dyDescent="0.25">
      <c r="B5" s="167" t="s">
        <v>0</v>
      </c>
      <c r="C5" s="167"/>
    </row>
    <row r="6" spans="1:8" x14ac:dyDescent="0.25">
      <c r="B6" s="168"/>
      <c r="C6" s="168"/>
    </row>
    <row r="8" spans="1:8" x14ac:dyDescent="0.25">
      <c r="C8" s="1" t="s">
        <v>1</v>
      </c>
    </row>
    <row r="9" spans="1:8" x14ac:dyDescent="0.25">
      <c r="C9" s="1" t="s">
        <v>2</v>
      </c>
    </row>
    <row r="11" spans="1:8" x14ac:dyDescent="0.25">
      <c r="C11" s="1" t="s">
        <v>3</v>
      </c>
      <c r="H11" s="2">
        <v>4.1099999999999998E-2</v>
      </c>
    </row>
    <row r="13" spans="1:8" x14ac:dyDescent="0.25">
      <c r="C13" s="3" t="s">
        <v>4</v>
      </c>
      <c r="D13" s="171" t="s">
        <v>5</v>
      </c>
      <c r="E13" s="171"/>
    </row>
    <row r="14" spans="1:8" x14ac:dyDescent="0.25">
      <c r="C14" s="3">
        <v>0</v>
      </c>
      <c r="D14" s="172">
        <v>4.1099999999999998E-2</v>
      </c>
      <c r="E14" s="172"/>
    </row>
    <row r="17" spans="2:14" x14ac:dyDescent="0.25">
      <c r="B17" s="167" t="s">
        <v>6</v>
      </c>
      <c r="C17" s="167"/>
    </row>
    <row r="18" spans="2:14" x14ac:dyDescent="0.25">
      <c r="B18" s="168"/>
      <c r="C18" s="168"/>
    </row>
    <row r="20" spans="2:14" x14ac:dyDescent="0.25">
      <c r="C20" s="1" t="s">
        <v>7</v>
      </c>
    </row>
    <row r="22" spans="2:14" x14ac:dyDescent="0.25">
      <c r="C22" s="1" t="s">
        <v>8</v>
      </c>
      <c r="G22" s="1">
        <v>0.96</v>
      </c>
    </row>
    <row r="24" spans="2:14" x14ac:dyDescent="0.25">
      <c r="C24" s="1" t="s">
        <v>9</v>
      </c>
      <c r="D24" s="5">
        <f>(4085+3620+4387+9593)/238421</f>
        <v>9.0952558709174111E-2</v>
      </c>
    </row>
    <row r="26" spans="2:14" x14ac:dyDescent="0.25">
      <c r="C26" s="1" t="s">
        <v>10</v>
      </c>
      <c r="G26" s="1">
        <v>0.99</v>
      </c>
    </row>
    <row r="28" spans="2:14" x14ac:dyDescent="0.25">
      <c r="C28" s="1" t="s">
        <v>11</v>
      </c>
      <c r="G28" s="6">
        <f>G26*(1+(0.25*D24))</f>
        <v>1.0125107582805204</v>
      </c>
      <c r="N28" s="1">
        <f>0.99/(1+(1-0.068)*0.453)</f>
        <v>0.69610658446515106</v>
      </c>
    </row>
    <row r="30" spans="2:14" x14ac:dyDescent="0.25">
      <c r="C30" s="3" t="s">
        <v>4</v>
      </c>
      <c r="D30" s="3" t="s">
        <v>6</v>
      </c>
    </row>
    <row r="31" spans="2:14" x14ac:dyDescent="0.25">
      <c r="C31" s="3">
        <v>0</v>
      </c>
      <c r="D31" s="7">
        <f>G28</f>
        <v>1.0125107582805204</v>
      </c>
    </row>
    <row r="32" spans="2:14" x14ac:dyDescent="0.25">
      <c r="C32" s="3" t="s">
        <v>17</v>
      </c>
      <c r="D32" s="7">
        <v>0.99</v>
      </c>
    </row>
    <row r="33" spans="2:20" x14ac:dyDescent="0.25">
      <c r="T33" s="1" t="s">
        <v>18</v>
      </c>
    </row>
    <row r="34" spans="2:20" x14ac:dyDescent="0.25">
      <c r="C34" s="1" t="s">
        <v>14</v>
      </c>
    </row>
    <row r="35" spans="2:20" x14ac:dyDescent="0.25">
      <c r="B35" s="167" t="s">
        <v>12</v>
      </c>
      <c r="C35" s="167"/>
    </row>
    <row r="36" spans="2:20" x14ac:dyDescent="0.25">
      <c r="B36" s="168"/>
      <c r="C36" s="168"/>
    </row>
    <row r="38" spans="2:20" x14ac:dyDescent="0.25">
      <c r="C38" s="1" t="s">
        <v>13</v>
      </c>
    </row>
    <row r="40" spans="2:20" x14ac:dyDescent="0.25">
      <c r="C40" s="1" t="s">
        <v>15</v>
      </c>
    </row>
    <row r="42" spans="2:20" x14ac:dyDescent="0.25">
      <c r="C42" s="1" t="s">
        <v>16</v>
      </c>
      <c r="F42" s="2">
        <v>4.1200000000000001E-2</v>
      </c>
    </row>
    <row r="44" spans="2:20" x14ac:dyDescent="0.25">
      <c r="C44" s="3" t="s">
        <v>4</v>
      </c>
      <c r="D44" s="3" t="s">
        <v>6</v>
      </c>
    </row>
    <row r="45" spans="2:20" x14ac:dyDescent="0.25">
      <c r="C45" s="3">
        <v>0</v>
      </c>
      <c r="D45" s="8">
        <v>4.0500000000000001E-2</v>
      </c>
    </row>
    <row r="46" spans="2:20" x14ac:dyDescent="0.25">
      <c r="C46" s="3" t="s">
        <v>17</v>
      </c>
      <c r="D46" s="8">
        <v>4.1200000000000001E-2</v>
      </c>
    </row>
    <row r="48" spans="2:20" x14ac:dyDescent="0.25">
      <c r="B48" s="167" t="s">
        <v>19</v>
      </c>
      <c r="C48" s="167"/>
    </row>
    <row r="49" spans="1:17" x14ac:dyDescent="0.25">
      <c r="B49" s="168"/>
      <c r="C49" s="168"/>
    </row>
    <row r="51" spans="1:17" x14ac:dyDescent="0.25">
      <c r="C51" s="3" t="s">
        <v>4</v>
      </c>
      <c r="D51" s="3" t="s">
        <v>5</v>
      </c>
      <c r="E51" s="3" t="s">
        <v>6</v>
      </c>
      <c r="F51" s="3" t="s">
        <v>20</v>
      </c>
      <c r="G51" s="3" t="s">
        <v>21</v>
      </c>
    </row>
    <row r="52" spans="1:17" x14ac:dyDescent="0.25">
      <c r="C52" s="3">
        <v>0</v>
      </c>
      <c r="D52" s="4">
        <f>H11</f>
        <v>4.1099999999999998E-2</v>
      </c>
      <c r="E52" s="7">
        <f>D31</f>
        <v>1.0125107582805204</v>
      </c>
      <c r="F52" s="4">
        <f>D45</f>
        <v>4.0500000000000001E-2</v>
      </c>
      <c r="G52" s="4">
        <f>D52+(F52*E52)</f>
        <v>8.2106685710361074E-2</v>
      </c>
    </row>
    <row r="53" spans="1:17" x14ac:dyDescent="0.25">
      <c r="C53" s="3" t="s">
        <v>17</v>
      </c>
      <c r="D53" s="9">
        <v>0.03</v>
      </c>
      <c r="E53" s="7">
        <f>D32</f>
        <v>0.99</v>
      </c>
      <c r="F53" s="4">
        <f>D46</f>
        <v>4.1200000000000001E-2</v>
      </c>
      <c r="G53" s="4">
        <f>D53+(F53*E53)</f>
        <v>7.078799999999999E-2</v>
      </c>
    </row>
    <row r="55" spans="1:17" ht="15" customHeight="1" x14ac:dyDescent="0.25">
      <c r="A55" s="167" t="s">
        <v>23</v>
      </c>
      <c r="B55" s="167"/>
      <c r="C55" s="167"/>
      <c r="D55" s="167"/>
    </row>
    <row r="56" spans="1:17" ht="15" customHeight="1" x14ac:dyDescent="0.25">
      <c r="A56" s="168"/>
      <c r="B56" s="168"/>
      <c r="C56" s="168"/>
      <c r="D56" s="168"/>
    </row>
    <row r="58" spans="1:17" ht="45" x14ac:dyDescent="0.25">
      <c r="C58" s="1" t="s">
        <v>24</v>
      </c>
      <c r="E58" s="1">
        <v>43.1</v>
      </c>
      <c r="F58" s="1" t="s">
        <v>26</v>
      </c>
      <c r="N58" s="16" t="s">
        <v>58</v>
      </c>
      <c r="O58" s="13" t="s">
        <v>37</v>
      </c>
      <c r="P58" s="13" t="s">
        <v>36</v>
      </c>
      <c r="Q58" s="14" t="s">
        <v>38</v>
      </c>
    </row>
    <row r="59" spans="1:17" x14ac:dyDescent="0.25">
      <c r="C59" s="1" t="s">
        <v>25</v>
      </c>
      <c r="E59" s="10">
        <v>35.76</v>
      </c>
      <c r="N59" s="17" t="s">
        <v>39</v>
      </c>
      <c r="O59" s="15">
        <v>55627000</v>
      </c>
      <c r="P59" s="15">
        <v>1019000</v>
      </c>
      <c r="Q59" s="35">
        <f>O59/P59</f>
        <v>54.589793915603536</v>
      </c>
    </row>
    <row r="60" spans="1:17" x14ac:dyDescent="0.25">
      <c r="N60" s="17" t="s">
        <v>40</v>
      </c>
      <c r="O60" s="15">
        <v>46527000</v>
      </c>
      <c r="P60" s="15">
        <v>898000</v>
      </c>
      <c r="Q60" s="35">
        <f t="shared" ref="Q60:Q77" si="0">O60/P60</f>
        <v>51.811804008908688</v>
      </c>
    </row>
    <row r="61" spans="1:17" x14ac:dyDescent="0.25">
      <c r="C61" s="1" t="s">
        <v>27</v>
      </c>
      <c r="E61" s="10">
        <f>E59*E58</f>
        <v>1541.2559999999999</v>
      </c>
      <c r="F61" s="1" t="s">
        <v>26</v>
      </c>
      <c r="G61" s="24">
        <f>E61*1000</f>
        <v>1541255.9999999998</v>
      </c>
      <c r="H61" s="1" t="s">
        <v>91</v>
      </c>
      <c r="N61" s="19" t="s">
        <v>41</v>
      </c>
      <c r="O61" s="20">
        <v>33254000</v>
      </c>
      <c r="P61" s="20">
        <v>782000</v>
      </c>
      <c r="Q61" s="36">
        <f t="shared" si="0"/>
        <v>42.524296675191813</v>
      </c>
    </row>
    <row r="62" spans="1:17" x14ac:dyDescent="0.25">
      <c r="N62" s="17" t="s">
        <v>42</v>
      </c>
      <c r="O62" s="15">
        <v>27609000</v>
      </c>
      <c r="P62" s="15">
        <v>600000</v>
      </c>
      <c r="Q62" s="35">
        <f t="shared" si="0"/>
        <v>46.015000000000001</v>
      </c>
    </row>
    <row r="63" spans="1:17" x14ac:dyDescent="0.25">
      <c r="N63" s="17" t="s">
        <v>43</v>
      </c>
      <c r="O63" s="15">
        <v>24404000</v>
      </c>
      <c r="P63" s="15">
        <v>374000</v>
      </c>
      <c r="Q63" s="35">
        <f t="shared" si="0"/>
        <v>65.251336898395721</v>
      </c>
    </row>
    <row r="64" spans="1:17" x14ac:dyDescent="0.25">
      <c r="N64" s="17" t="s">
        <v>44</v>
      </c>
      <c r="O64" s="15">
        <v>17086000</v>
      </c>
      <c r="P64" s="15">
        <v>245000</v>
      </c>
      <c r="Q64" s="35">
        <f t="shared" si="0"/>
        <v>69.738775510204079</v>
      </c>
    </row>
    <row r="65" spans="1:17" x14ac:dyDescent="0.25">
      <c r="A65" s="169" t="s">
        <v>22</v>
      </c>
      <c r="B65" s="169"/>
      <c r="C65" s="169"/>
      <c r="N65" s="19" t="s">
        <v>45</v>
      </c>
      <c r="O65" s="20">
        <v>2104000</v>
      </c>
      <c r="P65" s="20">
        <v>114000</v>
      </c>
      <c r="Q65" s="36">
        <f t="shared" si="0"/>
        <v>18.456140350877192</v>
      </c>
    </row>
    <row r="66" spans="1:17" x14ac:dyDescent="0.25">
      <c r="A66" s="169"/>
      <c r="B66" s="169"/>
      <c r="C66" s="169"/>
      <c r="N66" s="17" t="s">
        <v>46</v>
      </c>
      <c r="O66" s="15">
        <v>-5583000</v>
      </c>
      <c r="P66" s="15">
        <v>37000</v>
      </c>
      <c r="Q66" s="35">
        <f t="shared" si="0"/>
        <v>-150.8918918918919</v>
      </c>
    </row>
    <row r="67" spans="1:17" x14ac:dyDescent="0.25">
      <c r="A67" s="170"/>
      <c r="B67" s="170"/>
      <c r="C67" s="170"/>
      <c r="N67" s="17" t="s">
        <v>47</v>
      </c>
      <c r="O67" s="15">
        <v>-9412000</v>
      </c>
      <c r="P67" s="15">
        <v>36000</v>
      </c>
      <c r="Q67" s="35">
        <f t="shared" si="0"/>
        <v>-261.44444444444446</v>
      </c>
    </row>
    <row r="68" spans="1:17" x14ac:dyDescent="0.25">
      <c r="N68" s="17" t="s">
        <v>48</v>
      </c>
      <c r="O68" s="15">
        <v>-7118000</v>
      </c>
      <c r="P68" s="15">
        <v>42000</v>
      </c>
      <c r="Q68" s="35">
        <f t="shared" si="0"/>
        <v>-169.47619047619048</v>
      </c>
    </row>
    <row r="69" spans="1:17" x14ac:dyDescent="0.25">
      <c r="B69" s="1" t="s">
        <v>28</v>
      </c>
      <c r="D69" s="11">
        <v>55627000</v>
      </c>
      <c r="N69" s="19" t="s">
        <v>49</v>
      </c>
      <c r="O69" s="20">
        <v>52000</v>
      </c>
      <c r="P69" s="20">
        <v>52000</v>
      </c>
      <c r="Q69" s="36">
        <f t="shared" si="0"/>
        <v>1</v>
      </c>
    </row>
    <row r="70" spans="1:17" x14ac:dyDescent="0.25">
      <c r="B70" s="1" t="s">
        <v>29</v>
      </c>
      <c r="D70" s="11">
        <v>1019000</v>
      </c>
      <c r="N70" s="17" t="s">
        <v>50</v>
      </c>
      <c r="O70" s="15">
        <v>2144000</v>
      </c>
      <c r="P70" s="15">
        <v>165000</v>
      </c>
      <c r="Q70" s="35">
        <f t="shared" si="0"/>
        <v>12.993939393939394</v>
      </c>
    </row>
    <row r="71" spans="1:17" x14ac:dyDescent="0.25">
      <c r="N71" s="17" t="s">
        <v>51</v>
      </c>
      <c r="O71" s="15">
        <v>6362000</v>
      </c>
      <c r="P71" s="15">
        <v>264000</v>
      </c>
      <c r="Q71" s="35">
        <f t="shared" si="0"/>
        <v>24.098484848484848</v>
      </c>
    </row>
    <row r="72" spans="1:17" x14ac:dyDescent="0.25">
      <c r="B72" s="1" t="s">
        <v>30</v>
      </c>
      <c r="E72" s="12">
        <f>D69/D70</f>
        <v>54.589793915603536</v>
      </c>
      <c r="N72" s="17" t="s">
        <v>52</v>
      </c>
      <c r="O72" s="15">
        <v>12409000</v>
      </c>
      <c r="P72" s="15">
        <v>348000</v>
      </c>
      <c r="Q72" s="35">
        <f t="shared" si="0"/>
        <v>35.658045977011497</v>
      </c>
    </row>
    <row r="73" spans="1:17" x14ac:dyDescent="0.25">
      <c r="N73" s="19" t="s">
        <v>53</v>
      </c>
      <c r="O73" s="20">
        <v>12228000</v>
      </c>
      <c r="P73" s="20">
        <v>488000</v>
      </c>
      <c r="Q73" s="36">
        <f t="shared" si="0"/>
        <v>25.057377049180328</v>
      </c>
    </row>
    <row r="74" spans="1:17" x14ac:dyDescent="0.25">
      <c r="B74" s="1" t="s">
        <v>59</v>
      </c>
      <c r="C74" s="18">
        <f>MEDIAN(Q59:Q77)</f>
        <v>18.456140350877192</v>
      </c>
      <c r="N74" s="17" t="s">
        <v>54</v>
      </c>
      <c r="O74" s="15">
        <v>8372000</v>
      </c>
      <c r="P74" s="15">
        <v>464000</v>
      </c>
      <c r="Q74" s="35">
        <f t="shared" si="0"/>
        <v>18.043103448275861</v>
      </c>
    </row>
    <row r="75" spans="1:17" x14ac:dyDescent="0.25">
      <c r="B75" s="1" t="s">
        <v>60</v>
      </c>
      <c r="C75" s="18">
        <f>AVERAGE(Q59:Q77)</f>
        <v>-4.5251401788483152</v>
      </c>
      <c r="N75" s="17" t="s">
        <v>55</v>
      </c>
      <c r="O75" s="15">
        <v>7143000</v>
      </c>
      <c r="P75" s="15">
        <v>439000</v>
      </c>
      <c r="Q75" s="35">
        <f t="shared" si="0"/>
        <v>16.271070615034169</v>
      </c>
    </row>
    <row r="76" spans="1:17" x14ac:dyDescent="0.25">
      <c r="N76" s="17" t="s">
        <v>56</v>
      </c>
      <c r="O76" s="15">
        <v>1990000</v>
      </c>
      <c r="P76" s="15">
        <v>421000</v>
      </c>
      <c r="Q76" s="35">
        <f t="shared" si="0"/>
        <v>4.7268408551068886</v>
      </c>
    </row>
    <row r="77" spans="1:17" x14ac:dyDescent="0.25">
      <c r="N77" s="19" t="s">
        <v>57</v>
      </c>
      <c r="O77" s="20">
        <v>3350000</v>
      </c>
      <c r="P77" s="20">
        <v>349000</v>
      </c>
      <c r="Q77" s="36">
        <f t="shared" si="0"/>
        <v>9.5988538681948423</v>
      </c>
    </row>
    <row r="82" spans="2:5" x14ac:dyDescent="0.25">
      <c r="B82" s="1" t="s">
        <v>31</v>
      </c>
    </row>
    <row r="83" spans="2:5" x14ac:dyDescent="0.25">
      <c r="B83" s="1" t="s">
        <v>35</v>
      </c>
    </row>
    <row r="84" spans="2:5" x14ac:dyDescent="0.25">
      <c r="B84" s="1" t="s">
        <v>61</v>
      </c>
    </row>
    <row r="85" spans="2:5" x14ac:dyDescent="0.25">
      <c r="B85" s="1" t="s">
        <v>62</v>
      </c>
    </row>
    <row r="86" spans="2:5" x14ac:dyDescent="0.25">
      <c r="B86" s="1" t="s">
        <v>63</v>
      </c>
    </row>
    <row r="88" spans="2:5" x14ac:dyDescent="0.25">
      <c r="B88" s="3" t="s">
        <v>33</v>
      </c>
      <c r="C88" s="3" t="s">
        <v>5</v>
      </c>
      <c r="D88" s="3" t="s">
        <v>34</v>
      </c>
      <c r="E88" s="3" t="s">
        <v>33</v>
      </c>
    </row>
    <row r="89" spans="2:5" x14ac:dyDescent="0.25">
      <c r="B89" s="3">
        <v>0</v>
      </c>
      <c r="C89" s="21">
        <f>4.11%</f>
        <v>4.1100000000000005E-2</v>
      </c>
      <c r="D89" s="9">
        <v>0.03</v>
      </c>
      <c r="E89" s="4">
        <f>D89+C89</f>
        <v>7.1099999999999997E-2</v>
      </c>
    </row>
    <row r="90" spans="2:5" x14ac:dyDescent="0.25">
      <c r="B90" s="3" t="s">
        <v>17</v>
      </c>
      <c r="C90" s="22">
        <v>0.03</v>
      </c>
      <c r="D90" s="4">
        <v>1.4999999999999999E-2</v>
      </c>
      <c r="E90" s="4">
        <f>D90+C90</f>
        <v>4.4999999999999998E-2</v>
      </c>
    </row>
    <row r="91" spans="2:5" x14ac:dyDescent="0.25">
      <c r="B91" s="167" t="s">
        <v>32</v>
      </c>
      <c r="C91" s="167"/>
    </row>
    <row r="92" spans="2:5" x14ac:dyDescent="0.25">
      <c r="B92" s="168"/>
      <c r="C92" s="168"/>
    </row>
    <row r="94" spans="2:5" x14ac:dyDescent="0.25">
      <c r="C94" s="1" t="s">
        <v>64</v>
      </c>
    </row>
    <row r="96" spans="2:5" x14ac:dyDescent="0.25">
      <c r="C96" s="23" t="s">
        <v>65</v>
      </c>
    </row>
    <row r="98" spans="2:5" x14ac:dyDescent="0.25">
      <c r="B98" s="3" t="s">
        <v>4</v>
      </c>
      <c r="C98" s="3" t="s">
        <v>67</v>
      </c>
      <c r="D98" s="3" t="s">
        <v>68</v>
      </c>
      <c r="E98" s="3" t="s">
        <v>69</v>
      </c>
    </row>
    <row r="99" spans="2:5" x14ac:dyDescent="0.25">
      <c r="B99" s="3">
        <v>2024</v>
      </c>
      <c r="C99" s="25">
        <v>3579</v>
      </c>
      <c r="D99" s="25">
        <v>4103</v>
      </c>
      <c r="E99" s="25">
        <f>SUM(C99:D99)</f>
        <v>7682</v>
      </c>
    </row>
    <row r="100" spans="2:5" x14ac:dyDescent="0.25">
      <c r="B100" s="3">
        <v>2025</v>
      </c>
      <c r="C100" s="25">
        <v>3170</v>
      </c>
      <c r="D100" s="25">
        <v>4103</v>
      </c>
      <c r="E100" s="25">
        <f t="shared" ref="E100:E104" si="1">SUM(C100:D100)</f>
        <v>7273</v>
      </c>
    </row>
    <row r="101" spans="2:5" x14ac:dyDescent="0.25">
      <c r="B101" s="3">
        <v>2026</v>
      </c>
      <c r="C101" s="25">
        <v>3017</v>
      </c>
      <c r="D101" s="25">
        <v>4095</v>
      </c>
      <c r="E101" s="25">
        <f t="shared" si="1"/>
        <v>7112</v>
      </c>
    </row>
    <row r="102" spans="2:5" x14ac:dyDescent="0.25">
      <c r="B102" s="3">
        <v>2027</v>
      </c>
      <c r="C102" s="25">
        <v>0</v>
      </c>
      <c r="D102" s="25">
        <v>3332</v>
      </c>
      <c r="E102" s="25">
        <f t="shared" si="1"/>
        <v>3332</v>
      </c>
    </row>
    <row r="103" spans="2:5" x14ac:dyDescent="0.25">
      <c r="B103" s="3">
        <v>2028</v>
      </c>
      <c r="C103" s="25">
        <v>0</v>
      </c>
      <c r="D103" s="25">
        <v>0</v>
      </c>
      <c r="E103" s="25">
        <f t="shared" si="1"/>
        <v>0</v>
      </c>
    </row>
    <row r="104" spans="2:5" x14ac:dyDescent="0.25">
      <c r="B104" s="3" t="s">
        <v>66</v>
      </c>
      <c r="C104" s="25">
        <v>0</v>
      </c>
      <c r="D104" s="25">
        <v>0</v>
      </c>
      <c r="E104" s="25">
        <f t="shared" si="1"/>
        <v>0</v>
      </c>
    </row>
    <row r="105" spans="2:5" x14ac:dyDescent="0.25">
      <c r="B105" s="3" t="s">
        <v>71</v>
      </c>
      <c r="C105" s="25">
        <f>SUM(C99:C104)</f>
        <v>9766</v>
      </c>
      <c r="D105" s="25">
        <f t="shared" ref="D105" si="2">SUM(D99:D104)</f>
        <v>15633</v>
      </c>
      <c r="E105" s="25">
        <f>SUM(E99:E104)</f>
        <v>25399</v>
      </c>
    </row>
    <row r="106" spans="2:5" x14ac:dyDescent="0.25">
      <c r="B106" s="3" t="s">
        <v>70</v>
      </c>
      <c r="C106" s="25">
        <v>938</v>
      </c>
      <c r="D106" s="25">
        <v>1897</v>
      </c>
      <c r="E106" s="25">
        <f>SUM(C106:D106)</f>
        <v>2835</v>
      </c>
    </row>
    <row r="107" spans="2:5" x14ac:dyDescent="0.25">
      <c r="B107" s="3" t="s">
        <v>33</v>
      </c>
      <c r="C107" s="21">
        <f>C106/C105</f>
        <v>9.6047511775547822E-2</v>
      </c>
      <c r="D107" s="21">
        <f t="shared" ref="D107:E107" si="3">D106/D105</f>
        <v>0.12134587091409199</v>
      </c>
      <c r="E107" s="21">
        <f t="shared" si="3"/>
        <v>0.11161856766014409</v>
      </c>
    </row>
    <row r="110" spans="2:5" x14ac:dyDescent="0.25">
      <c r="C110" s="1" t="s">
        <v>4</v>
      </c>
      <c r="D110" s="1" t="s">
        <v>73</v>
      </c>
    </row>
    <row r="120" spans="3:8" x14ac:dyDescent="0.25">
      <c r="C120" s="1" t="s">
        <v>72</v>
      </c>
    </row>
    <row r="122" spans="3:8" x14ac:dyDescent="0.25">
      <c r="C122" s="26"/>
      <c r="D122" s="26">
        <v>1</v>
      </c>
      <c r="E122" s="26">
        <v>2</v>
      </c>
      <c r="F122" s="26">
        <v>3</v>
      </c>
      <c r="G122" s="26">
        <v>4</v>
      </c>
    </row>
    <row r="123" spans="3:8" x14ac:dyDescent="0.25">
      <c r="C123" s="3" t="s">
        <v>4</v>
      </c>
      <c r="D123" s="3">
        <v>2024</v>
      </c>
      <c r="E123" s="3">
        <v>2025</v>
      </c>
      <c r="F123" s="3">
        <v>2026</v>
      </c>
      <c r="G123" s="3">
        <v>2027</v>
      </c>
    </row>
    <row r="124" spans="3:8" x14ac:dyDescent="0.25">
      <c r="C124" s="3" t="s">
        <v>73</v>
      </c>
      <c r="D124" s="27">
        <v>782</v>
      </c>
      <c r="E124" s="27">
        <v>782</v>
      </c>
      <c r="F124" s="27">
        <v>782</v>
      </c>
      <c r="G124" s="27">
        <v>782</v>
      </c>
    </row>
    <row r="125" spans="3:8" x14ac:dyDescent="0.25">
      <c r="C125" s="3" t="s">
        <v>33</v>
      </c>
      <c r="D125" s="4">
        <f>E89</f>
        <v>7.1099999999999997E-2</v>
      </c>
      <c r="E125" s="4">
        <f>D125</f>
        <v>7.1099999999999997E-2</v>
      </c>
      <c r="F125" s="4">
        <f t="shared" ref="F125:G125" si="4">E125</f>
        <v>7.1099999999999997E-2</v>
      </c>
      <c r="G125" s="4">
        <f t="shared" si="4"/>
        <v>7.1099999999999997E-2</v>
      </c>
      <c r="H125" s="1" t="s">
        <v>75</v>
      </c>
    </row>
    <row r="126" spans="3:8" x14ac:dyDescent="0.25">
      <c r="C126" s="3" t="s">
        <v>74</v>
      </c>
      <c r="D126" s="28">
        <f>D124/((1+D125)^D122)</f>
        <v>730.09056110540575</v>
      </c>
      <c r="E126" s="28">
        <f>E124/((1+E125)^E122)</f>
        <v>681.62688927775719</v>
      </c>
      <c r="F126" s="28">
        <f>F124/((1+F125)^F122)</f>
        <v>636.38025327024297</v>
      </c>
      <c r="G126" s="28">
        <f>G124/((1+G125)^G122)</f>
        <v>594.13710509779003</v>
      </c>
    </row>
    <row r="128" spans="3:8" x14ac:dyDescent="0.25">
      <c r="C128" s="1" t="s">
        <v>76</v>
      </c>
      <c r="D128" s="10">
        <f>SUM(D126:G126)</f>
        <v>2642.2348087511959</v>
      </c>
    </row>
    <row r="129" spans="1:11" x14ac:dyDescent="0.25">
      <c r="C129" s="1" t="s">
        <v>77</v>
      </c>
      <c r="D129" s="10">
        <f>(4085+3620+4387+9593)</f>
        <v>21685</v>
      </c>
    </row>
    <row r="130" spans="1:11" x14ac:dyDescent="0.25">
      <c r="C130" s="1" t="s">
        <v>78</v>
      </c>
      <c r="D130" s="10">
        <f>SUM(D128:D129)</f>
        <v>24327.234808751196</v>
      </c>
    </row>
    <row r="131" spans="1:11" x14ac:dyDescent="0.25">
      <c r="D131" s="10"/>
    </row>
    <row r="132" spans="1:11" x14ac:dyDescent="0.25">
      <c r="D132" s="10"/>
    </row>
    <row r="133" spans="1:11" ht="15" customHeight="1" x14ac:dyDescent="0.35">
      <c r="A133" s="169" t="s">
        <v>85</v>
      </c>
      <c r="B133" s="169"/>
      <c r="C133" s="29"/>
      <c r="D133" s="10"/>
    </row>
    <row r="134" spans="1:11" ht="15" customHeight="1" x14ac:dyDescent="0.35">
      <c r="A134" s="169"/>
      <c r="B134" s="169"/>
      <c r="C134" s="29"/>
      <c r="D134" s="10"/>
    </row>
    <row r="135" spans="1:11" ht="15" customHeight="1" x14ac:dyDescent="0.35">
      <c r="A135" s="170"/>
      <c r="B135" s="170"/>
      <c r="C135" s="29"/>
      <c r="D135" s="10"/>
    </row>
    <row r="137" spans="1:11" ht="42.75" x14ac:dyDescent="0.25">
      <c r="B137" s="30" t="s">
        <v>80</v>
      </c>
      <c r="C137" s="30" t="s">
        <v>81</v>
      </c>
      <c r="D137" s="31" t="s">
        <v>82</v>
      </c>
      <c r="E137" s="31" t="s">
        <v>83</v>
      </c>
      <c r="F137" s="31" t="s">
        <v>84</v>
      </c>
      <c r="G137" s="30" t="s">
        <v>85</v>
      </c>
    </row>
    <row r="138" spans="1:11" x14ac:dyDescent="0.25">
      <c r="B138" s="30">
        <v>2023</v>
      </c>
      <c r="C138" s="32">
        <v>471857</v>
      </c>
      <c r="D138" s="32">
        <v>162326</v>
      </c>
      <c r="E138" s="32">
        <v>33254</v>
      </c>
      <c r="F138" s="32">
        <v>32201</v>
      </c>
      <c r="G138" s="33">
        <f>6635/32201</f>
        <v>0.20604950156827428</v>
      </c>
      <c r="K138" s="1" t="s">
        <v>86</v>
      </c>
    </row>
    <row r="139" spans="1:11" x14ac:dyDescent="0.25">
      <c r="B139" s="30">
        <v>2022</v>
      </c>
      <c r="C139" s="32">
        <v>362050</v>
      </c>
      <c r="D139" s="32">
        <v>109444</v>
      </c>
      <c r="E139" s="32">
        <v>2104</v>
      </c>
      <c r="F139" s="32">
        <v>2831</v>
      </c>
      <c r="G139" s="33">
        <f>1601/2831</f>
        <v>0.56552454962910637</v>
      </c>
    </row>
    <row r="140" spans="1:11" ht="15" customHeight="1" x14ac:dyDescent="0.25">
      <c r="B140" s="30">
        <v>2021</v>
      </c>
      <c r="C140" s="32">
        <v>260901</v>
      </c>
      <c r="D140" s="32">
        <v>82899</v>
      </c>
      <c r="E140" s="32">
        <v>52</v>
      </c>
      <c r="F140" s="32">
        <v>354</v>
      </c>
      <c r="G140" s="33">
        <f>-2028/354</f>
        <v>-5.7288135593220337</v>
      </c>
    </row>
    <row r="141" spans="1:11" ht="15" customHeight="1" x14ac:dyDescent="0.25">
      <c r="B141" s="30">
        <v>2020</v>
      </c>
      <c r="C141" s="32">
        <v>214280</v>
      </c>
      <c r="D141" s="32">
        <v>74528</v>
      </c>
      <c r="E141" s="32">
        <v>12228</v>
      </c>
      <c r="F141" s="32">
        <v>11654</v>
      </c>
      <c r="G141" s="33">
        <f>2770/11654</f>
        <v>0.23768663119958813</v>
      </c>
    </row>
    <row r="142" spans="1:11" ht="15" customHeight="1" x14ac:dyDescent="0.25">
      <c r="B142" s="30">
        <v>2019</v>
      </c>
      <c r="C142" s="32">
        <v>140733</v>
      </c>
      <c r="D142" s="32">
        <v>42877</v>
      </c>
      <c r="E142" s="32">
        <v>3350</v>
      </c>
      <c r="F142" s="32">
        <v>4418</v>
      </c>
      <c r="G142" s="33">
        <f>1106/4418</f>
        <v>0.25033952014486194</v>
      </c>
    </row>
    <row r="143" spans="1:11" x14ac:dyDescent="0.25">
      <c r="B143" s="30">
        <v>2018</v>
      </c>
      <c r="C143" s="32">
        <v>106713</v>
      </c>
      <c r="D143" s="32">
        <v>34819</v>
      </c>
      <c r="E143" s="32">
        <v>6767</v>
      </c>
      <c r="F143" s="32">
        <v>6352</v>
      </c>
      <c r="G143" s="33">
        <f>723/6352</f>
        <v>0.11382241813602015</v>
      </c>
    </row>
    <row r="147" spans="1:11" x14ac:dyDescent="0.25">
      <c r="A147" s="169" t="s">
        <v>79</v>
      </c>
      <c r="B147" s="169"/>
      <c r="C147" s="169"/>
      <c r="D147" s="169"/>
      <c r="E147" s="169"/>
    </row>
    <row r="148" spans="1:11" x14ac:dyDescent="0.25">
      <c r="A148" s="169"/>
      <c r="B148" s="169"/>
      <c r="C148" s="169"/>
      <c r="D148" s="169"/>
      <c r="E148" s="169"/>
    </row>
    <row r="149" spans="1:11" x14ac:dyDescent="0.25">
      <c r="A149" s="170"/>
      <c r="B149" s="170"/>
      <c r="C149" s="170"/>
      <c r="D149" s="170"/>
      <c r="E149" s="170"/>
    </row>
    <row r="152" spans="1:11" ht="45" x14ac:dyDescent="0.25">
      <c r="B152" s="3" t="s">
        <v>4</v>
      </c>
      <c r="C152" s="34" t="s">
        <v>88</v>
      </c>
      <c r="D152" s="34" t="s">
        <v>89</v>
      </c>
      <c r="E152" s="34" t="s">
        <v>92</v>
      </c>
      <c r="F152" s="34" t="s">
        <v>93</v>
      </c>
      <c r="G152" s="3" t="s">
        <v>87</v>
      </c>
      <c r="H152" s="3" t="s">
        <v>33</v>
      </c>
      <c r="I152" s="3" t="s">
        <v>85</v>
      </c>
      <c r="J152" s="34" t="s">
        <v>94</v>
      </c>
      <c r="K152" s="3" t="s">
        <v>90</v>
      </c>
    </row>
    <row r="153" spans="1:11" x14ac:dyDescent="0.25">
      <c r="B153" s="3">
        <v>0</v>
      </c>
      <c r="C153" s="25">
        <f>G61</f>
        <v>1541255.9999999998</v>
      </c>
      <c r="D153" s="28">
        <f>D130</f>
        <v>24327.234808751196</v>
      </c>
      <c r="E153" s="21">
        <f>C153/(C153+D153)</f>
        <v>0.98446123191161861</v>
      </c>
      <c r="F153" s="21">
        <f>D153/(C153+D153)</f>
        <v>1.5538768088381434E-2</v>
      </c>
      <c r="G153" s="4">
        <f>G52</f>
        <v>8.2106685710361074E-2</v>
      </c>
      <c r="H153" s="4">
        <f>E89</f>
        <v>7.1099999999999997E-2</v>
      </c>
      <c r="I153" s="9">
        <v>0.21</v>
      </c>
      <c r="J153" s="4">
        <f>H153*(1-I153)</f>
        <v>5.6168999999999997E-2</v>
      </c>
      <c r="K153" s="4">
        <f>(G153*E153)+(J153*F153)</f>
        <v>8.1703646027358454E-2</v>
      </c>
    </row>
    <row r="154" spans="1:11" x14ac:dyDescent="0.25">
      <c r="B154" s="3" t="s">
        <v>17</v>
      </c>
      <c r="C154" s="25">
        <f>C153</f>
        <v>1541255.9999999998</v>
      </c>
      <c r="D154" s="28">
        <f>D153</f>
        <v>24327.234808751196</v>
      </c>
      <c r="E154" s="21">
        <f>C154/(C154+D154)</f>
        <v>0.98446123191161861</v>
      </c>
      <c r="F154" s="21">
        <f>D154/(C154+D154)</f>
        <v>1.5538768088381434E-2</v>
      </c>
      <c r="G154" s="4">
        <f>G53</f>
        <v>7.078799999999999E-2</v>
      </c>
      <c r="H154" s="4">
        <f>E90</f>
        <v>4.4999999999999998E-2</v>
      </c>
      <c r="I154" s="9">
        <v>0.21</v>
      </c>
      <c r="J154" s="4">
        <f>H154*(1-I154)</f>
        <v>3.5549999999999998E-2</v>
      </c>
      <c r="K154" s="4">
        <f>(G154*E154)+(J154*F154)</f>
        <v>7.0240444890101617E-2</v>
      </c>
    </row>
    <row r="155" spans="1:11" x14ac:dyDescent="0.25">
      <c r="E155" s="1">
        <f>SUM(E153:F153)</f>
        <v>1</v>
      </c>
    </row>
    <row r="156" spans="1:11" x14ac:dyDescent="0.25">
      <c r="E156" s="1">
        <f>SUM(E154:F154)</f>
        <v>1</v>
      </c>
    </row>
    <row r="157" spans="1:11" x14ac:dyDescent="0.25">
      <c r="C157" s="1">
        <f>(B159-K159)/9</f>
        <v>1.2736890152507596E-3</v>
      </c>
    </row>
    <row r="158" spans="1:11" x14ac:dyDescent="0.25">
      <c r="B158" s="1">
        <v>1</v>
      </c>
      <c r="C158" s="1">
        <v>2</v>
      </c>
      <c r="D158" s="1">
        <v>3</v>
      </c>
      <c r="E158" s="1">
        <v>4</v>
      </c>
      <c r="F158" s="1">
        <v>5</v>
      </c>
      <c r="G158" s="1">
        <v>6</v>
      </c>
      <c r="H158" s="1">
        <v>7</v>
      </c>
      <c r="I158" s="1">
        <v>8</v>
      </c>
      <c r="J158" s="1">
        <v>9</v>
      </c>
      <c r="K158" s="1">
        <v>10</v>
      </c>
    </row>
    <row r="159" spans="1:11" x14ac:dyDescent="0.25">
      <c r="B159" s="2">
        <f>K153</f>
        <v>8.1703646027358454E-2</v>
      </c>
      <c r="C159" s="2">
        <f>B159-$C$157</f>
        <v>8.04299570121077E-2</v>
      </c>
      <c r="D159" s="2">
        <f t="shared" ref="D159:J159" si="5">C159-$C$157</f>
        <v>7.9156267996856947E-2</v>
      </c>
      <c r="E159" s="2">
        <f t="shared" si="5"/>
        <v>7.7882578981606193E-2</v>
      </c>
      <c r="F159" s="2">
        <f t="shared" si="5"/>
        <v>7.660888996635544E-2</v>
      </c>
      <c r="G159" s="2">
        <f t="shared" si="5"/>
        <v>7.5335200951104686E-2</v>
      </c>
      <c r="H159" s="2">
        <f t="shared" si="5"/>
        <v>7.4061511935853933E-2</v>
      </c>
      <c r="I159" s="2">
        <f t="shared" si="5"/>
        <v>7.2787822920603179E-2</v>
      </c>
      <c r="J159" s="2">
        <f t="shared" si="5"/>
        <v>7.1514133905352426E-2</v>
      </c>
      <c r="K159" s="2">
        <f>K154</f>
        <v>7.0240444890101617E-2</v>
      </c>
    </row>
    <row r="162" spans="2:16" x14ac:dyDescent="0.25">
      <c r="C162" s="1">
        <f>(B164-P164)/14</f>
        <v>8.1880008123263125E-4</v>
      </c>
    </row>
    <row r="163" spans="2:16" x14ac:dyDescent="0.25">
      <c r="B163" s="1">
        <v>1</v>
      </c>
      <c r="C163" s="1">
        <v>2</v>
      </c>
      <c r="D163" s="1">
        <v>3</v>
      </c>
      <c r="E163" s="1">
        <v>4</v>
      </c>
      <c r="F163" s="1">
        <v>5</v>
      </c>
      <c r="G163" s="1">
        <v>6</v>
      </c>
      <c r="H163" s="1">
        <v>7</v>
      </c>
      <c r="I163" s="1">
        <v>8</v>
      </c>
      <c r="J163" s="1">
        <v>9</v>
      </c>
      <c r="K163" s="1">
        <v>10</v>
      </c>
      <c r="L163" s="1">
        <v>11</v>
      </c>
      <c r="M163" s="1">
        <v>12</v>
      </c>
      <c r="N163" s="1">
        <v>13</v>
      </c>
      <c r="O163" s="1">
        <v>14</v>
      </c>
      <c r="P163" s="1">
        <v>15</v>
      </c>
    </row>
    <row r="164" spans="2:16" x14ac:dyDescent="0.25">
      <c r="B164" s="2">
        <f>B159</f>
        <v>8.1703646027358454E-2</v>
      </c>
      <c r="C164" s="2">
        <f>B164-$C$162</f>
        <v>8.0884845946125827E-2</v>
      </c>
      <c r="D164" s="2">
        <f t="shared" ref="D164:O164" si="6">C164-$C$162</f>
        <v>8.0066045864893201E-2</v>
      </c>
      <c r="E164" s="2">
        <f t="shared" si="6"/>
        <v>7.9247245783660575E-2</v>
      </c>
      <c r="F164" s="2">
        <f t="shared" si="6"/>
        <v>7.8428445702427949E-2</v>
      </c>
      <c r="G164" s="2">
        <f t="shared" si="6"/>
        <v>7.7609645621195322E-2</v>
      </c>
      <c r="H164" s="2">
        <f t="shared" si="6"/>
        <v>7.6790845539962696E-2</v>
      </c>
      <c r="I164" s="2">
        <f t="shared" si="6"/>
        <v>7.597204545873007E-2</v>
      </c>
      <c r="J164" s="2">
        <f t="shared" si="6"/>
        <v>7.5153245377497443E-2</v>
      </c>
      <c r="K164" s="2">
        <f t="shared" si="6"/>
        <v>7.4334445296264817E-2</v>
      </c>
      <c r="L164" s="2">
        <f t="shared" si="6"/>
        <v>7.3515645215032191E-2</v>
      </c>
      <c r="M164" s="2">
        <f t="shared" si="6"/>
        <v>7.2696845133799565E-2</v>
      </c>
      <c r="N164" s="2">
        <f t="shared" si="6"/>
        <v>7.1878045052566938E-2</v>
      </c>
      <c r="O164" s="2">
        <f t="shared" si="6"/>
        <v>7.1059244971334312E-2</v>
      </c>
      <c r="P164" s="2">
        <f>K159</f>
        <v>7.0240444890101617E-2</v>
      </c>
    </row>
  </sheetData>
  <mergeCells count="12">
    <mergeCell ref="B91:C92"/>
    <mergeCell ref="A147:E149"/>
    <mergeCell ref="A133:B135"/>
    <mergeCell ref="A2:C4"/>
    <mergeCell ref="A65:C67"/>
    <mergeCell ref="A55:D56"/>
    <mergeCell ref="B5:C6"/>
    <mergeCell ref="D13:E13"/>
    <mergeCell ref="D14:E14"/>
    <mergeCell ref="B17:C18"/>
    <mergeCell ref="B35:C36"/>
    <mergeCell ref="B48:C4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962E4-7093-434E-8DE7-CC5C22A96777}">
  <dimension ref="A2:Y418"/>
  <sheetViews>
    <sheetView showGridLines="0" topLeftCell="A406" zoomScaleNormal="100" workbookViewId="0">
      <selection activeCell="T414" sqref="T414"/>
    </sheetView>
  </sheetViews>
  <sheetFormatPr defaultRowHeight="15" x14ac:dyDescent="0.25"/>
  <cols>
    <col min="1" max="1" width="9" style="1"/>
    <col min="2" max="2" width="10.5" style="1" customWidth="1"/>
    <col min="3" max="3" width="12.5" style="1" customWidth="1"/>
    <col min="4" max="4" width="13.625" style="1" customWidth="1"/>
    <col min="5" max="5" width="9" style="1"/>
    <col min="6" max="6" width="9.75" style="1" customWidth="1"/>
    <col min="7" max="7" width="12.5" style="1" customWidth="1"/>
    <col min="8" max="8" width="10.25" style="1" customWidth="1"/>
    <col min="9" max="9" width="9" style="1"/>
    <col min="10" max="10" width="9.875" style="1" customWidth="1"/>
    <col min="11" max="11" width="11.875" style="1" customWidth="1"/>
    <col min="12" max="12" width="9" style="1"/>
    <col min="13" max="13" width="10.375" style="1" customWidth="1"/>
    <col min="14" max="16" width="9" style="1"/>
    <col min="17" max="17" width="9.75" style="1" bestFit="1" customWidth="1"/>
    <col min="18" max="16384" width="9" style="1"/>
  </cols>
  <sheetData>
    <row r="2" spans="1:2" x14ac:dyDescent="0.25">
      <c r="A2" s="169" t="s">
        <v>102</v>
      </c>
      <c r="B2" s="169"/>
    </row>
    <row r="3" spans="1:2" x14ac:dyDescent="0.25">
      <c r="A3" s="169"/>
      <c r="B3" s="169"/>
    </row>
    <row r="4" spans="1:2" x14ac:dyDescent="0.25">
      <c r="A4" s="170"/>
      <c r="B4" s="170"/>
    </row>
    <row r="6" spans="1:2" x14ac:dyDescent="0.25">
      <c r="B6" s="1" t="s">
        <v>95</v>
      </c>
    </row>
    <row r="7" spans="1:2" x14ac:dyDescent="0.25">
      <c r="B7" s="1" t="s">
        <v>96</v>
      </c>
    </row>
    <row r="9" spans="1:2" x14ac:dyDescent="0.25">
      <c r="B9" s="1" t="s">
        <v>97</v>
      </c>
    </row>
    <row r="11" spans="1:2" x14ac:dyDescent="0.25">
      <c r="B11" s="1" t="s">
        <v>98</v>
      </c>
    </row>
    <row r="13" spans="1:2" x14ac:dyDescent="0.25">
      <c r="A13" s="169" t="s">
        <v>99</v>
      </c>
      <c r="B13" s="169"/>
    </row>
    <row r="14" spans="1:2" x14ac:dyDescent="0.25">
      <c r="A14" s="169"/>
      <c r="B14" s="169"/>
    </row>
    <row r="15" spans="1:2" x14ac:dyDescent="0.25">
      <c r="A15" s="170"/>
      <c r="B15" s="170"/>
    </row>
    <row r="17" spans="1:4" x14ac:dyDescent="0.25">
      <c r="B17" s="1" t="s">
        <v>103</v>
      </c>
    </row>
    <row r="19" spans="1:4" x14ac:dyDescent="0.25">
      <c r="B19" s="1" t="s">
        <v>104</v>
      </c>
    </row>
    <row r="21" spans="1:4" x14ac:dyDescent="0.25">
      <c r="B21" s="1" t="s">
        <v>105</v>
      </c>
    </row>
    <row r="23" spans="1:4" ht="15" customHeight="1" x14ac:dyDescent="0.25">
      <c r="A23" s="169" t="s">
        <v>112</v>
      </c>
      <c r="B23" s="169"/>
      <c r="C23" s="169"/>
    </row>
    <row r="24" spans="1:4" ht="15" customHeight="1" x14ac:dyDescent="0.25">
      <c r="A24" s="169"/>
      <c r="B24" s="169"/>
      <c r="C24" s="169"/>
    </row>
    <row r="25" spans="1:4" ht="15" customHeight="1" x14ac:dyDescent="0.25">
      <c r="A25" s="170"/>
      <c r="B25" s="170"/>
      <c r="C25" s="170"/>
    </row>
    <row r="27" spans="1:4" x14ac:dyDescent="0.25">
      <c r="B27" s="1" t="s">
        <v>113</v>
      </c>
    </row>
    <row r="29" spans="1:4" ht="30.75" customHeight="1" x14ac:dyDescent="0.25">
      <c r="B29" s="3" t="s">
        <v>4</v>
      </c>
      <c r="C29" s="34" t="s">
        <v>114</v>
      </c>
      <c r="D29" s="34" t="s">
        <v>115</v>
      </c>
    </row>
    <row r="30" spans="1:4" x14ac:dyDescent="0.25">
      <c r="B30" s="3">
        <v>2000</v>
      </c>
      <c r="C30" s="3">
        <v>251</v>
      </c>
      <c r="D30" s="3"/>
    </row>
    <row r="31" spans="1:4" x14ac:dyDescent="0.25">
      <c r="B31" s="3">
        <v>2001</v>
      </c>
      <c r="C31" s="3">
        <v>252</v>
      </c>
      <c r="D31" s="21">
        <f>(C31-C30)/C30</f>
        <v>3.9840637450199202E-3</v>
      </c>
    </row>
    <row r="32" spans="1:4" x14ac:dyDescent="0.25">
      <c r="B32" s="3">
        <v>2002</v>
      </c>
      <c r="C32" s="3">
        <v>255</v>
      </c>
      <c r="D32" s="21">
        <f t="shared" ref="D32:D53" si="0">(C32-C31)/C31</f>
        <v>1.1904761904761904E-2</v>
      </c>
    </row>
    <row r="33" spans="2:4" x14ac:dyDescent="0.25">
      <c r="B33" s="3">
        <v>2003</v>
      </c>
      <c r="C33" s="3">
        <v>255</v>
      </c>
      <c r="D33" s="21">
        <f>(C33-C32)/C32</f>
        <v>0</v>
      </c>
    </row>
    <row r="34" spans="2:4" x14ac:dyDescent="0.25">
      <c r="B34" s="3">
        <v>2004</v>
      </c>
      <c r="C34" s="3">
        <v>257</v>
      </c>
      <c r="D34" s="21">
        <f t="shared" si="0"/>
        <v>7.8431372549019607E-3</v>
      </c>
    </row>
    <row r="35" spans="2:4" x14ac:dyDescent="0.25">
      <c r="B35" s="3">
        <v>2005</v>
      </c>
      <c r="C35" s="3">
        <v>256</v>
      </c>
      <c r="D35" s="21">
        <f t="shared" si="0"/>
        <v>-3.8910505836575876E-3</v>
      </c>
    </row>
    <row r="36" spans="2:4" x14ac:dyDescent="0.25">
      <c r="B36" s="3">
        <v>2006</v>
      </c>
      <c r="C36" s="3">
        <v>258</v>
      </c>
      <c r="D36" s="21">
        <f>(C36-C35)/C35</f>
        <v>7.8125E-3</v>
      </c>
    </row>
    <row r="37" spans="2:4" x14ac:dyDescent="0.25">
      <c r="B37" s="3">
        <v>2007</v>
      </c>
      <c r="C37" s="3">
        <v>250</v>
      </c>
      <c r="D37" s="21">
        <f t="shared" si="0"/>
        <v>-3.1007751937984496E-2</v>
      </c>
    </row>
    <row r="38" spans="2:4" x14ac:dyDescent="0.25">
      <c r="B38" s="3">
        <v>2008</v>
      </c>
      <c r="C38" s="3">
        <v>247</v>
      </c>
      <c r="D38" s="21">
        <f t="shared" si="0"/>
        <v>-1.2E-2</v>
      </c>
    </row>
    <row r="39" spans="2:4" x14ac:dyDescent="0.25">
      <c r="B39" s="3">
        <v>2009</v>
      </c>
      <c r="C39" s="3">
        <v>246.1</v>
      </c>
      <c r="D39" s="21">
        <f t="shared" si="0"/>
        <v>-3.6437246963562982E-3</v>
      </c>
    </row>
    <row r="40" spans="2:4" x14ac:dyDescent="0.25">
      <c r="B40" s="3">
        <v>2010</v>
      </c>
      <c r="C40" s="3">
        <v>242.8</v>
      </c>
      <c r="D40" s="21">
        <f t="shared" si="0"/>
        <v>-1.3409183258837802E-2</v>
      </c>
    </row>
    <row r="41" spans="2:4" x14ac:dyDescent="0.25">
      <c r="B41" s="3">
        <v>2011</v>
      </c>
      <c r="C41" s="3">
        <v>242.4</v>
      </c>
      <c r="D41" s="21">
        <f t="shared" si="0"/>
        <v>-1.6474464579901388E-3</v>
      </c>
    </row>
    <row r="42" spans="2:4" x14ac:dyDescent="0.25">
      <c r="B42" s="3">
        <v>2012</v>
      </c>
      <c r="C42" s="3">
        <v>254.3</v>
      </c>
      <c r="D42" s="21">
        <f t="shared" si="0"/>
        <v>4.9092409240924118E-2</v>
      </c>
    </row>
    <row r="43" spans="2:4" x14ac:dyDescent="0.25">
      <c r="B43" s="3">
        <v>2013</v>
      </c>
      <c r="C43" s="3">
        <v>255.2</v>
      </c>
      <c r="D43" s="21">
        <f t="shared" si="0"/>
        <v>3.5391270153361273E-3</v>
      </c>
    </row>
    <row r="44" spans="2:4" x14ac:dyDescent="0.25">
      <c r="B44" s="3">
        <v>2014</v>
      </c>
      <c r="C44" s="3">
        <v>267.10000000000002</v>
      </c>
      <c r="D44" s="21">
        <f t="shared" si="0"/>
        <v>4.663009404388728E-2</v>
      </c>
    </row>
    <row r="45" spans="2:4" x14ac:dyDescent="0.25">
      <c r="B45" s="3">
        <v>2015</v>
      </c>
      <c r="C45" s="3">
        <v>256.3</v>
      </c>
      <c r="D45" s="21">
        <f t="shared" si="0"/>
        <v>-4.0434294271808349E-2</v>
      </c>
    </row>
    <row r="46" spans="2:4" x14ac:dyDescent="0.25">
      <c r="B46" s="3">
        <v>2016</v>
      </c>
      <c r="C46" s="3">
        <v>274.7</v>
      </c>
      <c r="D46" s="21">
        <f t="shared" si="0"/>
        <v>7.1790870074131791E-2</v>
      </c>
    </row>
    <row r="47" spans="2:4" x14ac:dyDescent="0.25">
      <c r="B47" s="3">
        <v>2017</v>
      </c>
      <c r="C47" s="3">
        <v>281.8</v>
      </c>
      <c r="D47" s="21">
        <f t="shared" si="0"/>
        <v>2.5846377866763828E-2</v>
      </c>
    </row>
    <row r="48" spans="2:4" x14ac:dyDescent="0.25">
      <c r="B48" s="3">
        <v>2018</v>
      </c>
      <c r="C48" s="3">
        <v>287.5</v>
      </c>
      <c r="D48" s="21">
        <f t="shared" si="0"/>
        <v>2.0227111426543608E-2</v>
      </c>
    </row>
    <row r="49" spans="2:7" x14ac:dyDescent="0.25">
      <c r="B49" s="3">
        <v>2019</v>
      </c>
      <c r="C49" s="3">
        <v>293.39999999999998</v>
      </c>
      <c r="D49" s="21">
        <f t="shared" si="0"/>
        <v>2.0521739130434702E-2</v>
      </c>
    </row>
    <row r="50" spans="2:7" x14ac:dyDescent="0.25">
      <c r="B50" s="3">
        <v>2020</v>
      </c>
      <c r="C50" s="3">
        <v>285.5</v>
      </c>
      <c r="D50" s="21">
        <f t="shared" si="0"/>
        <v>-2.6925698704839733E-2</v>
      </c>
    </row>
    <row r="51" spans="2:7" x14ac:dyDescent="0.25">
      <c r="B51" s="3">
        <v>2021</v>
      </c>
      <c r="C51" s="3">
        <v>282.5</v>
      </c>
      <c r="D51" s="21">
        <f t="shared" si="0"/>
        <v>-1.0507880910683012E-2</v>
      </c>
    </row>
    <row r="52" spans="2:7" x14ac:dyDescent="0.25">
      <c r="B52" s="3">
        <v>2022</v>
      </c>
      <c r="C52" s="3">
        <v>279</v>
      </c>
      <c r="D52" s="21">
        <f t="shared" si="0"/>
        <v>-1.2389380530973451E-2</v>
      </c>
    </row>
    <row r="53" spans="2:7" x14ac:dyDescent="0.25">
      <c r="B53" s="3">
        <v>2023</v>
      </c>
      <c r="C53" s="3">
        <v>281.3</v>
      </c>
      <c r="D53" s="21">
        <f t="shared" si="0"/>
        <v>8.2437275985663486E-3</v>
      </c>
    </row>
    <row r="54" spans="2:7" x14ac:dyDescent="0.25">
      <c r="B54" s="3">
        <v>2024</v>
      </c>
      <c r="C54" s="3">
        <v>284.39999999999998</v>
      </c>
      <c r="D54" s="21">
        <f>(C54-C53)/C53</f>
        <v>1.1020263064343994E-2</v>
      </c>
    </row>
    <row r="56" spans="2:7" x14ac:dyDescent="0.25">
      <c r="E56" s="1" t="s">
        <v>116</v>
      </c>
      <c r="G56" s="41">
        <f>MEDIAN(D31:D54)</f>
        <v>3.761595380178024E-3</v>
      </c>
    </row>
    <row r="58" spans="2:7" x14ac:dyDescent="0.25">
      <c r="E58" s="1" t="s">
        <v>117</v>
      </c>
      <c r="G58" s="41">
        <f>AVERAGE(D31:D54)</f>
        <v>5.5249904588535294E-3</v>
      </c>
    </row>
    <row r="60" spans="2:7" x14ac:dyDescent="0.25">
      <c r="E60" s="1" t="s">
        <v>118</v>
      </c>
      <c r="G60" s="45">
        <v>0.01</v>
      </c>
    </row>
    <row r="63" spans="2:7" x14ac:dyDescent="0.25">
      <c r="B63" s="1" t="s">
        <v>119</v>
      </c>
    </row>
    <row r="65" spans="2:19" ht="30" x14ac:dyDescent="0.25">
      <c r="B65" s="1" t="s">
        <v>4</v>
      </c>
      <c r="C65" s="1" t="s">
        <v>81</v>
      </c>
      <c r="D65" s="37" t="s">
        <v>120</v>
      </c>
    </row>
    <row r="66" spans="2:19" x14ac:dyDescent="0.25">
      <c r="B66" s="1">
        <v>2024</v>
      </c>
      <c r="C66" s="24">
        <v>2326</v>
      </c>
      <c r="D66" s="5">
        <f>(C66-C67)/C67</f>
        <v>-0.26064844246662427</v>
      </c>
      <c r="N66" s="1" t="s">
        <v>121</v>
      </c>
      <c r="S66" s="46"/>
    </row>
    <row r="67" spans="2:19" x14ac:dyDescent="0.25">
      <c r="B67" s="1">
        <v>2023</v>
      </c>
      <c r="C67" s="24">
        <v>3146</v>
      </c>
      <c r="D67" s="5">
        <f t="shared" ref="D67:D80" si="1">(C67-C68)/C68</f>
        <v>0.77039954980303882</v>
      </c>
      <c r="S67" s="46"/>
    </row>
    <row r="68" spans="2:19" x14ac:dyDescent="0.25">
      <c r="B68" s="1">
        <v>2022</v>
      </c>
      <c r="C68" s="24">
        <v>1777</v>
      </c>
      <c r="D68" s="5">
        <f t="shared" si="1"/>
        <v>0.31727205337286879</v>
      </c>
      <c r="N68" s="1" t="s">
        <v>116</v>
      </c>
      <c r="P68" s="41">
        <f>MEDIAN(D66:D80)</f>
        <v>9.3684941013185294E-2</v>
      </c>
      <c r="S68" s="46"/>
    </row>
    <row r="69" spans="2:19" x14ac:dyDescent="0.25">
      <c r="B69" s="1">
        <v>2021</v>
      </c>
      <c r="C69" s="24">
        <v>1349</v>
      </c>
      <c r="D69" s="5">
        <f t="shared" si="1"/>
        <v>-2.2189349112426036E-3</v>
      </c>
      <c r="S69" s="46"/>
    </row>
    <row r="70" spans="2:19" x14ac:dyDescent="0.25">
      <c r="B70" s="1">
        <v>2020</v>
      </c>
      <c r="C70" s="24">
        <v>1352</v>
      </c>
      <c r="D70" s="5">
        <f t="shared" si="1"/>
        <v>-6.6127847171197646E-3</v>
      </c>
      <c r="N70" s="1" t="s">
        <v>117</v>
      </c>
      <c r="P70" s="41">
        <f>AVERAGE(D66:D80)</f>
        <v>9.7481173216047518E-2</v>
      </c>
      <c r="S70" s="46"/>
    </row>
    <row r="71" spans="2:19" x14ac:dyDescent="0.25">
      <c r="B71" s="1">
        <v>2019</v>
      </c>
      <c r="C71" s="24">
        <v>1361</v>
      </c>
      <c r="D71" s="5">
        <f t="shared" si="1"/>
        <v>-9.4477711244178308E-2</v>
      </c>
      <c r="S71" s="46"/>
    </row>
    <row r="72" spans="2:19" x14ac:dyDescent="0.25">
      <c r="B72" s="1">
        <v>2018</v>
      </c>
      <c r="C72" s="24">
        <v>1503</v>
      </c>
      <c r="D72" s="5">
        <f t="shared" si="1"/>
        <v>0.39813953488372095</v>
      </c>
      <c r="S72" s="46"/>
    </row>
    <row r="73" spans="2:19" x14ac:dyDescent="0.25">
      <c r="B73" s="1">
        <v>2017</v>
      </c>
      <c r="C73" s="24">
        <v>1075</v>
      </c>
      <c r="D73" s="5">
        <f t="shared" si="1"/>
        <v>-0.43687794656888423</v>
      </c>
      <c r="S73" s="46"/>
    </row>
    <row r="74" spans="2:19" x14ac:dyDescent="0.25">
      <c r="B74" s="1">
        <v>2016</v>
      </c>
      <c r="C74" s="24">
        <v>1909</v>
      </c>
      <c r="D74" s="5">
        <f t="shared" si="1"/>
        <v>0.21129441624365483</v>
      </c>
      <c r="S74" s="46"/>
    </row>
    <row r="75" spans="2:19" x14ac:dyDescent="0.25">
      <c r="B75" s="1">
        <v>2015</v>
      </c>
      <c r="C75" s="24">
        <v>1576</v>
      </c>
      <c r="D75" s="5">
        <f t="shared" si="1"/>
        <v>9.3684941013185294E-2</v>
      </c>
      <c r="S75" s="46"/>
    </row>
    <row r="76" spans="2:19" x14ac:dyDescent="0.25">
      <c r="B76" s="1">
        <v>2014</v>
      </c>
      <c r="C76" s="24">
        <v>1441</v>
      </c>
      <c r="D76" s="5">
        <f t="shared" si="1"/>
        <v>0.1187888198757764</v>
      </c>
      <c r="S76" s="46"/>
    </row>
    <row r="77" spans="2:19" x14ac:dyDescent="0.25">
      <c r="B77" s="1">
        <v>2013</v>
      </c>
      <c r="C77" s="24">
        <v>1288</v>
      </c>
      <c r="D77" s="5">
        <f t="shared" si="1"/>
        <v>0.15723270440251572</v>
      </c>
      <c r="S77" s="46"/>
    </row>
    <row r="78" spans="2:19" x14ac:dyDescent="0.25">
      <c r="B78" s="1">
        <v>2012</v>
      </c>
      <c r="C78" s="24">
        <v>1113</v>
      </c>
      <c r="D78" s="5">
        <f t="shared" si="1"/>
        <v>0.18152866242038215</v>
      </c>
      <c r="S78" s="46"/>
    </row>
    <row r="79" spans="2:19" x14ac:dyDescent="0.25">
      <c r="B79" s="1">
        <v>2011</v>
      </c>
      <c r="C79" s="24">
        <v>942</v>
      </c>
      <c r="D79" s="5">
        <f t="shared" si="1"/>
        <v>3.5164835164835165E-2</v>
      </c>
      <c r="S79" s="46"/>
    </row>
    <row r="80" spans="2:19" x14ac:dyDescent="0.25">
      <c r="B80" s="1">
        <v>2010</v>
      </c>
      <c r="C80" s="24">
        <v>910</v>
      </c>
      <c r="D80" s="5">
        <f t="shared" si="1"/>
        <v>-2.0452099031216361E-2</v>
      </c>
      <c r="S80" s="46"/>
    </row>
    <row r="81" spans="1:21" x14ac:dyDescent="0.25">
      <c r="B81" s="1">
        <v>2009</v>
      </c>
      <c r="C81" s="24">
        <v>929</v>
      </c>
      <c r="S81" s="46"/>
    </row>
    <row r="82" spans="1:21" x14ac:dyDescent="0.25">
      <c r="A82" s="169" t="s">
        <v>100</v>
      </c>
      <c r="B82" s="169"/>
    </row>
    <row r="83" spans="1:21" x14ac:dyDescent="0.25">
      <c r="A83" s="169"/>
      <c r="B83" s="169"/>
    </row>
    <row r="84" spans="1:21" x14ac:dyDescent="0.25">
      <c r="A84" s="170"/>
      <c r="B84" s="170"/>
    </row>
    <row r="85" spans="1:21" ht="18.75" x14ac:dyDescent="0.3">
      <c r="S85" s="173" t="s">
        <v>106</v>
      </c>
      <c r="T85" s="173"/>
      <c r="U85" s="42">
        <f>MEDIAN(D87:D91)</f>
        <v>0.31879902167495994</v>
      </c>
    </row>
    <row r="86" spans="1:21" ht="30" x14ac:dyDescent="0.3">
      <c r="B86" s="3" t="s">
        <v>80</v>
      </c>
      <c r="C86" s="3" t="s">
        <v>81</v>
      </c>
      <c r="D86" s="34" t="s">
        <v>101</v>
      </c>
      <c r="S86" s="43"/>
      <c r="T86" s="43"/>
      <c r="U86" s="43"/>
    </row>
    <row r="87" spans="1:21" ht="15" customHeight="1" x14ac:dyDescent="0.3">
      <c r="B87" s="3">
        <v>2023</v>
      </c>
      <c r="C87" s="25">
        <v>471857</v>
      </c>
      <c r="D87" s="21">
        <f>(C87-C88)/C88</f>
        <v>0.30329236293329653</v>
      </c>
      <c r="S87" s="173" t="s">
        <v>107</v>
      </c>
      <c r="T87" s="173"/>
      <c r="U87" s="42">
        <f>AVERAGE(D87:D91)</f>
        <v>0.34999050043116836</v>
      </c>
    </row>
    <row r="88" spans="1:21" ht="15" customHeight="1" x14ac:dyDescent="0.25">
      <c r="B88" s="3">
        <v>2022</v>
      </c>
      <c r="C88" s="25">
        <v>362050</v>
      </c>
      <c r="D88" s="21">
        <f>(C88-C89)/C89</f>
        <v>0.38769111655378863</v>
      </c>
    </row>
    <row r="89" spans="1:21" ht="15" customHeight="1" x14ac:dyDescent="0.25">
      <c r="B89" s="3">
        <v>2021</v>
      </c>
      <c r="C89" s="25">
        <v>260901</v>
      </c>
      <c r="D89" s="21">
        <f>(C89-C90)/C90</f>
        <v>0.2175704685458279</v>
      </c>
    </row>
    <row r="90" spans="1:21" x14ac:dyDescent="0.25">
      <c r="B90" s="3">
        <v>2020</v>
      </c>
      <c r="C90" s="25">
        <v>214280</v>
      </c>
      <c r="D90" s="21">
        <f>(C90-C91)/C91</f>
        <v>0.52259953244796886</v>
      </c>
    </row>
    <row r="91" spans="1:21" x14ac:dyDescent="0.25">
      <c r="B91" s="3">
        <v>2019</v>
      </c>
      <c r="C91" s="25">
        <v>140733</v>
      </c>
      <c r="D91" s="21">
        <f>(C91-C92)/C92</f>
        <v>0.31879902167495994</v>
      </c>
    </row>
    <row r="92" spans="1:21" x14ac:dyDescent="0.25">
      <c r="B92" s="38">
        <v>2018</v>
      </c>
      <c r="C92" s="39">
        <v>106713</v>
      </c>
      <c r="D92" s="5"/>
    </row>
    <row r="97" spans="2:23" x14ac:dyDescent="0.25">
      <c r="B97" s="174" t="s">
        <v>108</v>
      </c>
      <c r="C97" s="174"/>
    </row>
    <row r="98" spans="2:23" x14ac:dyDescent="0.25">
      <c r="B98" s="174"/>
      <c r="C98" s="174"/>
    </row>
    <row r="100" spans="2:23" x14ac:dyDescent="0.25">
      <c r="C100" s="1" t="s">
        <v>109</v>
      </c>
    </row>
    <row r="111" spans="2:23" x14ac:dyDescent="0.25">
      <c r="D111" s="1">
        <v>1</v>
      </c>
      <c r="E111" s="1">
        <v>2</v>
      </c>
      <c r="F111" s="1">
        <v>3</v>
      </c>
      <c r="G111" s="1">
        <v>4</v>
      </c>
      <c r="H111" s="1">
        <v>5</v>
      </c>
      <c r="I111" s="1">
        <v>6</v>
      </c>
      <c r="J111" s="1">
        <v>7</v>
      </c>
      <c r="K111" s="1">
        <v>8</v>
      </c>
      <c r="L111" s="1">
        <v>9</v>
      </c>
      <c r="M111" s="1">
        <v>10</v>
      </c>
      <c r="N111" s="1">
        <v>11</v>
      </c>
      <c r="O111" s="1">
        <v>12</v>
      </c>
      <c r="P111" s="1">
        <v>13</v>
      </c>
      <c r="Q111" s="1">
        <v>14</v>
      </c>
      <c r="R111" s="1">
        <v>15</v>
      </c>
      <c r="S111" s="1">
        <v>16</v>
      </c>
      <c r="T111" s="1">
        <v>17</v>
      </c>
      <c r="U111" s="1">
        <v>18</v>
      </c>
      <c r="V111" s="1">
        <v>19</v>
      </c>
      <c r="W111" s="1">
        <v>20</v>
      </c>
    </row>
    <row r="112" spans="2:23" x14ac:dyDescent="0.25">
      <c r="D112" s="45">
        <v>0.3</v>
      </c>
      <c r="E112" s="45">
        <v>0.3</v>
      </c>
      <c r="F112" s="45">
        <v>0.3</v>
      </c>
      <c r="G112" s="45">
        <v>0.3</v>
      </c>
      <c r="H112" s="45">
        <v>0.3</v>
      </c>
      <c r="I112" s="45">
        <v>0.3</v>
      </c>
      <c r="J112" s="45">
        <v>0.3</v>
      </c>
      <c r="K112" s="45">
        <v>0.3</v>
      </c>
      <c r="L112" s="45">
        <v>0.3</v>
      </c>
      <c r="M112" s="45">
        <v>0.3</v>
      </c>
      <c r="N112" s="45">
        <v>0.3</v>
      </c>
      <c r="O112" s="45">
        <v>0.4</v>
      </c>
      <c r="P112" s="45">
        <v>0.4</v>
      </c>
      <c r="Q112" s="45">
        <v>0.4</v>
      </c>
      <c r="R112" s="45">
        <v>0.4</v>
      </c>
      <c r="S112" s="45">
        <v>0.2</v>
      </c>
      <c r="T112" s="45">
        <v>0.2</v>
      </c>
      <c r="U112" s="45">
        <v>0.2</v>
      </c>
      <c r="V112" s="45">
        <v>0.2</v>
      </c>
      <c r="W112" s="45">
        <v>0.2</v>
      </c>
    </row>
    <row r="123" spans="2:18" x14ac:dyDescent="0.25">
      <c r="B123" s="174" t="s">
        <v>110</v>
      </c>
      <c r="C123" s="174"/>
    </row>
    <row r="124" spans="2:18" x14ac:dyDescent="0.25">
      <c r="B124" s="174"/>
      <c r="C124" s="174"/>
    </row>
    <row r="125" spans="2:18" x14ac:dyDescent="0.25">
      <c r="D125" s="1">
        <v>1</v>
      </c>
      <c r="E125" s="1">
        <v>2</v>
      </c>
      <c r="F125" s="1">
        <v>3</v>
      </c>
      <c r="G125" s="1">
        <v>4</v>
      </c>
      <c r="H125" s="1">
        <v>5</v>
      </c>
      <c r="I125" s="1">
        <v>6</v>
      </c>
      <c r="J125" s="1">
        <v>7</v>
      </c>
      <c r="K125" s="1">
        <v>8</v>
      </c>
      <c r="L125" s="1">
        <v>9</v>
      </c>
      <c r="M125" s="1">
        <v>10</v>
      </c>
      <c r="N125" s="1">
        <v>11</v>
      </c>
      <c r="O125" s="1">
        <v>12</v>
      </c>
      <c r="P125" s="1">
        <v>13</v>
      </c>
      <c r="Q125" s="1">
        <v>14</v>
      </c>
      <c r="R125" s="1">
        <v>15</v>
      </c>
    </row>
    <row r="126" spans="2:18" x14ac:dyDescent="0.25">
      <c r="D126" s="45">
        <v>0.3</v>
      </c>
      <c r="E126" s="45">
        <v>0.3</v>
      </c>
      <c r="F126" s="45">
        <v>0.3</v>
      </c>
      <c r="G126" s="45">
        <v>0.3</v>
      </c>
      <c r="H126" s="45">
        <v>0.3</v>
      </c>
      <c r="I126" s="45">
        <v>0.3</v>
      </c>
      <c r="J126" s="45">
        <v>0.3</v>
      </c>
      <c r="K126" s="45">
        <v>0.3</v>
      </c>
      <c r="L126" s="45">
        <v>0.3</v>
      </c>
      <c r="M126" s="45">
        <v>0.2</v>
      </c>
      <c r="N126" s="45">
        <v>0.2</v>
      </c>
      <c r="O126" s="45">
        <v>0.2</v>
      </c>
      <c r="P126" s="45">
        <v>0.2</v>
      </c>
      <c r="Q126" s="45">
        <v>0.1</v>
      </c>
      <c r="R126" s="45">
        <v>0.1</v>
      </c>
    </row>
    <row r="134" spans="2:13" x14ac:dyDescent="0.25">
      <c r="B134" s="174" t="s">
        <v>111</v>
      </c>
      <c r="C134" s="174"/>
    </row>
    <row r="135" spans="2:13" x14ac:dyDescent="0.25">
      <c r="B135" s="174"/>
      <c r="C135" s="174"/>
    </row>
    <row r="137" spans="2:13" x14ac:dyDescent="0.25">
      <c r="D137" s="1">
        <v>1</v>
      </c>
      <c r="E137" s="1">
        <v>2</v>
      </c>
      <c r="F137" s="1">
        <v>3</v>
      </c>
      <c r="G137" s="1">
        <v>4</v>
      </c>
      <c r="H137" s="1">
        <v>5</v>
      </c>
      <c r="I137" s="1">
        <v>6</v>
      </c>
      <c r="J137" s="1">
        <v>7</v>
      </c>
      <c r="K137" s="1">
        <v>8</v>
      </c>
      <c r="L137" s="1">
        <v>9</v>
      </c>
      <c r="M137" s="1">
        <v>10</v>
      </c>
    </row>
    <row r="138" spans="2:13" x14ac:dyDescent="0.25">
      <c r="D138" s="45">
        <v>0.3</v>
      </c>
      <c r="E138" s="45">
        <v>0.3</v>
      </c>
      <c r="F138" s="45">
        <v>0.3</v>
      </c>
      <c r="G138" s="45">
        <v>0.3</v>
      </c>
      <c r="H138" s="45">
        <v>0.3</v>
      </c>
      <c r="I138" s="45">
        <v>0.3</v>
      </c>
      <c r="J138" s="45">
        <v>0.15</v>
      </c>
      <c r="K138" s="45">
        <v>0.1</v>
      </c>
      <c r="L138" s="45">
        <v>0.05</v>
      </c>
      <c r="M138" s="45">
        <v>0.05</v>
      </c>
    </row>
    <row r="148" spans="1:10" ht="15" customHeight="1" x14ac:dyDescent="0.25">
      <c r="A148" s="169" t="s">
        <v>122</v>
      </c>
      <c r="B148" s="169"/>
      <c r="C148" s="169"/>
      <c r="I148" s="41">
        <f>AVERAGE(D155,D159,D163,D167,D171)</f>
        <v>3.1480579584313245E-2</v>
      </c>
      <c r="J148" s="41">
        <f>MEDIAN(D155:D171)</f>
        <v>2.380394079569113E-2</v>
      </c>
    </row>
    <row r="149" spans="1:10" ht="15" customHeight="1" x14ac:dyDescent="0.25">
      <c r="A149" s="169"/>
      <c r="B149" s="169"/>
      <c r="C149" s="169"/>
    </row>
    <row r="150" spans="1:10" ht="15" customHeight="1" x14ac:dyDescent="0.25">
      <c r="A150" s="170"/>
      <c r="B150" s="170"/>
      <c r="C150" s="170"/>
    </row>
    <row r="152" spans="1:10" ht="45" x14ac:dyDescent="0.25">
      <c r="B152" s="49" t="s">
        <v>123</v>
      </c>
      <c r="C152" s="49" t="s">
        <v>125</v>
      </c>
      <c r="D152" s="50" t="s">
        <v>124</v>
      </c>
      <c r="E152" s="37"/>
    </row>
    <row r="153" spans="1:10" x14ac:dyDescent="0.25">
      <c r="B153" s="51" t="s">
        <v>39</v>
      </c>
      <c r="C153" s="52">
        <v>0.1021595523322761</v>
      </c>
      <c r="E153" s="55"/>
    </row>
    <row r="154" spans="1:10" x14ac:dyDescent="0.25">
      <c r="B154" s="51" t="s">
        <v>40</v>
      </c>
      <c r="C154" s="52">
        <v>9.2531566773994031E-2</v>
      </c>
      <c r="E154" s="55"/>
    </row>
    <row r="155" spans="1:10" x14ac:dyDescent="0.25">
      <c r="B155" s="53" t="s">
        <v>41</v>
      </c>
      <c r="C155" s="54">
        <v>7.0395671345739805E-2</v>
      </c>
      <c r="D155" s="48">
        <v>7.0474741288144502E-2</v>
      </c>
      <c r="E155" s="55"/>
    </row>
    <row r="156" spans="1:10" x14ac:dyDescent="0.25">
      <c r="B156" s="51" t="s">
        <v>42</v>
      </c>
      <c r="C156" s="52">
        <v>6.1768693481052593E-2</v>
      </c>
      <c r="E156" s="55"/>
    </row>
    <row r="157" spans="1:10" x14ac:dyDescent="0.25">
      <c r="B157" s="51" t="s">
        <v>43</v>
      </c>
      <c r="C157" s="52">
        <v>5.7004839945433823E-2</v>
      </c>
      <c r="E157" s="55"/>
    </row>
    <row r="158" spans="1:10" x14ac:dyDescent="0.25">
      <c r="B158" s="51" t="s">
        <v>44</v>
      </c>
      <c r="C158" s="52">
        <v>4.2270525425154498E-2</v>
      </c>
      <c r="E158" s="55"/>
    </row>
    <row r="159" spans="1:10" x14ac:dyDescent="0.25">
      <c r="B159" s="53" t="s">
        <v>45</v>
      </c>
      <c r="C159" s="54">
        <v>5.7973091007282457E-3</v>
      </c>
      <c r="D159" s="54">
        <v>5.7973091007282457E-3</v>
      </c>
    </row>
    <row r="160" spans="1:10" x14ac:dyDescent="0.25">
      <c r="B160" s="51" t="s">
        <v>46</v>
      </c>
      <c r="C160" s="52">
        <v>-1.6946991704078752E-2</v>
      </c>
    </row>
    <row r="161" spans="2:4" x14ac:dyDescent="0.25">
      <c r="B161" s="51" t="s">
        <v>47</v>
      </c>
      <c r="C161" s="52">
        <v>-3.116277683783238E-2</v>
      </c>
    </row>
    <row r="162" spans="2:4" x14ac:dyDescent="0.25">
      <c r="B162" s="51" t="s">
        <v>48</v>
      </c>
      <c r="C162" s="52">
        <v>-2.5469001026918139E-2</v>
      </c>
    </row>
    <row r="163" spans="2:4" x14ac:dyDescent="0.25">
      <c r="B163" s="53" t="s">
        <v>49</v>
      </c>
      <c r="C163" s="54">
        <v>1.992665458293895E-4</v>
      </c>
      <c r="D163" s="54">
        <v>1.992665458293895E-4</v>
      </c>
    </row>
    <row r="164" spans="2:4" x14ac:dyDescent="0.25">
      <c r="B164" s="51" t="s">
        <v>50</v>
      </c>
      <c r="C164" s="52">
        <v>9.0340631373143892E-3</v>
      </c>
    </row>
    <row r="165" spans="2:4" x14ac:dyDescent="0.25">
      <c r="B165" s="51" t="s">
        <v>51</v>
      </c>
      <c r="C165" s="52">
        <v>2.815480273493683E-2</v>
      </c>
    </row>
    <row r="166" spans="2:4" x14ac:dyDescent="0.25">
      <c r="B166" s="51" t="s">
        <v>52</v>
      </c>
      <c r="C166" s="52">
        <v>5.5152336718593743E-2</v>
      </c>
    </row>
    <row r="167" spans="2:4" x14ac:dyDescent="0.25">
      <c r="B167" s="53" t="s">
        <v>53</v>
      </c>
      <c r="C167" s="54">
        <v>5.7127640191172967E-2</v>
      </c>
      <c r="D167" s="54">
        <v>5.7127640191172967E-2</v>
      </c>
    </row>
    <row r="168" spans="2:4" x14ac:dyDescent="0.25">
      <c r="B168" s="51" t="s">
        <v>54</v>
      </c>
      <c r="C168" s="52">
        <v>4.1528189763787339E-2</v>
      </c>
    </row>
    <row r="169" spans="2:4" x14ac:dyDescent="0.25">
      <c r="B169" s="51" t="s">
        <v>55</v>
      </c>
      <c r="C169" s="52">
        <v>3.9156246745202093E-2</v>
      </c>
    </row>
    <row r="170" spans="2:4" x14ac:dyDescent="0.25">
      <c r="B170" s="51" t="s">
        <v>56</v>
      </c>
      <c r="C170" s="52">
        <v>1.2808382732497891E-2</v>
      </c>
    </row>
    <row r="171" spans="2:4" x14ac:dyDescent="0.25">
      <c r="B171" s="53" t="s">
        <v>57</v>
      </c>
      <c r="C171" s="54">
        <v>2.380394079569113E-2</v>
      </c>
      <c r="D171" s="54">
        <v>2.380394079569113E-2</v>
      </c>
    </row>
    <row r="200" spans="2:16" x14ac:dyDescent="0.25">
      <c r="B200" s="1" t="s">
        <v>127</v>
      </c>
      <c r="E200" s="5">
        <v>8.8090000000000002E-2</v>
      </c>
    </row>
    <row r="201" spans="2:16" x14ac:dyDescent="0.25">
      <c r="E201" s="5"/>
    </row>
    <row r="202" spans="2:16" x14ac:dyDescent="0.25">
      <c r="B202" s="1" t="s">
        <v>126</v>
      </c>
      <c r="E202" s="5">
        <v>0.11433119932000001</v>
      </c>
    </row>
    <row r="205" spans="2:16" x14ac:dyDescent="0.25">
      <c r="B205" s="44" t="s">
        <v>128</v>
      </c>
    </row>
    <row r="207" spans="2:16" ht="60" x14ac:dyDescent="0.25">
      <c r="B207" s="56" t="s">
        <v>123</v>
      </c>
      <c r="C207" s="56" t="s">
        <v>129</v>
      </c>
      <c r="D207" s="56" t="s">
        <v>149</v>
      </c>
      <c r="E207" s="34" t="s">
        <v>153</v>
      </c>
      <c r="G207" s="56" t="s">
        <v>123</v>
      </c>
      <c r="H207" s="56" t="s">
        <v>151</v>
      </c>
      <c r="I207" s="57" t="s">
        <v>150</v>
      </c>
      <c r="J207" s="34" t="s">
        <v>153</v>
      </c>
      <c r="P207" s="49" t="s">
        <v>152</v>
      </c>
    </row>
    <row r="208" spans="2:16" x14ac:dyDescent="0.25">
      <c r="B208" s="30" t="s">
        <v>39</v>
      </c>
      <c r="C208" s="33">
        <v>0.1021595523322761</v>
      </c>
      <c r="D208" s="33">
        <v>0.13305035739622401</v>
      </c>
      <c r="E208" s="22">
        <f>C208-D208</f>
        <v>-3.089080506394791E-2</v>
      </c>
      <c r="G208" s="30" t="s">
        <v>39</v>
      </c>
      <c r="H208" s="33">
        <v>0.3644242265078208</v>
      </c>
      <c r="I208" s="33">
        <v>0.23061531084912371</v>
      </c>
      <c r="J208" s="22">
        <f>H208-I208</f>
        <v>0.1338089156586971</v>
      </c>
      <c r="P208" t="s">
        <v>130</v>
      </c>
    </row>
    <row r="209" spans="2:16" x14ac:dyDescent="0.25">
      <c r="B209" s="30" t="s">
        <v>40</v>
      </c>
      <c r="C209" s="33">
        <v>9.2531566773994031E-2</v>
      </c>
      <c r="D209" s="33">
        <v>0.1279027987305244</v>
      </c>
      <c r="E209" s="22">
        <f>C209-D209</f>
        <v>-3.5371231956530372E-2</v>
      </c>
      <c r="G209" s="30" t="s">
        <v>40</v>
      </c>
      <c r="H209" s="33">
        <v>0.35510507673674441</v>
      </c>
      <c r="I209" s="33">
        <v>0.23087054228142551</v>
      </c>
      <c r="J209" s="22">
        <f t="shared" ref="J209:J226" si="2">H209-I209</f>
        <v>0.1242345344553189</v>
      </c>
      <c r="P209" t="s">
        <v>131</v>
      </c>
    </row>
    <row r="210" spans="2:16" x14ac:dyDescent="0.25">
      <c r="B210" s="58" t="s">
        <v>41</v>
      </c>
      <c r="C210" s="59">
        <v>7.0395671345739805E-2</v>
      </c>
      <c r="D210" s="33">
        <v>0.2050912355418833</v>
      </c>
      <c r="E210" s="22">
        <f t="shared" ref="E210:E226" si="3">C210-D210</f>
        <v>-0.13469556419614348</v>
      </c>
      <c r="G210" s="58" t="s">
        <v>41</v>
      </c>
      <c r="H210" s="33">
        <v>0.34362927006882071</v>
      </c>
      <c r="I210" s="33">
        <v>0.29664883334684528</v>
      </c>
      <c r="J210" s="22">
        <f t="shared" si="2"/>
        <v>4.6980436721975438E-2</v>
      </c>
      <c r="P210" t="s">
        <v>132</v>
      </c>
    </row>
    <row r="211" spans="2:16" x14ac:dyDescent="0.25">
      <c r="B211" s="30" t="s">
        <v>42</v>
      </c>
      <c r="C211" s="33">
        <v>6.1768693481052593E-2</v>
      </c>
      <c r="D211" s="33">
        <v>0.26905408361101057</v>
      </c>
      <c r="E211" s="22">
        <f t="shared" si="3"/>
        <v>-0.20728539012995797</v>
      </c>
      <c r="G211" s="30" t="s">
        <v>42</v>
      </c>
      <c r="H211" s="33">
        <v>0.33658781047667202</v>
      </c>
      <c r="I211" s="33">
        <v>0.34576895451133299</v>
      </c>
      <c r="J211" s="22">
        <f t="shared" si="2"/>
        <v>-9.1811440346609707E-3</v>
      </c>
      <c r="P211" t="s">
        <v>133</v>
      </c>
    </row>
    <row r="212" spans="2:16" x14ac:dyDescent="0.25">
      <c r="B212" s="30" t="s">
        <v>43</v>
      </c>
      <c r="C212" s="33">
        <v>5.7004839945433823E-2</v>
      </c>
      <c r="D212" s="33">
        <v>0.30671412362050487</v>
      </c>
      <c r="E212" s="22">
        <f t="shared" si="3"/>
        <v>-0.24970928367507106</v>
      </c>
      <c r="G212" s="30" t="s">
        <v>43</v>
      </c>
      <c r="H212" s="33">
        <v>0.33466634275783452</v>
      </c>
      <c r="I212" s="33">
        <v>0.37920884651711179</v>
      </c>
      <c r="J212" s="22">
        <f t="shared" si="2"/>
        <v>-4.4542503759277263E-2</v>
      </c>
      <c r="P212" t="s">
        <v>134</v>
      </c>
    </row>
    <row r="213" spans="2:16" x14ac:dyDescent="0.25">
      <c r="B213" s="30" t="s">
        <v>44</v>
      </c>
      <c r="C213" s="33">
        <v>4.2270525425154498E-2</v>
      </c>
      <c r="D213" s="33">
        <v>0.31940705081585752</v>
      </c>
      <c r="E213" s="22">
        <f t="shared" si="3"/>
        <v>-0.27713652539070299</v>
      </c>
      <c r="G213" s="30" t="s">
        <v>44</v>
      </c>
      <c r="H213" s="33">
        <v>0.32263499304809917</v>
      </c>
      <c r="I213" s="33">
        <v>0.39009040605422141</v>
      </c>
      <c r="J213" s="22">
        <f t="shared" si="2"/>
        <v>-6.7455413006122233E-2</v>
      </c>
      <c r="P213" t="s">
        <v>135</v>
      </c>
    </row>
    <row r="214" spans="2:16" x14ac:dyDescent="0.25">
      <c r="B214" s="58" t="s">
        <v>45</v>
      </c>
      <c r="C214" s="59">
        <v>5.7973091007282457E-3</v>
      </c>
      <c r="D214" s="33">
        <v>0.24032522340067841</v>
      </c>
      <c r="E214" s="22">
        <f t="shared" si="3"/>
        <v>-0.23452791429995018</v>
      </c>
      <c r="G214" s="58" t="s">
        <v>45</v>
      </c>
      <c r="H214" s="33">
        <v>0.30155651136454442</v>
      </c>
      <c r="I214" s="33">
        <v>0.32438915048547518</v>
      </c>
      <c r="J214" s="22">
        <f t="shared" si="2"/>
        <v>-2.2832639120930753E-2</v>
      </c>
      <c r="P214" t="s">
        <v>136</v>
      </c>
    </row>
    <row r="215" spans="2:16" x14ac:dyDescent="0.25">
      <c r="B215" s="30" t="s">
        <v>46</v>
      </c>
      <c r="C215" s="33">
        <v>-1.6946991704078752E-2</v>
      </c>
      <c r="D215" s="33">
        <v>0.16344174538042799</v>
      </c>
      <c r="E215" s="22">
        <f t="shared" si="3"/>
        <v>-0.18038873708450676</v>
      </c>
      <c r="G215" s="30" t="s">
        <v>46</v>
      </c>
      <c r="H215" s="33">
        <v>0.29118288970036937</v>
      </c>
      <c r="I215" s="33">
        <v>0.2580301222890905</v>
      </c>
      <c r="J215" s="22">
        <f t="shared" si="2"/>
        <v>3.3152767411278872E-2</v>
      </c>
      <c r="P215" t="s">
        <v>137</v>
      </c>
    </row>
    <row r="216" spans="2:16" x14ac:dyDescent="0.25">
      <c r="B216" s="30" t="s">
        <v>47</v>
      </c>
      <c r="C216" s="33">
        <v>-3.116277683783238E-2</v>
      </c>
      <c r="D216" s="33">
        <v>7.9904984897118933E-2</v>
      </c>
      <c r="E216" s="22">
        <f t="shared" si="3"/>
        <v>-0.11106776173495131</v>
      </c>
      <c r="G216" s="30" t="s">
        <v>47</v>
      </c>
      <c r="H216" s="33">
        <v>0.28565326940968849</v>
      </c>
      <c r="I216" s="33">
        <v>0.1876359008787839</v>
      </c>
      <c r="J216" s="22">
        <f t="shared" si="2"/>
        <v>9.8017368530904592E-2</v>
      </c>
      <c r="P216" t="s">
        <v>138</v>
      </c>
    </row>
    <row r="217" spans="2:16" x14ac:dyDescent="0.25">
      <c r="B217" s="30" t="s">
        <v>48</v>
      </c>
      <c r="C217" s="33">
        <v>-2.5469001026918139E-2</v>
      </c>
      <c r="D217" s="33">
        <v>-9.7786602694604225E-3</v>
      </c>
      <c r="E217" s="22">
        <f t="shared" si="3"/>
        <v>-1.5690340757457719E-2</v>
      </c>
      <c r="G217" s="30" t="s">
        <v>48</v>
      </c>
      <c r="H217" s="33">
        <v>0.29794580591605041</v>
      </c>
      <c r="I217" s="33">
        <v>0.115828964870736</v>
      </c>
      <c r="J217" s="22">
        <f t="shared" si="2"/>
        <v>0.18211684104531439</v>
      </c>
      <c r="P217" t="s">
        <v>139</v>
      </c>
    </row>
    <row r="218" spans="2:16" x14ac:dyDescent="0.25">
      <c r="B218" s="58" t="s">
        <v>49</v>
      </c>
      <c r="C218" s="59">
        <v>1.992665458293895E-4</v>
      </c>
      <c r="D218" s="33">
        <v>-3.8528751342380159E-2</v>
      </c>
      <c r="E218" s="22">
        <f t="shared" si="3"/>
        <v>3.8728017888209551E-2</v>
      </c>
      <c r="G218" s="58" t="s">
        <v>49</v>
      </c>
      <c r="H218" s="33">
        <v>0.31767302659058771</v>
      </c>
      <c r="I218" s="33">
        <v>9.4725317638526665E-2</v>
      </c>
      <c r="J218" s="22">
        <f t="shared" si="2"/>
        <v>0.22294770895206106</v>
      </c>
      <c r="P218" t="s">
        <v>140</v>
      </c>
    </row>
    <row r="219" spans="2:16" x14ac:dyDescent="0.25">
      <c r="B219" s="30" t="s">
        <v>50</v>
      </c>
      <c r="C219" s="33">
        <v>9.0340631373143892E-3</v>
      </c>
      <c r="D219" s="33">
        <v>-2.787989754730082E-2</v>
      </c>
      <c r="E219" s="22">
        <f t="shared" si="3"/>
        <v>3.6913960684615207E-2</v>
      </c>
      <c r="G219" s="30" t="s">
        <v>50</v>
      </c>
      <c r="H219" s="33">
        <v>0.3401552308236841</v>
      </c>
      <c r="I219" s="33">
        <v>0.10843246794031471</v>
      </c>
      <c r="J219" s="22">
        <f t="shared" si="2"/>
        <v>0.2317227628833694</v>
      </c>
      <c r="P219" t="s">
        <v>141</v>
      </c>
    </row>
    <row r="220" spans="2:16" x14ac:dyDescent="0.25">
      <c r="B220" s="30" t="s">
        <v>51</v>
      </c>
      <c r="C220" s="33">
        <v>2.815480273493683E-2</v>
      </c>
      <c r="D220" s="33">
        <v>-1.9468769389635581E-2</v>
      </c>
      <c r="E220" s="22">
        <f t="shared" si="3"/>
        <v>4.7623572124572411E-2</v>
      </c>
      <c r="G220" s="30" t="s">
        <v>51</v>
      </c>
      <c r="H220" s="33">
        <v>0.35066492598411259</v>
      </c>
      <c r="I220" s="33">
        <v>0.11909878641730311</v>
      </c>
      <c r="J220" s="22">
        <f t="shared" si="2"/>
        <v>0.23156613956680949</v>
      </c>
      <c r="P220" t="s">
        <v>142</v>
      </c>
    </row>
    <row r="221" spans="2:16" x14ac:dyDescent="0.25">
      <c r="B221" s="30" t="s">
        <v>52</v>
      </c>
      <c r="C221" s="33">
        <v>5.5152336718593743E-2</v>
      </c>
      <c r="D221" s="33">
        <v>4.3272980875345861E-2</v>
      </c>
      <c r="E221" s="22">
        <f t="shared" si="3"/>
        <v>1.1879355843247882E-2</v>
      </c>
      <c r="G221" s="30" t="s">
        <v>52</v>
      </c>
      <c r="H221" s="33">
        <v>0.35557679059534658</v>
      </c>
      <c r="I221" s="33">
        <v>0.16815086576942331</v>
      </c>
      <c r="J221" s="22">
        <f t="shared" si="2"/>
        <v>0.18742592482592327</v>
      </c>
      <c r="P221" t="s">
        <v>143</v>
      </c>
    </row>
    <row r="222" spans="2:16" x14ac:dyDescent="0.25">
      <c r="B222" s="58" t="s">
        <v>53</v>
      </c>
      <c r="C222" s="59">
        <v>5.7127640191172967E-2</v>
      </c>
      <c r="D222" s="33">
        <v>4.7643170994926452E-2</v>
      </c>
      <c r="E222" s="22">
        <f t="shared" si="3"/>
        <v>9.4844691962465144E-3</v>
      </c>
      <c r="G222" s="58" t="s">
        <v>53</v>
      </c>
      <c r="H222" s="33">
        <v>0.34818521165912159</v>
      </c>
      <c r="I222" s="33">
        <v>0.17133334862139871</v>
      </c>
      <c r="J222" s="22">
        <f t="shared" si="2"/>
        <v>0.17685186303772288</v>
      </c>
      <c r="P222" t="s">
        <v>144</v>
      </c>
    </row>
    <row r="223" spans="2:16" x14ac:dyDescent="0.25">
      <c r="B223" s="30" t="s">
        <v>54</v>
      </c>
      <c r="C223" s="33">
        <v>4.1528189763787339E-2</v>
      </c>
      <c r="D223" s="33">
        <v>2.6735555595146891E-2</v>
      </c>
      <c r="E223" s="22">
        <f t="shared" si="3"/>
        <v>1.4792634168640448E-2</v>
      </c>
      <c r="G223" s="30" t="s">
        <v>54</v>
      </c>
      <c r="H223" s="33">
        <v>0.33073740810920738</v>
      </c>
      <c r="I223" s="33">
        <v>0.15498441091058099</v>
      </c>
      <c r="J223" s="22">
        <f t="shared" si="2"/>
        <v>0.17575299719862639</v>
      </c>
      <c r="P223" t="s">
        <v>145</v>
      </c>
    </row>
    <row r="224" spans="2:16" x14ac:dyDescent="0.25">
      <c r="B224" s="30" t="s">
        <v>55</v>
      </c>
      <c r="C224" s="33">
        <v>3.9156246745202093E-2</v>
      </c>
      <c r="D224" s="33">
        <v>9.3888099294988422E-4</v>
      </c>
      <c r="E224" s="22">
        <f t="shared" si="3"/>
        <v>3.8217365752252208E-2</v>
      </c>
      <c r="G224" s="30" t="s">
        <v>55</v>
      </c>
      <c r="H224" s="33">
        <v>0.32300751549969031</v>
      </c>
      <c r="I224" s="33">
        <v>0.13286978704640171</v>
      </c>
      <c r="J224" s="22">
        <f t="shared" si="2"/>
        <v>0.19013772845328861</v>
      </c>
      <c r="P224" t="s">
        <v>146</v>
      </c>
    </row>
    <row r="225" spans="2:16" x14ac:dyDescent="0.25">
      <c r="B225" s="30" t="s">
        <v>56</v>
      </c>
      <c r="C225" s="33">
        <v>1.2808382732497891E-2</v>
      </c>
      <c r="D225" s="33">
        <v>-8.9276140774722443E-2</v>
      </c>
      <c r="E225" s="22">
        <f t="shared" si="3"/>
        <v>0.10208452350722033</v>
      </c>
      <c r="G225" s="30" t="s">
        <v>56</v>
      </c>
      <c r="H225" s="33">
        <v>0.30396416227384188</v>
      </c>
      <c r="I225" s="33">
        <v>6.008662694427102E-2</v>
      </c>
      <c r="J225" s="22">
        <f t="shared" si="2"/>
        <v>0.24387753532957085</v>
      </c>
      <c r="P225" t="s">
        <v>147</v>
      </c>
    </row>
    <row r="226" spans="2:16" x14ac:dyDescent="0.25">
      <c r="B226" s="58" t="s">
        <v>57</v>
      </c>
      <c r="C226" s="59">
        <v>2.380394079569113E-2</v>
      </c>
      <c r="D226" s="33">
        <v>-5.9367280261375409E-2</v>
      </c>
      <c r="E226" s="22">
        <f t="shared" si="3"/>
        <v>8.3171221057066536E-2</v>
      </c>
      <c r="G226" s="58" t="s">
        <v>57</v>
      </c>
      <c r="H226" s="33">
        <v>0.30466912522293987</v>
      </c>
      <c r="I226" s="33">
        <v>8.4983154693395707E-2</v>
      </c>
      <c r="J226" s="22">
        <f t="shared" si="2"/>
        <v>0.21968597052954417</v>
      </c>
      <c r="P226" t="s">
        <v>148</v>
      </c>
    </row>
    <row r="227" spans="2:16" x14ac:dyDescent="0.25">
      <c r="D227"/>
      <c r="E227" s="47"/>
      <c r="F227"/>
    </row>
    <row r="228" spans="2:16" x14ac:dyDescent="0.25">
      <c r="D228"/>
      <c r="E228" s="47"/>
      <c r="F228"/>
    </row>
    <row r="229" spans="2:16" x14ac:dyDescent="0.25">
      <c r="D229"/>
      <c r="E229" s="47"/>
      <c r="F229"/>
    </row>
    <row r="230" spans="2:16" x14ac:dyDescent="0.25">
      <c r="D230"/>
      <c r="E230" s="47"/>
      <c r="F230"/>
    </row>
    <row r="231" spans="2:16" x14ac:dyDescent="0.25">
      <c r="D231"/>
      <c r="E231" s="47"/>
      <c r="F231"/>
    </row>
    <row r="232" spans="2:16" x14ac:dyDescent="0.25">
      <c r="D232"/>
      <c r="E232" s="47"/>
      <c r="F232"/>
    </row>
    <row r="233" spans="2:16" x14ac:dyDescent="0.25">
      <c r="D233"/>
      <c r="E233" s="47"/>
      <c r="F233"/>
    </row>
    <row r="234" spans="2:16" x14ac:dyDescent="0.25">
      <c r="D234"/>
      <c r="E234" s="47"/>
      <c r="F234"/>
    </row>
    <row r="235" spans="2:16" x14ac:dyDescent="0.25">
      <c r="D235"/>
      <c r="E235" s="47"/>
      <c r="F235"/>
    </row>
    <row r="236" spans="2:16" x14ac:dyDescent="0.25">
      <c r="D236"/>
      <c r="E236" s="47"/>
      <c r="F236"/>
    </row>
    <row r="237" spans="2:16" x14ac:dyDescent="0.25">
      <c r="D237"/>
      <c r="E237" s="47"/>
      <c r="F237"/>
    </row>
    <row r="238" spans="2:16" x14ac:dyDescent="0.25">
      <c r="D238"/>
      <c r="E238" s="47"/>
      <c r="F238"/>
    </row>
    <row r="239" spans="2:16" x14ac:dyDescent="0.25">
      <c r="D239"/>
      <c r="E239" s="47"/>
      <c r="F239"/>
    </row>
    <row r="240" spans="2:16" x14ac:dyDescent="0.25">
      <c r="D240"/>
      <c r="E240" s="47"/>
      <c r="F240"/>
    </row>
    <row r="241" spans="4:5" x14ac:dyDescent="0.25">
      <c r="D241"/>
      <c r="E241" s="47"/>
    </row>
    <row r="242" spans="4:5" x14ac:dyDescent="0.25">
      <c r="D242"/>
      <c r="E242" s="47"/>
    </row>
    <row r="243" spans="4:5" x14ac:dyDescent="0.25">
      <c r="D243"/>
      <c r="E243" s="47"/>
    </row>
    <row r="244" spans="4:5" x14ac:dyDescent="0.25">
      <c r="D244"/>
      <c r="E244" s="47"/>
    </row>
    <row r="245" spans="4:5" x14ac:dyDescent="0.25">
      <c r="D245"/>
      <c r="E245" s="47"/>
    </row>
    <row r="246" spans="4:5" x14ac:dyDescent="0.25">
      <c r="D246"/>
      <c r="E246" s="47"/>
    </row>
    <row r="247" spans="4:5" x14ac:dyDescent="0.25">
      <c r="D247"/>
      <c r="E247" s="47"/>
    </row>
    <row r="248" spans="4:5" x14ac:dyDescent="0.25">
      <c r="D248"/>
      <c r="E248" s="47"/>
    </row>
    <row r="249" spans="4:5" x14ac:dyDescent="0.25">
      <c r="D249"/>
      <c r="E249" s="47"/>
    </row>
    <row r="250" spans="4:5" x14ac:dyDescent="0.25">
      <c r="D250"/>
      <c r="E250" s="47"/>
    </row>
    <row r="251" spans="4:5" x14ac:dyDescent="0.25">
      <c r="D251"/>
      <c r="E251" s="47"/>
    </row>
    <row r="252" spans="4:5" x14ac:dyDescent="0.25">
      <c r="D252"/>
      <c r="E252" s="47"/>
    </row>
    <row r="253" spans="4:5" x14ac:dyDescent="0.25">
      <c r="D253"/>
      <c r="E253" s="47"/>
    </row>
    <row r="254" spans="4:5" x14ac:dyDescent="0.25">
      <c r="D254"/>
      <c r="E254" s="47"/>
    </row>
    <row r="255" spans="4:5" x14ac:dyDescent="0.25">
      <c r="D255"/>
      <c r="E255" s="47"/>
    </row>
    <row r="256" spans="4:5" x14ac:dyDescent="0.25">
      <c r="D256"/>
      <c r="E256" s="47"/>
    </row>
    <row r="257" spans="4:5" x14ac:dyDescent="0.25">
      <c r="D257"/>
      <c r="E257" s="47"/>
    </row>
    <row r="258" spans="4:5" x14ac:dyDescent="0.25">
      <c r="D258"/>
      <c r="E258" s="47"/>
    </row>
    <row r="259" spans="4:5" x14ac:dyDescent="0.25">
      <c r="D259"/>
      <c r="E259" s="47"/>
    </row>
    <row r="260" spans="4:5" x14ac:dyDescent="0.25">
      <c r="D260"/>
      <c r="E260" s="47"/>
    </row>
    <row r="288" spans="2:2" ht="22.5" x14ac:dyDescent="0.3">
      <c r="B288" s="61" t="s">
        <v>154</v>
      </c>
    </row>
    <row r="290" spans="2:19" ht="22.5" x14ac:dyDescent="0.3">
      <c r="B290" s="62" t="s">
        <v>155</v>
      </c>
    </row>
    <row r="292" spans="2:19" ht="60" x14ac:dyDescent="0.25">
      <c r="M292" s="3" t="s">
        <v>80</v>
      </c>
      <c r="N292" s="3" t="s">
        <v>81</v>
      </c>
      <c r="O292" s="3" t="s">
        <v>156</v>
      </c>
      <c r="P292" s="34" t="s">
        <v>157</v>
      </c>
      <c r="Q292" s="34" t="s">
        <v>158</v>
      </c>
      <c r="R292" s="34" t="s">
        <v>159</v>
      </c>
      <c r="S292" s="34" t="s">
        <v>160</v>
      </c>
    </row>
    <row r="293" spans="2:19" x14ac:dyDescent="0.25">
      <c r="M293" s="3">
        <v>2023</v>
      </c>
      <c r="N293" s="25">
        <v>471857</v>
      </c>
      <c r="O293" s="63">
        <v>101728</v>
      </c>
      <c r="P293" s="63">
        <v>27344</v>
      </c>
      <c r="Q293" s="63">
        <f>SUM(O293:P293)</f>
        <v>129072</v>
      </c>
      <c r="R293" s="40">
        <f>O293/N293</f>
        <v>0.21559074041499862</v>
      </c>
      <c r="S293" s="40">
        <f>P293/N293</f>
        <v>5.7949760202773301E-2</v>
      </c>
    </row>
    <row r="294" spans="2:19" x14ac:dyDescent="0.25">
      <c r="M294" s="3">
        <v>2022</v>
      </c>
      <c r="N294" s="25">
        <v>362050</v>
      </c>
      <c r="O294" s="63">
        <v>77236</v>
      </c>
      <c r="P294" s="63">
        <v>30104</v>
      </c>
      <c r="Q294" s="63">
        <f t="shared" ref="Q294:Q298" si="4">SUM(O294:P294)</f>
        <v>107340</v>
      </c>
      <c r="R294" s="40">
        <f>O294/N294</f>
        <v>0.21332965060074574</v>
      </c>
      <c r="S294" s="40">
        <f>P294/N294</f>
        <v>8.314873636238089E-2</v>
      </c>
    </row>
    <row r="295" spans="2:19" x14ac:dyDescent="0.25">
      <c r="M295" s="3">
        <v>2021</v>
      </c>
      <c r="N295" s="25">
        <v>260901</v>
      </c>
      <c r="O295" s="63">
        <v>57868</v>
      </c>
      <c r="P295" s="63">
        <v>24979</v>
      </c>
      <c r="Q295" s="63">
        <f t="shared" si="4"/>
        <v>82847</v>
      </c>
      <c r="R295" s="40">
        <f>O295/N295</f>
        <v>0.22180060636026691</v>
      </c>
      <c r="S295" s="40">
        <f>P295/N295</f>
        <v>9.5741296507104223E-2</v>
      </c>
    </row>
    <row r="296" spans="2:19" x14ac:dyDescent="0.25">
      <c r="M296" s="3">
        <v>2020</v>
      </c>
      <c r="N296" s="25">
        <v>214280</v>
      </c>
      <c r="O296" s="63"/>
      <c r="P296" s="63"/>
      <c r="Q296" s="63">
        <f t="shared" si="4"/>
        <v>0</v>
      </c>
      <c r="R296" s="5"/>
      <c r="S296" s="5"/>
    </row>
    <row r="297" spans="2:19" x14ac:dyDescent="0.25">
      <c r="M297" s="3">
        <v>2019</v>
      </c>
      <c r="N297" s="25">
        <v>140733</v>
      </c>
      <c r="O297" s="63"/>
      <c r="P297" s="63"/>
      <c r="Q297" s="63">
        <f t="shared" si="4"/>
        <v>0</v>
      </c>
      <c r="R297" s="5"/>
      <c r="S297" s="5"/>
    </row>
    <row r="298" spans="2:19" x14ac:dyDescent="0.25">
      <c r="M298" s="3">
        <v>2018</v>
      </c>
      <c r="N298" s="25">
        <v>106713</v>
      </c>
      <c r="O298" s="63"/>
      <c r="P298" s="63"/>
      <c r="Q298" s="63">
        <f t="shared" si="4"/>
        <v>0</v>
      </c>
      <c r="R298" s="5"/>
      <c r="S298" s="5"/>
    </row>
    <row r="316" spans="2:22" ht="22.5" x14ac:dyDescent="0.3">
      <c r="B316" s="62" t="s">
        <v>161</v>
      </c>
    </row>
    <row r="320" spans="2:22" ht="45" x14ac:dyDescent="0.25">
      <c r="P320" s="3" t="s">
        <v>80</v>
      </c>
      <c r="Q320" s="3" t="s">
        <v>81</v>
      </c>
      <c r="R320" s="3" t="s">
        <v>156</v>
      </c>
      <c r="S320" s="34" t="s">
        <v>159</v>
      </c>
      <c r="T320" s="64"/>
      <c r="U320" s="34" t="s">
        <v>155</v>
      </c>
      <c r="V320" s="34" t="s">
        <v>161</v>
      </c>
    </row>
    <row r="321" spans="16:22" x14ac:dyDescent="0.25">
      <c r="P321" s="3">
        <v>2023</v>
      </c>
      <c r="Q321" s="25">
        <v>2326443</v>
      </c>
      <c r="R321" s="63">
        <v>252625</v>
      </c>
      <c r="S321" s="40">
        <f>R321/Q321</f>
        <v>0.10858851903958103</v>
      </c>
      <c r="T321" s="65"/>
      <c r="U321" s="40">
        <v>0.21559074041499862</v>
      </c>
      <c r="V321" s="40">
        <v>0.10858851903958103</v>
      </c>
    </row>
    <row r="322" spans="16:22" x14ac:dyDescent="0.25">
      <c r="P322" s="3">
        <v>2022</v>
      </c>
      <c r="Q322" s="25">
        <v>3146217</v>
      </c>
      <c r="R322" s="63">
        <v>232207</v>
      </c>
      <c r="S322" s="40">
        <f t="shared" ref="S322:S323" si="5">R322/Q322</f>
        <v>7.3805144400402131E-2</v>
      </c>
      <c r="T322" s="65"/>
      <c r="U322" s="40">
        <v>0.21332965060074574</v>
      </c>
      <c r="V322" s="40">
        <v>7.3805144400402131E-2</v>
      </c>
    </row>
    <row r="323" spans="16:22" x14ac:dyDescent="0.25">
      <c r="P323" s="3">
        <v>2021</v>
      </c>
      <c r="Q323" s="25">
        <v>1777159</v>
      </c>
      <c r="R323" s="63">
        <v>198631</v>
      </c>
      <c r="S323" s="40">
        <f t="shared" si="5"/>
        <v>0.11176884004188709</v>
      </c>
      <c r="T323" s="65"/>
      <c r="U323" s="40">
        <v>0.22180060636026691</v>
      </c>
      <c r="V323" s="40">
        <v>0.11176884004188709</v>
      </c>
    </row>
    <row r="324" spans="16:22" x14ac:dyDescent="0.25">
      <c r="P324" s="3">
        <v>2020</v>
      </c>
      <c r="Q324" s="25"/>
      <c r="R324" s="63"/>
      <c r="S324" s="63"/>
      <c r="T324" s="65"/>
      <c r="U324" s="55"/>
    </row>
    <row r="325" spans="16:22" x14ac:dyDescent="0.25">
      <c r="P325" s="3">
        <v>2019</v>
      </c>
      <c r="Q325" s="25"/>
      <c r="R325" s="63"/>
      <c r="S325" s="63"/>
      <c r="T325" s="65"/>
      <c r="U325" s="55"/>
    </row>
    <row r="326" spans="16:22" x14ac:dyDescent="0.25">
      <c r="P326" s="3">
        <v>2018</v>
      </c>
      <c r="Q326" s="25"/>
      <c r="R326" s="63"/>
      <c r="S326" s="63"/>
      <c r="T326" s="65"/>
      <c r="U326" s="55"/>
    </row>
    <row r="363" spans="2:2" ht="18.75" x14ac:dyDescent="0.3">
      <c r="B363" s="60" t="s">
        <v>162</v>
      </c>
    </row>
    <row r="364" spans="2:2" ht="18.75" x14ac:dyDescent="0.3">
      <c r="B364" s="60" t="s">
        <v>163</v>
      </c>
    </row>
    <row r="365" spans="2:2" ht="18.75" x14ac:dyDescent="0.3">
      <c r="B365" s="43"/>
    </row>
    <row r="366" spans="2:2" ht="18.75" x14ac:dyDescent="0.3">
      <c r="B366" s="60" t="s">
        <v>164</v>
      </c>
    </row>
    <row r="370" spans="3:25" x14ac:dyDescent="0.25">
      <c r="C370" s="174" t="s">
        <v>108</v>
      </c>
      <c r="D370" s="174"/>
    </row>
    <row r="371" spans="3:25" x14ac:dyDescent="0.25">
      <c r="C371" s="174"/>
      <c r="D371" s="174"/>
    </row>
    <row r="373" spans="3:25" x14ac:dyDescent="0.25">
      <c r="D373" s="1" t="s">
        <v>166</v>
      </c>
      <c r="E373" s="2">
        <v>0.114</v>
      </c>
    </row>
    <row r="374" spans="3:25" x14ac:dyDescent="0.25">
      <c r="D374" s="1" t="s">
        <v>167</v>
      </c>
      <c r="E374" s="5">
        <v>8.8090000000000002E-2</v>
      </c>
    </row>
    <row r="376" spans="3:25" x14ac:dyDescent="0.25">
      <c r="D376" s="1" t="s">
        <v>168</v>
      </c>
      <c r="E376" s="41">
        <f>AVERAGE(C153:C171)</f>
        <v>3.2911276747398716E-2</v>
      </c>
    </row>
    <row r="377" spans="3:25" x14ac:dyDescent="0.25">
      <c r="D377" s="1" t="s">
        <v>169</v>
      </c>
      <c r="E377" s="41">
        <f>MEDIAN(C153:C171)</f>
        <v>3.9156246745202093E-2</v>
      </c>
    </row>
    <row r="379" spans="3:25" x14ac:dyDescent="0.25">
      <c r="F379" s="1">
        <f>(E381-Y381)/20</f>
        <v>2.0999999999999999E-3</v>
      </c>
    </row>
    <row r="380" spans="3:25" x14ac:dyDescent="0.25">
      <c r="D380" s="17" t="s">
        <v>4</v>
      </c>
      <c r="E380" s="17">
        <v>0</v>
      </c>
      <c r="F380" s="17">
        <v>1</v>
      </c>
      <c r="G380" s="17">
        <v>2</v>
      </c>
      <c r="H380" s="17">
        <v>3</v>
      </c>
      <c r="I380" s="17">
        <v>4</v>
      </c>
      <c r="J380" s="17">
        <v>5</v>
      </c>
      <c r="K380" s="17">
        <v>6</v>
      </c>
      <c r="L380" s="17">
        <v>7</v>
      </c>
      <c r="M380" s="17">
        <v>8</v>
      </c>
      <c r="N380" s="17">
        <v>9</v>
      </c>
      <c r="O380" s="17">
        <v>10</v>
      </c>
      <c r="P380" s="17">
        <v>11</v>
      </c>
      <c r="Q380" s="17">
        <v>12</v>
      </c>
      <c r="R380" s="17">
        <v>13</v>
      </c>
      <c r="S380" s="17">
        <v>14</v>
      </c>
      <c r="T380" s="17">
        <v>15</v>
      </c>
      <c r="U380" s="17">
        <v>16</v>
      </c>
      <c r="V380" s="17">
        <v>17</v>
      </c>
      <c r="W380" s="17">
        <v>18</v>
      </c>
      <c r="X380" s="17">
        <v>19</v>
      </c>
      <c r="Y380" s="17">
        <v>20</v>
      </c>
    </row>
    <row r="381" spans="3:25" x14ac:dyDescent="0.25">
      <c r="D381" s="17" t="s">
        <v>165</v>
      </c>
      <c r="E381" s="66">
        <v>0.10199999999999999</v>
      </c>
      <c r="F381" s="66">
        <f>E381-$F$379</f>
        <v>9.9899999999999989E-2</v>
      </c>
      <c r="G381" s="66">
        <f t="shared" ref="G381:X381" si="6">F381-$F$379</f>
        <v>9.7799999999999984E-2</v>
      </c>
      <c r="H381" s="66">
        <f t="shared" si="6"/>
        <v>9.569999999999998E-2</v>
      </c>
      <c r="I381" s="66">
        <f t="shared" si="6"/>
        <v>9.3599999999999975E-2</v>
      </c>
      <c r="J381" s="66">
        <f t="shared" si="6"/>
        <v>9.149999999999997E-2</v>
      </c>
      <c r="K381" s="66">
        <f t="shared" si="6"/>
        <v>8.9399999999999966E-2</v>
      </c>
      <c r="L381" s="66">
        <f t="shared" si="6"/>
        <v>8.7299999999999961E-2</v>
      </c>
      <c r="M381" s="66">
        <f t="shared" si="6"/>
        <v>8.5199999999999956E-2</v>
      </c>
      <c r="N381" s="66">
        <f t="shared" si="6"/>
        <v>8.3099999999999952E-2</v>
      </c>
      <c r="O381" s="66">
        <f t="shared" si="6"/>
        <v>8.0999999999999947E-2</v>
      </c>
      <c r="P381" s="66">
        <f t="shared" si="6"/>
        <v>7.8899999999999942E-2</v>
      </c>
      <c r="Q381" s="66">
        <f t="shared" si="6"/>
        <v>7.6799999999999938E-2</v>
      </c>
      <c r="R381" s="66">
        <f t="shared" si="6"/>
        <v>7.4699999999999933E-2</v>
      </c>
      <c r="S381" s="66">
        <f t="shared" si="6"/>
        <v>7.2599999999999928E-2</v>
      </c>
      <c r="T381" s="66">
        <f t="shared" si="6"/>
        <v>7.0499999999999924E-2</v>
      </c>
      <c r="U381" s="66">
        <f t="shared" si="6"/>
        <v>6.8399999999999919E-2</v>
      </c>
      <c r="V381" s="66">
        <f t="shared" si="6"/>
        <v>6.6299999999999915E-2</v>
      </c>
      <c r="W381" s="66">
        <f t="shared" si="6"/>
        <v>6.419999999999991E-2</v>
      </c>
      <c r="X381" s="66">
        <f t="shared" si="6"/>
        <v>6.2099999999999912E-2</v>
      </c>
      <c r="Y381" s="67">
        <v>0.06</v>
      </c>
    </row>
    <row r="383" spans="3:25" x14ac:dyDescent="0.25">
      <c r="D383" s="1" t="s">
        <v>170</v>
      </c>
    </row>
    <row r="385" spans="3:20" x14ac:dyDescent="0.25">
      <c r="C385" s="174" t="s">
        <v>110</v>
      </c>
      <c r="D385" s="174"/>
    </row>
    <row r="386" spans="3:20" x14ac:dyDescent="0.25">
      <c r="C386" s="174"/>
      <c r="D386" s="174"/>
    </row>
    <row r="387" spans="3:20" x14ac:dyDescent="0.25">
      <c r="F387" s="1">
        <f>(E389-E374)/9</f>
        <v>1.5455555555555546E-3</v>
      </c>
      <c r="O387" s="2"/>
    </row>
    <row r="388" spans="3:20" x14ac:dyDescent="0.25">
      <c r="D388" s="17" t="s">
        <v>4</v>
      </c>
      <c r="E388" s="17">
        <v>0</v>
      </c>
      <c r="F388" s="17">
        <v>1</v>
      </c>
      <c r="G388" s="17">
        <v>2</v>
      </c>
      <c r="H388" s="17">
        <v>3</v>
      </c>
      <c r="I388" s="17">
        <v>4</v>
      </c>
      <c r="J388" s="17">
        <v>5</v>
      </c>
      <c r="K388" s="17">
        <v>6</v>
      </c>
      <c r="L388" s="17">
        <v>7</v>
      </c>
      <c r="M388" s="17">
        <v>8</v>
      </c>
      <c r="N388" s="17">
        <v>9</v>
      </c>
      <c r="O388" s="17">
        <v>10</v>
      </c>
      <c r="P388" s="17">
        <v>11</v>
      </c>
      <c r="Q388" s="17">
        <v>12</v>
      </c>
      <c r="R388" s="17">
        <v>13</v>
      </c>
      <c r="S388" s="17">
        <v>14</v>
      </c>
      <c r="T388" s="17">
        <v>15</v>
      </c>
    </row>
    <row r="389" spans="3:20" x14ac:dyDescent="0.25">
      <c r="D389" s="17" t="s">
        <v>165</v>
      </c>
      <c r="E389" s="66">
        <v>0.10199999999999999</v>
      </c>
      <c r="F389" s="66">
        <f>E389-$F$387</f>
        <v>0.10045444444444444</v>
      </c>
      <c r="G389" s="66">
        <f t="shared" ref="G389:M389" si="7">F389-$F$387</f>
        <v>9.8908888888888893E-2</v>
      </c>
      <c r="H389" s="66">
        <f t="shared" si="7"/>
        <v>9.7363333333333343E-2</v>
      </c>
      <c r="I389" s="66">
        <f t="shared" si="7"/>
        <v>9.5817777777777793E-2</v>
      </c>
      <c r="J389" s="66">
        <f t="shared" si="7"/>
        <v>9.4272222222222243E-2</v>
      </c>
      <c r="K389" s="66">
        <f t="shared" si="7"/>
        <v>9.2726666666666693E-2</v>
      </c>
      <c r="L389" s="66">
        <f t="shared" si="7"/>
        <v>9.1181111111111143E-2</v>
      </c>
      <c r="M389" s="66">
        <f t="shared" si="7"/>
        <v>8.9635555555555593E-2</v>
      </c>
      <c r="N389" s="66">
        <f>M389-$F$387</f>
        <v>8.8090000000000043E-2</v>
      </c>
      <c r="O389" s="66">
        <f>N389-$O$387</f>
        <v>8.8090000000000043E-2</v>
      </c>
      <c r="P389" s="66">
        <f t="shared" ref="P389:S389" si="8">O389-$O$387</f>
        <v>8.8090000000000043E-2</v>
      </c>
      <c r="Q389" s="66">
        <f t="shared" si="8"/>
        <v>8.8090000000000043E-2</v>
      </c>
      <c r="R389" s="66">
        <f t="shared" si="8"/>
        <v>8.8090000000000043E-2</v>
      </c>
      <c r="S389" s="66">
        <f t="shared" si="8"/>
        <v>8.8090000000000043E-2</v>
      </c>
      <c r="T389" s="66">
        <f>S389-$O$387</f>
        <v>8.8090000000000043E-2</v>
      </c>
    </row>
    <row r="391" spans="3:20" x14ac:dyDescent="0.25">
      <c r="D391" s="1" t="s">
        <v>171</v>
      </c>
    </row>
    <row r="395" spans="3:20" x14ac:dyDescent="0.25">
      <c r="C395" s="174" t="s">
        <v>110</v>
      </c>
      <c r="D395" s="174"/>
    </row>
    <row r="396" spans="3:20" x14ac:dyDescent="0.25">
      <c r="C396" s="174"/>
      <c r="D396" s="174"/>
      <c r="E396" s="2"/>
      <c r="F396" s="2"/>
      <c r="G396" s="2"/>
      <c r="H396" s="2"/>
      <c r="I396" s="2"/>
      <c r="J396" s="2"/>
      <c r="K396" s="2"/>
      <c r="L396" s="2"/>
      <c r="M396" s="2"/>
      <c r="N396" s="2"/>
      <c r="O396" s="5"/>
    </row>
    <row r="398" spans="3:20" x14ac:dyDescent="0.25">
      <c r="D398" s="17" t="s">
        <v>4</v>
      </c>
      <c r="E398" s="17">
        <v>0</v>
      </c>
      <c r="F398" s="17">
        <v>1</v>
      </c>
      <c r="G398" s="17">
        <v>2</v>
      </c>
      <c r="H398" s="17">
        <v>3</v>
      </c>
      <c r="I398" s="17">
        <v>4</v>
      </c>
      <c r="J398" s="17">
        <v>5</v>
      </c>
      <c r="K398" s="17">
        <v>6</v>
      </c>
      <c r="L398" s="17">
        <v>7</v>
      </c>
      <c r="M398" s="17">
        <v>8</v>
      </c>
      <c r="N398" s="17">
        <v>9</v>
      </c>
      <c r="O398" s="17">
        <v>10</v>
      </c>
    </row>
    <row r="399" spans="3:20" x14ac:dyDescent="0.25">
      <c r="D399" s="17" t="s">
        <v>165</v>
      </c>
      <c r="E399" s="66">
        <v>0.10199999999999999</v>
      </c>
      <c r="F399" s="66">
        <v>0.10199999999999999</v>
      </c>
      <c r="G399" s="66">
        <v>0.10199999999999999</v>
      </c>
      <c r="H399" s="66">
        <v>0.10199999999999999</v>
      </c>
      <c r="I399" s="66">
        <v>0.10199999999999999</v>
      </c>
      <c r="J399" s="66">
        <v>0.10199999999999999</v>
      </c>
      <c r="K399" s="66">
        <v>0.10199999999999999</v>
      </c>
      <c r="L399" s="66">
        <v>0.10199999999999999</v>
      </c>
      <c r="M399" s="66">
        <v>0.10199999999999999</v>
      </c>
      <c r="N399" s="66">
        <v>0.10199999999999999</v>
      </c>
      <c r="O399" s="66">
        <v>0.10199999999999999</v>
      </c>
    </row>
    <row r="401" spans="1:17" x14ac:dyDescent="0.25">
      <c r="D401" s="1" t="s">
        <v>172</v>
      </c>
    </row>
    <row r="406" spans="1:17" x14ac:dyDescent="0.25">
      <c r="A406" s="169" t="s">
        <v>173</v>
      </c>
      <c r="B406" s="169"/>
      <c r="C406" s="169"/>
    </row>
    <row r="407" spans="1:17" x14ac:dyDescent="0.25">
      <c r="A407" s="169"/>
      <c r="B407" s="169"/>
      <c r="C407" s="169"/>
    </row>
    <row r="408" spans="1:17" x14ac:dyDescent="0.25">
      <c r="A408" s="170"/>
      <c r="B408" s="170"/>
      <c r="C408" s="170"/>
    </row>
    <row r="411" spans="1:17" x14ac:dyDescent="0.25">
      <c r="B411" s="1" t="s">
        <v>174</v>
      </c>
      <c r="O411"/>
      <c r="P411"/>
      <c r="Q411"/>
    </row>
    <row r="412" spans="1:17" ht="45" x14ac:dyDescent="0.25">
      <c r="B412" s="3" t="s">
        <v>80</v>
      </c>
      <c r="C412" s="3" t="s">
        <v>81</v>
      </c>
      <c r="D412" s="34" t="s">
        <v>83</v>
      </c>
      <c r="E412" s="3" t="s">
        <v>85</v>
      </c>
      <c r="G412" s="34" t="s">
        <v>175</v>
      </c>
      <c r="H412" s="34" t="s">
        <v>176</v>
      </c>
      <c r="I412" s="34" t="s">
        <v>177</v>
      </c>
      <c r="K412" s="34" t="s">
        <v>178</v>
      </c>
      <c r="L412" s="34" t="s">
        <v>173</v>
      </c>
      <c r="M412" s="34" t="s">
        <v>179</v>
      </c>
      <c r="N412" s="34" t="s">
        <v>180</v>
      </c>
      <c r="P412" s="34" t="s">
        <v>178</v>
      </c>
      <c r="Q412" s="34" t="s">
        <v>207</v>
      </c>
    </row>
    <row r="413" spans="1:17" x14ac:dyDescent="0.25">
      <c r="B413" s="3">
        <v>2023</v>
      </c>
      <c r="C413" s="25">
        <v>471857</v>
      </c>
      <c r="D413" s="25">
        <v>33254</v>
      </c>
      <c r="E413" s="21">
        <f>6635/32201</f>
        <v>0.20604950156827428</v>
      </c>
      <c r="G413" s="25">
        <v>11538</v>
      </c>
      <c r="H413" s="25">
        <v>7925</v>
      </c>
      <c r="I413" s="25">
        <f>G413-H413</f>
        <v>3613</v>
      </c>
      <c r="K413" s="25">
        <f>862+6443+1151-98-782-6671-5157+1759</f>
        <v>-2493</v>
      </c>
      <c r="L413" s="68">
        <f t="shared" ref="L413:L418" si="9">I413+K413</f>
        <v>1120</v>
      </c>
      <c r="M413" s="68">
        <f t="shared" ref="M413:M418" si="10">D413*(1-E413)</f>
        <v>26402.029874848606</v>
      </c>
      <c r="N413" s="69">
        <f>L413/M413</f>
        <v>4.2420980709022942E-2</v>
      </c>
      <c r="P413" s="25">
        <f>862+6443+1151-98-782-6671-5157+1759</f>
        <v>-2493</v>
      </c>
      <c r="Q413" s="5">
        <f>P413/C413</f>
        <v>-5.2833803461641978E-3</v>
      </c>
    </row>
    <row r="414" spans="1:17" x14ac:dyDescent="0.25">
      <c r="B414" s="3">
        <v>2022</v>
      </c>
      <c r="C414" s="25">
        <v>362050</v>
      </c>
      <c r="D414" s="25">
        <v>2104</v>
      </c>
      <c r="E414" s="21">
        <f>1601/2831</f>
        <v>0.56552454962910637</v>
      </c>
      <c r="G414" s="25">
        <v>10468</v>
      </c>
      <c r="H414" s="25">
        <v>5441</v>
      </c>
      <c r="I414" s="25">
        <f t="shared" ref="I414" si="11">G414-H414</f>
        <v>5027</v>
      </c>
      <c r="K414" s="25">
        <f>13858+15574-199+131-45-425-2352-3843+1477</f>
        <v>24176</v>
      </c>
      <c r="L414" s="68">
        <f t="shared" si="9"/>
        <v>29203</v>
      </c>
      <c r="M414" s="70">
        <f t="shared" si="10"/>
        <v>914.13634758036017</v>
      </c>
      <c r="N414" s="69">
        <f t="shared" ref="N414:N415" si="12">L414/M414</f>
        <v>31.946000262759288</v>
      </c>
      <c r="P414" s="25">
        <f>13858+15574-199+131-45-425-2352-3843+1477</f>
        <v>24176</v>
      </c>
      <c r="Q414" s="5">
        <f t="shared" ref="Q414:Q418" si="13">P414/C414</f>
        <v>6.6775307278000282E-2</v>
      </c>
    </row>
    <row r="415" spans="1:17" x14ac:dyDescent="0.25">
      <c r="B415" s="3">
        <v>2021</v>
      </c>
      <c r="C415" s="25">
        <v>260901</v>
      </c>
      <c r="D415" s="25">
        <v>52</v>
      </c>
      <c r="E415" s="21">
        <f>-2028/354</f>
        <v>-5.7288135593220337</v>
      </c>
      <c r="G415" s="25">
        <v>16711</v>
      </c>
      <c r="H415" s="25">
        <v>3540</v>
      </c>
      <c r="I415" s="25">
        <f>G415-H415</f>
        <v>13171</v>
      </c>
      <c r="K415" s="25">
        <f>6078-1733-1354-426+46-6795-4029</f>
        <v>-8213</v>
      </c>
      <c r="L415" s="68">
        <f t="shared" si="9"/>
        <v>4958</v>
      </c>
      <c r="M415" s="70">
        <f t="shared" si="10"/>
        <v>349.89830508474574</v>
      </c>
      <c r="N415" s="69">
        <f t="shared" si="12"/>
        <v>14.169831428017826</v>
      </c>
      <c r="P415" s="25">
        <f>6078-1733-1354-426+46-6795-4029</f>
        <v>-8213</v>
      </c>
      <c r="Q415" s="5">
        <f t="shared" si="13"/>
        <v>-3.1479373402171704E-2</v>
      </c>
    </row>
    <row r="416" spans="1:17" x14ac:dyDescent="0.25">
      <c r="B416" s="3">
        <v>2020</v>
      </c>
      <c r="C416" s="25">
        <v>214280</v>
      </c>
      <c r="D416" s="25">
        <v>12228</v>
      </c>
      <c r="E416" s="21">
        <f>2770/11654</f>
        <v>0.23768663119958813</v>
      </c>
      <c r="G416" s="25">
        <v>10300</v>
      </c>
      <c r="H416" s="25">
        <v>2550</v>
      </c>
      <c r="I416" s="25">
        <f>G416-H416</f>
        <v>7750</v>
      </c>
      <c r="K416" s="25">
        <f>4718-29-61+2255-11-1807-1173</f>
        <v>3892</v>
      </c>
      <c r="L416" s="68">
        <f t="shared" si="9"/>
        <v>11642</v>
      </c>
      <c r="M416" s="70">
        <f t="shared" si="10"/>
        <v>9321.567873691436</v>
      </c>
      <c r="N416" s="69">
        <f>L416/M416</f>
        <v>1.2489315271583867</v>
      </c>
      <c r="P416" s="25">
        <f>4718-29-61+2255-11-1807-1173</f>
        <v>3892</v>
      </c>
      <c r="Q416" s="5">
        <f t="shared" si="13"/>
        <v>1.8163151017360463E-2</v>
      </c>
    </row>
    <row r="417" spans="2:17" x14ac:dyDescent="0.25">
      <c r="B417" s="3">
        <v>2019</v>
      </c>
      <c r="C417" s="25">
        <v>140733</v>
      </c>
      <c r="D417" s="25">
        <v>3350</v>
      </c>
      <c r="E417" s="21">
        <f>1106/4418</f>
        <v>0.25033952014486194</v>
      </c>
      <c r="G417" s="25">
        <v>4799</v>
      </c>
      <c r="H417" s="25">
        <v>1921</v>
      </c>
      <c r="I417" s="25">
        <f>G417-H417</f>
        <v>2878</v>
      </c>
      <c r="K417" s="68">
        <f>6182+9270+1563+582-93-3192-2074</f>
        <v>12238</v>
      </c>
      <c r="L417" s="68">
        <f t="shared" si="9"/>
        <v>15116</v>
      </c>
      <c r="M417" s="68">
        <f t="shared" si="10"/>
        <v>2511.3626075147126</v>
      </c>
      <c r="N417" s="69">
        <f>L417/M417</f>
        <v>6.0190431898478618</v>
      </c>
      <c r="P417" s="68">
        <f>6182+9270+1563+582-93-3192-2074</f>
        <v>12238</v>
      </c>
      <c r="Q417" s="5">
        <f t="shared" si="13"/>
        <v>8.6958993270945695E-2</v>
      </c>
    </row>
    <row r="418" spans="2:17" x14ac:dyDescent="0.25">
      <c r="B418" s="3">
        <v>2018</v>
      </c>
      <c r="C418" s="25">
        <v>106713</v>
      </c>
      <c r="D418" s="25">
        <v>6767</v>
      </c>
      <c r="E418" s="21">
        <f>723/6352</f>
        <v>0.11382241813602015</v>
      </c>
      <c r="G418" s="25">
        <v>1940</v>
      </c>
      <c r="H418" s="25">
        <v>1437</v>
      </c>
      <c r="I418" s="25">
        <f t="shared" ref="I418" si="14">G418-H418</f>
        <v>503</v>
      </c>
      <c r="K418" s="68">
        <f>3578+1042+520+63-4946-2949</f>
        <v>-2692</v>
      </c>
      <c r="L418" s="68">
        <f t="shared" si="9"/>
        <v>-2189</v>
      </c>
      <c r="M418" s="68">
        <f t="shared" si="10"/>
        <v>5996.763696473552</v>
      </c>
      <c r="N418" s="69">
        <f>L418/M418</f>
        <v>-0.36503022476727909</v>
      </c>
      <c r="P418" s="68">
        <f>3578+1042+520+63-4946-2949</f>
        <v>-2692</v>
      </c>
      <c r="Q418" s="5">
        <f t="shared" si="13"/>
        <v>-2.5226542220722875E-2</v>
      </c>
    </row>
  </sheetData>
  <mergeCells count="14">
    <mergeCell ref="C370:D371"/>
    <mergeCell ref="C385:D386"/>
    <mergeCell ref="C395:D396"/>
    <mergeCell ref="A406:C408"/>
    <mergeCell ref="B123:C124"/>
    <mergeCell ref="B134:C135"/>
    <mergeCell ref="A23:C25"/>
    <mergeCell ref="S87:T87"/>
    <mergeCell ref="A148:C150"/>
    <mergeCell ref="A2:B4"/>
    <mergeCell ref="A82:B84"/>
    <mergeCell ref="A13:B15"/>
    <mergeCell ref="S85:T85"/>
    <mergeCell ref="B97:C9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2FC99-5EDD-40F8-96AD-208BA2409E64}">
  <sheetPr>
    <tabColor rgb="FF00B050"/>
  </sheetPr>
  <dimension ref="A1:AC130"/>
  <sheetViews>
    <sheetView showGridLines="0" tabSelected="1" topLeftCell="A89" zoomScale="85" zoomScaleNormal="85" workbookViewId="0">
      <selection activeCell="C118" sqref="C118"/>
    </sheetView>
  </sheetViews>
  <sheetFormatPr defaultColWidth="9.625" defaultRowHeight="14.25" outlineLevelCol="1" x14ac:dyDescent="0.2"/>
  <cols>
    <col min="1" max="1" width="3.625" customWidth="1"/>
    <col min="2" max="2" width="21.125" customWidth="1"/>
    <col min="3" max="3" width="10.125" bestFit="1" customWidth="1"/>
    <col min="5" max="7" width="9.625" customWidth="1" outlineLevel="1"/>
    <col min="8" max="8" width="11.375" customWidth="1" outlineLevel="1"/>
    <col min="9" max="9" width="13" customWidth="1" outlineLevel="1"/>
    <col min="10" max="10" width="12.25" customWidth="1" outlineLevel="1"/>
    <col min="11" max="11" width="11.875" customWidth="1"/>
    <col min="12" max="12" width="10.75" customWidth="1"/>
    <col min="13" max="13" width="11.875" customWidth="1"/>
    <col min="14" max="14" width="13.625" customWidth="1"/>
    <col min="15" max="15" width="12.125" customWidth="1"/>
    <col min="16" max="16" width="11" customWidth="1"/>
    <col min="17" max="21" width="10.625" bestFit="1" customWidth="1"/>
    <col min="22" max="22" width="12.25" bestFit="1" customWidth="1"/>
    <col min="23" max="24" width="11.25" bestFit="1" customWidth="1"/>
    <col min="25" max="25" width="10.375" bestFit="1" customWidth="1"/>
  </cols>
  <sheetData>
    <row r="1" spans="1:29" ht="15" x14ac:dyDescent="0.25">
      <c r="A1" s="79"/>
      <c r="B1" s="79"/>
      <c r="C1" s="79"/>
      <c r="D1" s="79"/>
      <c r="E1" s="79"/>
      <c r="F1" s="79"/>
      <c r="G1" s="79"/>
      <c r="H1" s="79"/>
      <c r="I1" s="79"/>
      <c r="J1" s="79"/>
      <c r="K1" s="79"/>
      <c r="L1" s="79"/>
      <c r="M1" s="79"/>
      <c r="N1" s="79"/>
      <c r="O1" s="78"/>
      <c r="P1" s="73"/>
      <c r="Q1" s="73"/>
      <c r="R1" s="72"/>
      <c r="S1" s="72"/>
      <c r="T1" s="71"/>
      <c r="U1" s="71"/>
      <c r="V1" s="71"/>
      <c r="W1" s="71"/>
      <c r="X1" s="71"/>
      <c r="Y1" s="71"/>
      <c r="Z1" s="71"/>
    </row>
    <row r="2" spans="1:29" ht="15" x14ac:dyDescent="0.25">
      <c r="A2" s="79"/>
      <c r="B2" s="142" t="s">
        <v>206</v>
      </c>
      <c r="C2" s="143"/>
      <c r="D2" s="143"/>
      <c r="E2" s="142"/>
      <c r="F2" s="142"/>
      <c r="G2" s="142"/>
      <c r="H2" s="142"/>
      <c r="I2" s="141" t="s">
        <v>205</v>
      </c>
      <c r="J2" s="141">
        <v>1</v>
      </c>
      <c r="K2" s="141">
        <v>2</v>
      </c>
      <c r="L2" s="141">
        <v>3</v>
      </c>
      <c r="M2" s="141">
        <v>4</v>
      </c>
      <c r="N2" s="141">
        <v>5</v>
      </c>
      <c r="O2" s="141">
        <v>6</v>
      </c>
      <c r="P2" s="141">
        <v>7</v>
      </c>
      <c r="Q2" s="141">
        <v>8</v>
      </c>
      <c r="R2" s="141">
        <v>9</v>
      </c>
      <c r="S2" s="141">
        <v>10</v>
      </c>
      <c r="T2" s="141">
        <v>11</v>
      </c>
      <c r="U2" s="141">
        <v>12</v>
      </c>
      <c r="V2" s="141">
        <v>13</v>
      </c>
      <c r="W2" s="141">
        <v>14</v>
      </c>
      <c r="X2" s="141">
        <v>15</v>
      </c>
      <c r="Y2" s="141">
        <v>16</v>
      </c>
      <c r="Z2" s="141">
        <v>17</v>
      </c>
      <c r="AA2" s="141">
        <v>18</v>
      </c>
      <c r="AB2" s="141">
        <v>19</v>
      </c>
      <c r="AC2" s="141">
        <v>20</v>
      </c>
    </row>
    <row r="3" spans="1:29" ht="15" x14ac:dyDescent="0.25">
      <c r="A3" s="79"/>
      <c r="B3" s="79"/>
      <c r="C3" s="79"/>
      <c r="D3" s="79"/>
      <c r="E3" s="129"/>
      <c r="F3" s="129"/>
      <c r="G3" s="129"/>
      <c r="H3" s="129"/>
      <c r="I3" s="140"/>
      <c r="J3" s="139"/>
      <c r="K3" s="139"/>
      <c r="L3" s="139"/>
      <c r="M3" s="139"/>
      <c r="N3" s="139"/>
      <c r="O3" s="78"/>
      <c r="P3" s="73"/>
      <c r="Q3" s="73"/>
      <c r="S3" s="72"/>
      <c r="T3" s="71"/>
      <c r="U3" s="71"/>
      <c r="V3" s="71"/>
      <c r="W3" s="71"/>
      <c r="X3" s="71"/>
      <c r="Y3" s="71"/>
      <c r="Z3" s="71"/>
    </row>
    <row r="4" spans="1:29" ht="15" x14ac:dyDescent="0.25">
      <c r="A4" s="79"/>
      <c r="B4" s="138" t="s">
        <v>204</v>
      </c>
      <c r="C4" s="121"/>
      <c r="D4" s="121"/>
      <c r="E4" s="137"/>
      <c r="F4" s="121"/>
      <c r="G4" s="137"/>
      <c r="H4" s="137"/>
      <c r="I4" s="136"/>
      <c r="J4" s="135"/>
      <c r="K4" s="135"/>
      <c r="L4" s="135"/>
      <c r="M4" s="135"/>
      <c r="N4" s="135"/>
      <c r="O4" s="135"/>
      <c r="P4" s="135"/>
      <c r="Q4" s="135"/>
      <c r="R4" s="135"/>
      <c r="S4" s="135"/>
      <c r="T4" s="135"/>
      <c r="U4" s="135"/>
      <c r="V4" s="135"/>
      <c r="W4" s="135"/>
      <c r="X4" s="135"/>
      <c r="Y4" s="135"/>
      <c r="Z4" s="135"/>
      <c r="AA4" s="135"/>
      <c r="AB4" s="135"/>
      <c r="AC4" s="135"/>
    </row>
    <row r="5" spans="1:29" ht="15" x14ac:dyDescent="0.25">
      <c r="A5" s="79"/>
      <c r="B5" s="79"/>
      <c r="C5" s="79"/>
      <c r="D5" s="79"/>
      <c r="F5" s="79"/>
      <c r="G5" s="82"/>
      <c r="H5" s="79"/>
      <c r="I5" s="118"/>
      <c r="J5" s="79"/>
      <c r="K5" s="79"/>
      <c r="L5" s="79"/>
      <c r="M5" s="79"/>
      <c r="N5" s="79"/>
      <c r="O5" s="78"/>
      <c r="P5" s="73"/>
      <c r="Q5" s="73"/>
      <c r="S5" s="72"/>
      <c r="T5" s="71"/>
      <c r="U5" s="71"/>
      <c r="V5" s="71"/>
      <c r="W5" s="71"/>
      <c r="X5" s="71"/>
      <c r="Y5" s="71"/>
      <c r="Z5" s="71"/>
    </row>
    <row r="6" spans="1:29" ht="15" x14ac:dyDescent="0.25">
      <c r="A6" s="79"/>
      <c r="B6" s="130" t="s">
        <v>203</v>
      </c>
      <c r="C6" s="79"/>
      <c r="D6" s="79"/>
      <c r="E6" s="129"/>
      <c r="F6" s="129"/>
      <c r="G6" s="129"/>
      <c r="H6" s="129"/>
      <c r="I6" s="155">
        <v>471857</v>
      </c>
      <c r="J6" s="134"/>
      <c r="K6" s="134"/>
      <c r="L6" s="134"/>
      <c r="M6" s="134"/>
      <c r="N6" s="134"/>
      <c r="O6" s="134"/>
      <c r="P6" s="134"/>
      <c r="Q6" s="134"/>
      <c r="R6" s="134"/>
      <c r="S6" s="134"/>
      <c r="T6" s="71"/>
      <c r="U6" s="71"/>
      <c r="V6" s="71"/>
      <c r="W6" s="71"/>
      <c r="X6" s="71"/>
      <c r="Y6" s="71"/>
      <c r="Z6" s="71"/>
    </row>
    <row r="7" spans="1:29" ht="15" x14ac:dyDescent="0.25">
      <c r="A7" s="79"/>
      <c r="B7" s="127"/>
      <c r="C7" s="79"/>
      <c r="D7" s="79"/>
      <c r="E7" s="126"/>
      <c r="F7" s="126"/>
      <c r="G7" s="126"/>
      <c r="H7" s="126"/>
      <c r="I7" s="125"/>
      <c r="J7" s="124"/>
      <c r="K7" s="124"/>
      <c r="L7" s="124"/>
      <c r="M7" s="124"/>
      <c r="N7" s="124"/>
      <c r="O7" s="123"/>
      <c r="P7" s="73"/>
      <c r="Q7" s="73"/>
      <c r="S7" s="72"/>
      <c r="T7" s="71"/>
      <c r="U7" s="71"/>
      <c r="V7" s="71"/>
      <c r="W7" s="71"/>
      <c r="X7" s="71"/>
      <c r="Y7" s="71"/>
      <c r="Z7" s="71"/>
    </row>
    <row r="8" spans="1:29" ht="15" x14ac:dyDescent="0.25">
      <c r="A8" s="79"/>
      <c r="B8" s="133" t="s">
        <v>202</v>
      </c>
      <c r="C8" s="121"/>
      <c r="D8" s="121"/>
      <c r="E8" s="121"/>
      <c r="F8" s="121"/>
      <c r="G8" s="121"/>
      <c r="H8" s="121"/>
      <c r="I8" s="132"/>
      <c r="J8" s="131"/>
      <c r="K8" s="131"/>
      <c r="L8" s="131"/>
      <c r="M8" s="131"/>
      <c r="N8" s="131"/>
      <c r="O8" s="131"/>
      <c r="P8" s="131"/>
      <c r="Q8" s="131"/>
      <c r="R8" s="131"/>
      <c r="S8" s="131"/>
      <c r="T8" s="131"/>
      <c r="U8" s="131"/>
      <c r="V8" s="131"/>
      <c r="W8" s="131"/>
      <c r="X8" s="131"/>
      <c r="Y8" s="131"/>
      <c r="Z8" s="131"/>
      <c r="AA8" s="131"/>
      <c r="AB8" s="131"/>
      <c r="AC8" s="131"/>
    </row>
    <row r="9" spans="1:29" ht="15" x14ac:dyDescent="0.25">
      <c r="A9" s="79"/>
      <c r="B9" s="130"/>
      <c r="C9" s="79"/>
      <c r="D9" s="79"/>
      <c r="E9" s="79"/>
      <c r="F9" s="79"/>
      <c r="G9" s="79"/>
      <c r="H9" s="79"/>
      <c r="I9" s="116"/>
      <c r="J9" s="104"/>
      <c r="K9" s="104"/>
      <c r="L9" s="104"/>
      <c r="M9" s="104"/>
      <c r="N9" s="104"/>
      <c r="O9" s="123"/>
      <c r="P9" s="73"/>
      <c r="Q9" s="73"/>
      <c r="S9" s="72"/>
      <c r="T9" s="71"/>
      <c r="U9" s="71"/>
      <c r="V9" s="71"/>
      <c r="W9" s="71"/>
      <c r="X9" s="71"/>
      <c r="Y9" s="71"/>
      <c r="Z9" s="71"/>
    </row>
    <row r="10" spans="1:29" ht="15" x14ac:dyDescent="0.25">
      <c r="A10" s="79"/>
      <c r="B10" s="130" t="s">
        <v>201</v>
      </c>
      <c r="C10" s="79"/>
      <c r="D10" s="79"/>
      <c r="E10" s="129"/>
      <c r="F10" s="129"/>
      <c r="G10" s="129"/>
      <c r="H10" s="129"/>
      <c r="I10" s="116"/>
      <c r="J10" s="128"/>
      <c r="K10" s="94"/>
      <c r="L10" s="94"/>
      <c r="M10" s="94"/>
      <c r="N10" s="94"/>
      <c r="O10" s="94"/>
      <c r="P10" s="94"/>
      <c r="Q10" s="94"/>
      <c r="R10" s="94"/>
      <c r="S10" s="94"/>
      <c r="T10" s="71"/>
      <c r="U10" s="71"/>
      <c r="V10" s="71"/>
      <c r="W10" s="71"/>
      <c r="X10" s="71"/>
      <c r="Y10" s="71"/>
      <c r="Z10" s="71"/>
    </row>
    <row r="11" spans="1:29" ht="15" x14ac:dyDescent="0.25">
      <c r="A11" s="79"/>
      <c r="B11" s="127"/>
      <c r="C11" s="79"/>
      <c r="D11" s="79"/>
      <c r="E11" s="126"/>
      <c r="F11" s="126"/>
      <c r="G11" s="126"/>
      <c r="H11" s="126"/>
      <c r="I11" s="125"/>
      <c r="J11" s="124"/>
      <c r="K11" s="124"/>
      <c r="L11" s="124"/>
      <c r="M11" s="124"/>
      <c r="N11" s="124"/>
      <c r="O11" s="123"/>
      <c r="P11" s="73"/>
      <c r="Q11" s="73"/>
      <c r="S11" s="72"/>
      <c r="T11" s="71"/>
      <c r="U11" s="71"/>
      <c r="V11" s="71"/>
      <c r="W11" s="71"/>
      <c r="X11" s="71"/>
      <c r="Y11" s="71"/>
      <c r="Z11" s="71"/>
    </row>
    <row r="12" spans="1:29" ht="15" x14ac:dyDescent="0.25">
      <c r="A12" s="79"/>
      <c r="B12" s="122" t="s">
        <v>200</v>
      </c>
      <c r="C12" s="121"/>
      <c r="D12" s="121"/>
      <c r="E12" s="121"/>
      <c r="F12" s="121"/>
      <c r="G12" s="121"/>
      <c r="H12" s="121"/>
      <c r="I12" s="120"/>
      <c r="J12" s="119"/>
      <c r="K12" s="119"/>
      <c r="L12" s="119"/>
      <c r="M12" s="119"/>
      <c r="N12" s="119"/>
      <c r="O12" s="119"/>
      <c r="P12" s="119"/>
      <c r="Q12" s="119"/>
      <c r="R12" s="119"/>
      <c r="S12" s="119"/>
      <c r="T12" s="119"/>
      <c r="U12" s="119"/>
      <c r="V12" s="119"/>
      <c r="W12" s="119"/>
      <c r="X12" s="119"/>
      <c r="Y12" s="119"/>
      <c r="Z12" s="119"/>
      <c r="AA12" s="119"/>
      <c r="AB12" s="119"/>
      <c r="AC12" s="119"/>
    </row>
    <row r="13" spans="1:29" ht="15" x14ac:dyDescent="0.25">
      <c r="A13" s="79"/>
      <c r="B13" s="79"/>
      <c r="C13" s="79"/>
      <c r="D13" s="79"/>
      <c r="E13" s="79"/>
      <c r="F13" s="79"/>
      <c r="G13" s="79"/>
      <c r="H13" s="79"/>
      <c r="I13" s="118"/>
      <c r="J13" s="79"/>
      <c r="K13" s="79"/>
      <c r="L13" s="79"/>
      <c r="M13" s="79"/>
      <c r="N13" s="79"/>
      <c r="O13" s="78"/>
      <c r="P13" s="73"/>
      <c r="Q13" s="73"/>
      <c r="S13" s="72"/>
      <c r="T13" s="71"/>
      <c r="U13" s="71"/>
      <c r="V13" s="71"/>
      <c r="W13" s="71"/>
      <c r="X13" s="71"/>
      <c r="Y13" s="71"/>
      <c r="Z13" s="71"/>
    </row>
    <row r="14" spans="1:29" ht="15" x14ac:dyDescent="0.25">
      <c r="A14" s="79"/>
      <c r="B14" s="92" t="s">
        <v>199</v>
      </c>
      <c r="C14" s="117"/>
      <c r="D14" s="117"/>
      <c r="E14" s="117"/>
      <c r="F14" s="117"/>
      <c r="G14" s="117"/>
      <c r="H14" s="117"/>
      <c r="I14" s="116"/>
      <c r="J14" s="92"/>
      <c r="K14" s="92"/>
      <c r="L14" s="92"/>
      <c r="M14" s="92"/>
      <c r="N14" s="92"/>
      <c r="O14" s="92"/>
      <c r="P14" s="92"/>
      <c r="Q14" s="92"/>
      <c r="R14" s="92"/>
      <c r="S14" s="92"/>
      <c r="T14" s="71"/>
      <c r="U14" s="71"/>
      <c r="V14" s="71"/>
      <c r="W14" s="71"/>
      <c r="X14" s="71"/>
      <c r="Y14" s="71"/>
      <c r="Z14" s="71"/>
    </row>
    <row r="15" spans="1:29" ht="15" x14ac:dyDescent="0.25">
      <c r="A15" s="79"/>
      <c r="B15" s="104"/>
      <c r="C15" s="94"/>
      <c r="D15" s="94"/>
      <c r="E15" s="103"/>
      <c r="F15" s="103"/>
      <c r="G15" s="103"/>
      <c r="H15" s="103"/>
      <c r="I15" s="106"/>
      <c r="J15" s="107"/>
      <c r="K15" s="107"/>
      <c r="L15" s="107"/>
      <c r="M15" s="107"/>
      <c r="N15" s="107"/>
      <c r="O15" s="107"/>
      <c r="P15" s="73"/>
      <c r="Q15" s="73"/>
      <c r="S15" s="72"/>
      <c r="T15" s="71"/>
      <c r="U15" s="71"/>
      <c r="V15" s="71"/>
      <c r="W15" s="71"/>
      <c r="X15" s="71"/>
      <c r="Y15" s="71"/>
      <c r="Z15" s="71"/>
    </row>
    <row r="16" spans="1:29" ht="15" x14ac:dyDescent="0.25">
      <c r="B16" s="114" t="s">
        <v>177</v>
      </c>
      <c r="C16" s="113"/>
      <c r="D16" s="113"/>
      <c r="E16" s="112"/>
      <c r="F16" s="112"/>
      <c r="G16" s="112"/>
      <c r="H16" s="112"/>
      <c r="I16" s="111"/>
      <c r="J16" s="115"/>
      <c r="K16" s="115"/>
      <c r="L16" s="115"/>
      <c r="M16" s="115"/>
      <c r="N16" s="115"/>
      <c r="O16" s="115"/>
      <c r="P16" s="115"/>
      <c r="Q16" s="115"/>
      <c r="R16" s="115"/>
      <c r="S16" s="115"/>
      <c r="T16" s="115"/>
      <c r="U16" s="115"/>
      <c r="V16" s="115"/>
      <c r="W16" s="115"/>
      <c r="X16" s="115"/>
      <c r="Y16" s="115"/>
      <c r="Z16" s="115"/>
      <c r="AA16" s="115"/>
      <c r="AB16" s="115"/>
      <c r="AC16" s="115"/>
    </row>
    <row r="17" spans="1:29" ht="15" x14ac:dyDescent="0.25">
      <c r="B17" s="104"/>
      <c r="C17" s="94"/>
      <c r="D17" s="94"/>
      <c r="E17" s="103"/>
      <c r="F17" s="103"/>
      <c r="G17" s="103"/>
      <c r="H17" s="103"/>
      <c r="I17" s="106"/>
      <c r="J17" s="108"/>
      <c r="K17" s="108"/>
      <c r="L17" s="108"/>
      <c r="M17" s="108"/>
      <c r="N17" s="108"/>
      <c r="O17" s="108"/>
      <c r="P17" s="73"/>
      <c r="Q17" s="73"/>
      <c r="S17" s="72"/>
      <c r="T17" s="72"/>
      <c r="U17" s="72"/>
      <c r="V17" s="72"/>
      <c r="W17" s="72"/>
      <c r="X17" s="72"/>
      <c r="Y17" s="72"/>
      <c r="Z17" s="72"/>
      <c r="AA17" s="72"/>
      <c r="AB17" s="72"/>
      <c r="AC17" s="72"/>
    </row>
    <row r="18" spans="1:29" ht="15" x14ac:dyDescent="0.25">
      <c r="B18" s="114" t="s">
        <v>198</v>
      </c>
      <c r="C18" s="113"/>
      <c r="D18" s="113"/>
      <c r="E18" s="112"/>
      <c r="F18" s="112"/>
      <c r="G18" s="112"/>
      <c r="H18" s="112"/>
      <c r="I18" s="111"/>
      <c r="J18" s="110"/>
      <c r="K18" s="110"/>
      <c r="L18" s="110"/>
      <c r="M18" s="110"/>
      <c r="N18" s="110"/>
      <c r="O18" s="110"/>
      <c r="P18" s="110"/>
      <c r="Q18" s="110"/>
      <c r="R18" s="110"/>
      <c r="S18" s="110"/>
      <c r="T18" s="110"/>
      <c r="U18" s="110"/>
      <c r="V18" s="110"/>
      <c r="W18" s="110"/>
      <c r="X18" s="110"/>
      <c r="Y18" s="110"/>
      <c r="Z18" s="110"/>
      <c r="AA18" s="110"/>
      <c r="AB18" s="110"/>
      <c r="AC18" s="110"/>
    </row>
    <row r="19" spans="1:29" ht="15" x14ac:dyDescent="0.25">
      <c r="B19" s="107"/>
      <c r="C19" s="94"/>
      <c r="D19" s="94"/>
      <c r="E19" s="103"/>
      <c r="F19" s="103"/>
      <c r="G19" s="103"/>
      <c r="H19" s="103"/>
      <c r="I19" s="106"/>
      <c r="J19" s="109"/>
      <c r="K19" s="109"/>
      <c r="L19" s="109"/>
      <c r="M19" s="109"/>
      <c r="N19" s="109"/>
      <c r="O19" s="109"/>
      <c r="P19" s="109"/>
      <c r="Q19" s="109"/>
      <c r="R19" s="109"/>
      <c r="S19" s="109"/>
      <c r="T19" s="71"/>
      <c r="U19" s="71"/>
      <c r="V19" s="71"/>
      <c r="W19" s="71"/>
      <c r="X19" s="71"/>
      <c r="Y19" s="71"/>
      <c r="Z19" s="71"/>
    </row>
    <row r="20" spans="1:29" ht="15" x14ac:dyDescent="0.25">
      <c r="B20" s="107" t="s">
        <v>180</v>
      </c>
      <c r="C20" s="94"/>
      <c r="D20" s="94"/>
      <c r="E20" s="103"/>
      <c r="F20" s="103"/>
      <c r="G20" s="103"/>
      <c r="H20" s="103"/>
      <c r="I20" s="106"/>
      <c r="J20" s="109"/>
      <c r="K20" s="109"/>
      <c r="L20" s="109"/>
      <c r="M20" s="109"/>
      <c r="N20" s="109"/>
      <c r="O20" s="109"/>
      <c r="P20" s="109"/>
      <c r="Q20" s="109"/>
      <c r="R20" s="109"/>
      <c r="S20" s="109"/>
      <c r="T20" s="71"/>
      <c r="U20" s="71"/>
      <c r="V20" s="71"/>
      <c r="W20" s="71"/>
      <c r="X20" s="71"/>
      <c r="Y20" s="71"/>
      <c r="Z20" s="71"/>
    </row>
    <row r="21" spans="1:29" ht="15" x14ac:dyDescent="0.25">
      <c r="B21" s="104"/>
      <c r="C21" s="94"/>
      <c r="D21" s="94"/>
      <c r="E21" s="103"/>
      <c r="F21" s="103"/>
      <c r="G21" s="103"/>
      <c r="H21" s="103"/>
      <c r="I21" s="106"/>
      <c r="J21" s="108"/>
      <c r="K21" s="108"/>
      <c r="L21" s="108"/>
      <c r="M21" s="108"/>
      <c r="N21" s="108"/>
      <c r="O21" s="108"/>
      <c r="P21" s="73"/>
      <c r="Q21" s="73"/>
      <c r="S21" s="72"/>
      <c r="T21" s="71"/>
      <c r="U21" s="71"/>
      <c r="V21" s="71"/>
      <c r="W21" s="71"/>
      <c r="X21" s="71"/>
      <c r="Y21" s="71"/>
      <c r="Z21" s="71"/>
    </row>
    <row r="22" spans="1:29" ht="15" x14ac:dyDescent="0.25">
      <c r="A22" s="79"/>
      <c r="B22" s="92" t="s">
        <v>197</v>
      </c>
      <c r="C22" s="94"/>
      <c r="D22" s="94"/>
      <c r="E22" s="103"/>
      <c r="F22" s="103"/>
      <c r="G22" s="103"/>
      <c r="H22" s="103"/>
      <c r="I22" s="106"/>
      <c r="J22" s="92">
        <f t="shared" ref="J22:Q22" si="0">J6*(J18)</f>
        <v>0</v>
      </c>
      <c r="K22" s="92">
        <f t="shared" si="0"/>
        <v>0</v>
      </c>
      <c r="L22" s="92">
        <f t="shared" si="0"/>
        <v>0</v>
      </c>
      <c r="M22" s="92">
        <f t="shared" si="0"/>
        <v>0</v>
      </c>
      <c r="N22" s="92">
        <f t="shared" si="0"/>
        <v>0</v>
      </c>
      <c r="O22" s="92">
        <f t="shared" si="0"/>
        <v>0</v>
      </c>
      <c r="P22" s="92">
        <f t="shared" si="0"/>
        <v>0</v>
      </c>
      <c r="Q22" s="92">
        <f t="shared" si="0"/>
        <v>0</v>
      </c>
      <c r="S22" s="92">
        <f>S6*(S18)</f>
        <v>0</v>
      </c>
      <c r="U22" s="92">
        <f t="shared" ref="U22" si="1">U6*(U18)</f>
        <v>0</v>
      </c>
      <c r="W22" s="92">
        <f t="shared" ref="W22" si="2">W6*(W18)</f>
        <v>0</v>
      </c>
      <c r="Y22" s="92">
        <f t="shared" ref="Y22" si="3">Y6*(Y18)</f>
        <v>0</v>
      </c>
      <c r="AA22" s="92">
        <f t="shared" ref="AA22" si="4">AA6*(AA18)</f>
        <v>0</v>
      </c>
      <c r="AC22" s="92">
        <f>AC6*(AC18)</f>
        <v>0</v>
      </c>
    </row>
    <row r="23" spans="1:29" ht="15" x14ac:dyDescent="0.25">
      <c r="A23" s="79"/>
      <c r="B23" s="104"/>
      <c r="C23" s="94"/>
      <c r="D23" s="94"/>
      <c r="E23" s="103"/>
      <c r="F23" s="103"/>
      <c r="G23" s="103"/>
      <c r="H23" s="103"/>
      <c r="I23" s="106"/>
      <c r="J23" s="107"/>
      <c r="K23" s="107"/>
      <c r="L23" s="107"/>
      <c r="M23" s="107"/>
      <c r="N23" s="107"/>
      <c r="O23" s="107"/>
      <c r="P23" s="73"/>
      <c r="Q23" s="73"/>
      <c r="S23" s="72"/>
      <c r="U23" s="72"/>
      <c r="W23" s="72"/>
      <c r="Y23" s="72"/>
      <c r="AA23" s="72"/>
      <c r="AC23" s="72"/>
    </row>
    <row r="24" spans="1:29" ht="15" x14ac:dyDescent="0.25">
      <c r="A24" s="79"/>
      <c r="B24" s="104"/>
      <c r="C24" s="94"/>
      <c r="D24" s="94"/>
      <c r="E24" s="103"/>
      <c r="F24" s="103"/>
      <c r="G24" s="103"/>
      <c r="H24" s="103"/>
      <c r="I24" s="106"/>
      <c r="J24" s="107"/>
      <c r="K24" s="107"/>
      <c r="L24" s="107"/>
      <c r="M24" s="107"/>
      <c r="N24" s="107"/>
      <c r="O24" s="107"/>
      <c r="P24" s="73"/>
      <c r="Q24" s="73"/>
      <c r="S24" s="72"/>
      <c r="U24" s="72"/>
      <c r="W24" s="72"/>
      <c r="Y24" s="72"/>
      <c r="AA24" s="72"/>
      <c r="AC24" s="72"/>
    </row>
    <row r="25" spans="1:29" ht="15" x14ac:dyDescent="0.25">
      <c r="A25" s="79"/>
      <c r="B25" s="94"/>
      <c r="C25" s="94"/>
      <c r="D25" s="94"/>
      <c r="E25" s="103"/>
      <c r="F25" s="103"/>
      <c r="G25" s="103"/>
      <c r="H25" s="103"/>
      <c r="I25" s="106"/>
      <c r="J25" s="105">
        <v>1</v>
      </c>
      <c r="K25" s="105">
        <v>2</v>
      </c>
      <c r="L25" s="105">
        <v>3</v>
      </c>
      <c r="M25" s="105">
        <v>4</v>
      </c>
      <c r="N25" s="105">
        <v>5</v>
      </c>
      <c r="O25" s="105">
        <v>6</v>
      </c>
      <c r="P25" s="105">
        <v>7</v>
      </c>
      <c r="Q25" s="105">
        <v>8</v>
      </c>
      <c r="R25" s="105">
        <v>9</v>
      </c>
      <c r="S25" s="105">
        <v>10</v>
      </c>
      <c r="T25" s="105">
        <v>11</v>
      </c>
      <c r="U25" s="105">
        <v>12</v>
      </c>
      <c r="V25" s="105">
        <v>13</v>
      </c>
      <c r="W25" s="105">
        <v>14</v>
      </c>
      <c r="X25" s="105">
        <v>15</v>
      </c>
      <c r="Y25" s="105">
        <v>16</v>
      </c>
      <c r="Z25" s="105">
        <v>17</v>
      </c>
      <c r="AA25" s="105">
        <v>18</v>
      </c>
      <c r="AB25" s="105">
        <v>19</v>
      </c>
      <c r="AC25" s="105">
        <v>20</v>
      </c>
    </row>
    <row r="26" spans="1:29" ht="15" x14ac:dyDescent="0.25">
      <c r="A26" s="79"/>
      <c r="B26" s="104" t="s">
        <v>196</v>
      </c>
      <c r="C26" s="94"/>
      <c r="D26" s="94"/>
      <c r="E26" s="103"/>
      <c r="F26" s="103"/>
      <c r="G26" s="103"/>
      <c r="H26" s="100" t="s">
        <v>195</v>
      </c>
      <c r="I26" s="100"/>
      <c r="J26" s="98">
        <f t="shared" ref="J26:S26" si="5">J14*(1-J20)</f>
        <v>0</v>
      </c>
      <c r="K26" s="98">
        <f t="shared" si="5"/>
        <v>0</v>
      </c>
      <c r="L26" s="98">
        <f t="shared" si="5"/>
        <v>0</v>
      </c>
      <c r="M26" s="98">
        <f t="shared" si="5"/>
        <v>0</v>
      </c>
      <c r="N26" s="98">
        <f t="shared" si="5"/>
        <v>0</v>
      </c>
      <c r="O26" s="98">
        <f t="shared" si="5"/>
        <v>0</v>
      </c>
      <c r="P26" s="98">
        <f t="shared" si="5"/>
        <v>0</v>
      </c>
      <c r="Q26" s="98">
        <f t="shared" si="5"/>
        <v>0</v>
      </c>
      <c r="R26" s="98">
        <f t="shared" si="5"/>
        <v>0</v>
      </c>
      <c r="S26" s="98">
        <f t="shared" si="5"/>
        <v>0</v>
      </c>
      <c r="T26" s="98">
        <f t="shared" ref="T26:AC26" si="6">T14*(1-T20)</f>
        <v>0</v>
      </c>
      <c r="U26" s="98">
        <f t="shared" si="6"/>
        <v>0</v>
      </c>
      <c r="V26" s="98">
        <f t="shared" si="6"/>
        <v>0</v>
      </c>
      <c r="W26" s="98">
        <f t="shared" si="6"/>
        <v>0</v>
      </c>
      <c r="X26" s="98">
        <f t="shared" si="6"/>
        <v>0</v>
      </c>
      <c r="Y26" s="98">
        <f t="shared" si="6"/>
        <v>0</v>
      </c>
      <c r="Z26" s="98">
        <f t="shared" si="6"/>
        <v>0</v>
      </c>
      <c r="AA26" s="98">
        <f t="shared" si="6"/>
        <v>0</v>
      </c>
      <c r="AB26" s="98">
        <f t="shared" si="6"/>
        <v>0</v>
      </c>
      <c r="AC26" s="98">
        <f t="shared" si="6"/>
        <v>0</v>
      </c>
    </row>
    <row r="27" spans="1:29" ht="15" x14ac:dyDescent="0.25">
      <c r="A27" s="79"/>
      <c r="B27" s="79"/>
      <c r="C27" s="82"/>
      <c r="D27" s="82"/>
      <c r="E27" s="82"/>
      <c r="F27" s="82"/>
      <c r="G27" s="82"/>
      <c r="H27" s="175" t="s">
        <v>90</v>
      </c>
      <c r="I27" s="176"/>
      <c r="J27" s="102"/>
      <c r="K27" s="102"/>
      <c r="L27" s="102"/>
      <c r="M27" s="102"/>
      <c r="N27" s="102"/>
      <c r="O27" s="102"/>
      <c r="P27" s="102"/>
      <c r="Q27" s="102"/>
      <c r="R27" s="102"/>
      <c r="S27" s="102"/>
      <c r="T27" s="102"/>
      <c r="U27" s="102"/>
      <c r="V27" s="102"/>
      <c r="W27" s="102"/>
      <c r="X27" s="102"/>
      <c r="Y27" s="102"/>
      <c r="Z27" s="102"/>
      <c r="AA27" s="102"/>
      <c r="AB27" s="102"/>
      <c r="AC27" s="102"/>
    </row>
    <row r="28" spans="1:29" ht="15" x14ac:dyDescent="0.25">
      <c r="A28" s="79"/>
      <c r="B28" s="79"/>
      <c r="C28" s="82"/>
      <c r="D28" s="82"/>
      <c r="E28" s="82"/>
      <c r="F28" s="82"/>
      <c r="G28" s="82"/>
      <c r="H28" s="100" t="s">
        <v>194</v>
      </c>
      <c r="I28" s="99"/>
      <c r="J28" s="98">
        <f t="shared" ref="J28:S28" si="7">J26/((1+J27)^J25)</f>
        <v>0</v>
      </c>
      <c r="K28" s="98">
        <f t="shared" si="7"/>
        <v>0</v>
      </c>
      <c r="L28" s="98">
        <f t="shared" si="7"/>
        <v>0</v>
      </c>
      <c r="M28" s="98">
        <f t="shared" si="7"/>
        <v>0</v>
      </c>
      <c r="N28" s="98">
        <f t="shared" si="7"/>
        <v>0</v>
      </c>
      <c r="O28" s="98">
        <f t="shared" si="7"/>
        <v>0</v>
      </c>
      <c r="P28" s="98">
        <f t="shared" si="7"/>
        <v>0</v>
      </c>
      <c r="Q28" s="98">
        <f t="shared" si="7"/>
        <v>0</v>
      </c>
      <c r="R28" s="98">
        <f t="shared" si="7"/>
        <v>0</v>
      </c>
      <c r="S28" s="98">
        <f t="shared" si="7"/>
        <v>0</v>
      </c>
      <c r="T28" s="98">
        <f t="shared" ref="T28:AC28" si="8">T26/((1+T27)^T25)</f>
        <v>0</v>
      </c>
      <c r="U28" s="98">
        <f t="shared" si="8"/>
        <v>0</v>
      </c>
      <c r="V28" s="98">
        <f t="shared" si="8"/>
        <v>0</v>
      </c>
      <c r="W28" s="98">
        <f t="shared" si="8"/>
        <v>0</v>
      </c>
      <c r="X28" s="98">
        <f t="shared" si="8"/>
        <v>0</v>
      </c>
      <c r="Y28" s="98">
        <f t="shared" si="8"/>
        <v>0</v>
      </c>
      <c r="Z28" s="98">
        <f t="shared" si="8"/>
        <v>0</v>
      </c>
      <c r="AA28" s="98">
        <f t="shared" si="8"/>
        <v>0</v>
      </c>
      <c r="AB28" s="98">
        <f t="shared" si="8"/>
        <v>0</v>
      </c>
      <c r="AC28" s="98">
        <f t="shared" si="8"/>
        <v>0</v>
      </c>
    </row>
    <row r="29" spans="1:29" ht="15.75" thickBot="1" x14ac:dyDescent="0.3">
      <c r="A29" s="79"/>
      <c r="B29" s="79"/>
      <c r="C29" s="79"/>
      <c r="D29" s="79"/>
      <c r="E29" s="79"/>
      <c r="F29" s="79"/>
      <c r="G29" s="79"/>
      <c r="H29" s="79"/>
      <c r="I29" s="97" t="s">
        <v>193</v>
      </c>
      <c r="J29" s="96">
        <f>SUM(J28:O28)</f>
        <v>0</v>
      </c>
      <c r="K29" s="79"/>
      <c r="L29" s="79"/>
      <c r="M29" s="79"/>
      <c r="N29" s="79"/>
      <c r="O29" s="78"/>
      <c r="P29" s="73"/>
      <c r="Q29" s="73"/>
      <c r="R29" s="72"/>
      <c r="S29" s="72"/>
      <c r="T29" s="71"/>
      <c r="U29" s="71"/>
      <c r="V29" s="71"/>
      <c r="W29" s="71"/>
      <c r="X29" s="71"/>
      <c r="Y29" s="71"/>
      <c r="Z29" s="71"/>
    </row>
    <row r="30" spans="1:29" ht="15" x14ac:dyDescent="0.25">
      <c r="A30" s="79"/>
      <c r="B30" s="79" t="s">
        <v>192</v>
      </c>
      <c r="C30" s="95">
        <v>0.04</v>
      </c>
      <c r="D30" s="79"/>
      <c r="E30" s="79"/>
      <c r="F30" s="79"/>
      <c r="G30" s="79"/>
      <c r="H30" s="79"/>
      <c r="I30" s="82"/>
      <c r="J30" s="94"/>
      <c r="K30" s="79"/>
      <c r="L30" s="79"/>
      <c r="M30" s="79"/>
      <c r="N30" s="79"/>
      <c r="O30" s="78"/>
      <c r="P30" s="73"/>
      <c r="Q30" s="73"/>
      <c r="R30" s="72"/>
      <c r="S30" s="72"/>
      <c r="T30" s="71"/>
      <c r="U30" s="71"/>
      <c r="V30" s="71"/>
      <c r="W30" s="71"/>
      <c r="X30" s="71"/>
      <c r="Y30" s="71"/>
      <c r="Z30" s="71"/>
    </row>
    <row r="31" spans="1:29" ht="15" x14ac:dyDescent="0.25">
      <c r="A31" s="79" t="s">
        <v>184</v>
      </c>
      <c r="B31" s="79" t="s">
        <v>191</v>
      </c>
      <c r="C31" s="79"/>
      <c r="D31" s="79"/>
      <c r="E31" s="79"/>
      <c r="F31" s="79"/>
      <c r="G31" s="79"/>
      <c r="H31" s="79"/>
      <c r="I31" s="79"/>
      <c r="J31" s="93"/>
      <c r="K31" s="79"/>
      <c r="L31" s="79"/>
      <c r="M31" s="79"/>
      <c r="N31" s="92">
        <f>S28/(S27-C30)</f>
        <v>0</v>
      </c>
      <c r="O31" s="78"/>
      <c r="P31" s="73"/>
      <c r="Q31" s="73"/>
      <c r="R31" s="72"/>
      <c r="S31" s="72"/>
      <c r="T31" s="71"/>
      <c r="U31" s="71"/>
      <c r="V31" s="71"/>
      <c r="W31" s="71"/>
      <c r="X31" s="71"/>
      <c r="Y31" s="71"/>
      <c r="Z31" s="71"/>
    </row>
    <row r="32" spans="1:29" ht="15" x14ac:dyDescent="0.25">
      <c r="A32" s="79"/>
      <c r="B32" s="85" t="s">
        <v>190</v>
      </c>
      <c r="C32" s="85"/>
      <c r="D32" s="85"/>
      <c r="E32" s="85"/>
      <c r="F32" s="85"/>
      <c r="G32" s="85"/>
      <c r="H32" s="85"/>
      <c r="I32" s="85"/>
      <c r="J32" s="85"/>
      <c r="K32" s="85"/>
      <c r="L32" s="85"/>
      <c r="M32" s="85"/>
      <c r="N32" s="91">
        <f>N31/((1+S27)^S25)</f>
        <v>0</v>
      </c>
      <c r="O32" s="78"/>
      <c r="P32" s="73"/>
      <c r="Q32" s="73"/>
      <c r="R32" s="72"/>
      <c r="S32" s="72"/>
      <c r="T32" s="71"/>
      <c r="U32" s="71"/>
      <c r="V32" s="71"/>
      <c r="W32" s="71"/>
      <c r="X32" s="71"/>
      <c r="Y32" s="71"/>
      <c r="Z32" s="71"/>
    </row>
    <row r="33" spans="1:29" ht="15" x14ac:dyDescent="0.25">
      <c r="A33" s="79"/>
      <c r="B33" s="82" t="s">
        <v>189</v>
      </c>
      <c r="C33" s="82"/>
      <c r="D33" s="82"/>
      <c r="E33" s="82"/>
      <c r="F33" s="82"/>
      <c r="G33" s="82"/>
      <c r="H33" s="82"/>
      <c r="I33" s="82"/>
      <c r="J33" s="82"/>
      <c r="K33" s="82"/>
      <c r="L33" s="82"/>
      <c r="M33" s="82"/>
      <c r="N33" s="90">
        <f>J29+N32</f>
        <v>0</v>
      </c>
      <c r="O33" s="78"/>
      <c r="P33" s="73"/>
      <c r="Q33" s="73"/>
      <c r="R33" s="72"/>
      <c r="S33" s="72"/>
      <c r="T33" s="71"/>
      <c r="U33" s="71"/>
      <c r="V33" s="71"/>
      <c r="W33" s="71"/>
      <c r="X33" s="71"/>
      <c r="Y33" s="71"/>
      <c r="Z33" s="71"/>
    </row>
    <row r="34" spans="1:29" ht="15" x14ac:dyDescent="0.25">
      <c r="A34" s="79"/>
      <c r="B34" s="89" t="s">
        <v>188</v>
      </c>
      <c r="C34" s="79"/>
      <c r="D34" s="79"/>
      <c r="E34" s="79"/>
      <c r="F34" s="79"/>
      <c r="G34" s="79"/>
      <c r="H34" s="79"/>
      <c r="I34" s="79"/>
      <c r="J34" s="79"/>
      <c r="K34" s="79"/>
      <c r="L34" s="79"/>
      <c r="M34" s="79"/>
      <c r="N34" s="87"/>
      <c r="O34" s="78"/>
      <c r="P34" s="73"/>
      <c r="Q34" s="73"/>
      <c r="R34" s="72"/>
      <c r="S34" s="72"/>
      <c r="T34" s="71"/>
      <c r="U34" s="71"/>
      <c r="V34" s="71"/>
      <c r="W34" s="71"/>
      <c r="X34" s="71"/>
      <c r="Y34" s="71"/>
      <c r="Z34" s="71"/>
    </row>
    <row r="35" spans="1:29" ht="15" x14ac:dyDescent="0.25">
      <c r="A35" s="79"/>
      <c r="B35" s="88" t="s">
        <v>187</v>
      </c>
      <c r="C35" s="85"/>
      <c r="D35" s="85"/>
      <c r="E35" s="85"/>
      <c r="F35" s="85"/>
      <c r="G35" s="85"/>
      <c r="H35" s="85"/>
      <c r="I35" s="85"/>
      <c r="J35" s="85"/>
      <c r="K35" s="85"/>
      <c r="L35" s="85"/>
      <c r="M35" s="85"/>
      <c r="N35" s="87"/>
      <c r="O35" s="78"/>
      <c r="P35" s="73"/>
      <c r="Q35" s="73"/>
      <c r="R35" s="72"/>
      <c r="S35" s="72"/>
      <c r="T35" s="71"/>
      <c r="U35" s="71"/>
      <c r="V35" s="71"/>
      <c r="W35" s="71"/>
      <c r="X35" s="71"/>
      <c r="Y35" s="71"/>
      <c r="Z35" s="71"/>
    </row>
    <row r="36" spans="1:29" ht="15" x14ac:dyDescent="0.25">
      <c r="A36" s="79"/>
      <c r="B36" s="82" t="s">
        <v>186</v>
      </c>
      <c r="C36" s="82"/>
      <c r="D36" s="82"/>
      <c r="E36" s="82"/>
      <c r="F36" s="82"/>
      <c r="G36" s="82"/>
      <c r="H36" s="82"/>
      <c r="I36" s="82"/>
      <c r="J36" s="82"/>
      <c r="K36" s="82"/>
      <c r="L36" s="82"/>
      <c r="M36" s="82"/>
      <c r="N36" s="86">
        <f>N33+N34-N35</f>
        <v>0</v>
      </c>
      <c r="O36" s="78"/>
      <c r="P36" s="73"/>
      <c r="Q36" s="73"/>
      <c r="R36" s="72"/>
      <c r="S36" s="72"/>
      <c r="T36" s="71"/>
      <c r="U36" s="71"/>
      <c r="V36" s="71"/>
      <c r="W36" s="71"/>
      <c r="X36" s="71"/>
      <c r="Y36" s="71"/>
      <c r="Z36" s="71"/>
    </row>
    <row r="37" spans="1:29" ht="15" x14ac:dyDescent="0.25">
      <c r="A37" s="79"/>
      <c r="B37" s="85" t="s">
        <v>185</v>
      </c>
      <c r="C37" s="85"/>
      <c r="D37" s="85"/>
      <c r="E37" s="85"/>
      <c r="F37" s="85"/>
      <c r="G37" s="85"/>
      <c r="H37" s="85"/>
      <c r="I37" s="85"/>
      <c r="J37" s="85"/>
      <c r="K37" s="85"/>
      <c r="L37" s="85"/>
      <c r="M37" s="85"/>
      <c r="N37" s="84"/>
      <c r="O37" s="78"/>
      <c r="P37" s="73"/>
      <c r="Q37" s="73"/>
      <c r="R37" s="72"/>
      <c r="S37" s="72"/>
      <c r="T37" s="71"/>
      <c r="U37" s="71"/>
      <c r="V37" s="71"/>
      <c r="W37" s="71"/>
      <c r="X37" s="71"/>
      <c r="Y37" s="71"/>
      <c r="Z37" s="71"/>
    </row>
    <row r="38" spans="1:29" ht="15" x14ac:dyDescent="0.25">
      <c r="A38" s="79" t="s">
        <v>184</v>
      </c>
      <c r="B38" s="82" t="s">
        <v>183</v>
      </c>
      <c r="C38" s="82"/>
      <c r="D38" s="82"/>
      <c r="E38" s="82"/>
      <c r="F38" s="82"/>
      <c r="G38" s="82"/>
      <c r="H38" s="82"/>
      <c r="I38" s="82"/>
      <c r="J38" s="82"/>
      <c r="K38" s="82"/>
      <c r="L38" s="82"/>
      <c r="M38" s="82"/>
      <c r="N38" s="83" t="e">
        <f>N36/N37</f>
        <v>#DIV/0!</v>
      </c>
      <c r="O38" s="78"/>
      <c r="P38" s="73"/>
      <c r="Q38" s="73"/>
      <c r="R38" s="72"/>
      <c r="S38" s="72"/>
      <c r="T38" s="71"/>
      <c r="U38" s="71"/>
      <c r="V38" s="71"/>
      <c r="W38" s="71"/>
      <c r="X38" s="71"/>
      <c r="Y38" s="71"/>
      <c r="Z38" s="71"/>
    </row>
    <row r="39" spans="1:29" ht="15.75" thickBot="1" x14ac:dyDescent="0.3">
      <c r="A39" s="79"/>
      <c r="B39" s="82" t="s">
        <v>182</v>
      </c>
      <c r="C39" s="82"/>
      <c r="D39" s="82"/>
      <c r="E39" s="82"/>
      <c r="F39" s="82"/>
      <c r="G39" s="82"/>
      <c r="H39" s="82"/>
      <c r="I39" s="82"/>
      <c r="J39" s="82"/>
      <c r="K39" s="82"/>
      <c r="L39" s="82"/>
      <c r="M39" s="82"/>
      <c r="N39" s="83"/>
      <c r="O39" s="78"/>
      <c r="P39" s="73"/>
      <c r="Q39" s="73"/>
      <c r="R39" s="72"/>
      <c r="S39" s="72"/>
      <c r="T39" s="71"/>
      <c r="U39" s="71"/>
      <c r="V39" s="71"/>
      <c r="W39" s="71"/>
      <c r="X39" s="71"/>
      <c r="Y39" s="71"/>
      <c r="Z39" s="71"/>
    </row>
    <row r="40" spans="1:29" ht="15.75" thickBot="1" x14ac:dyDescent="0.3">
      <c r="A40" s="79"/>
      <c r="B40" s="82" t="s">
        <v>181</v>
      </c>
      <c r="C40" s="79"/>
      <c r="D40" s="79"/>
      <c r="E40" s="79"/>
      <c r="F40" s="79"/>
      <c r="G40" s="79"/>
      <c r="H40" s="79"/>
      <c r="I40" s="79"/>
      <c r="J40" s="79"/>
      <c r="K40" s="79"/>
      <c r="L40" s="79"/>
      <c r="M40" s="79"/>
      <c r="N40" s="81" t="e">
        <f>(N38-N39)/N39</f>
        <v>#DIV/0!</v>
      </c>
      <c r="O40" s="78"/>
      <c r="P40" s="73"/>
      <c r="Q40" s="73"/>
      <c r="R40" s="72"/>
      <c r="S40" s="72"/>
      <c r="T40" s="71"/>
      <c r="U40" s="71"/>
      <c r="V40" s="71"/>
      <c r="W40" s="71"/>
      <c r="X40" s="71"/>
      <c r="Y40" s="71"/>
      <c r="Z40" s="71"/>
    </row>
    <row r="41" spans="1:29" ht="15" x14ac:dyDescent="0.25">
      <c r="A41" s="80"/>
      <c r="B41" s="80"/>
      <c r="C41" s="80"/>
      <c r="D41" s="80"/>
      <c r="E41" s="80"/>
      <c r="F41" s="80"/>
      <c r="G41" s="80"/>
      <c r="H41" s="80"/>
      <c r="I41" s="80"/>
      <c r="J41" s="80"/>
      <c r="K41" s="80"/>
      <c r="L41" s="80"/>
      <c r="M41" s="80"/>
      <c r="N41" s="79"/>
      <c r="O41" s="78"/>
      <c r="P41" s="73"/>
      <c r="Q41" s="73"/>
      <c r="R41" s="72"/>
      <c r="S41" s="72"/>
      <c r="T41" s="71"/>
      <c r="U41" s="71"/>
      <c r="V41" s="71"/>
      <c r="W41" s="71"/>
      <c r="X41" s="71"/>
      <c r="Y41" s="71"/>
      <c r="Z41" s="71"/>
    </row>
    <row r="42" spans="1:29" ht="15" x14ac:dyDescent="0.25">
      <c r="A42" s="74"/>
      <c r="B42" s="73"/>
      <c r="C42" s="73"/>
      <c r="D42" s="73"/>
      <c r="E42" s="73"/>
      <c r="F42" s="73"/>
      <c r="G42" s="73"/>
      <c r="H42" s="73"/>
      <c r="I42" s="73"/>
      <c r="J42" s="73"/>
      <c r="K42" s="73"/>
      <c r="L42" s="73"/>
      <c r="M42" s="73"/>
      <c r="N42" s="73"/>
      <c r="O42" s="73"/>
      <c r="P42" s="73"/>
      <c r="Q42" s="73"/>
      <c r="R42" s="72"/>
      <c r="S42" s="72"/>
      <c r="T42" s="71"/>
      <c r="U42" s="71"/>
      <c r="V42" s="71"/>
      <c r="W42" s="71"/>
      <c r="X42" s="71"/>
      <c r="Y42" s="71"/>
      <c r="Z42" s="71"/>
    </row>
    <row r="43" spans="1:29" ht="15" x14ac:dyDescent="0.25">
      <c r="A43" s="73"/>
      <c r="B43" s="75"/>
      <c r="C43" s="75"/>
      <c r="D43" s="75"/>
      <c r="E43" s="75"/>
      <c r="F43" s="75"/>
      <c r="G43" s="75"/>
      <c r="H43" s="75"/>
      <c r="I43" s="75"/>
      <c r="J43" s="77"/>
      <c r="K43" s="77"/>
      <c r="L43" s="77"/>
      <c r="M43" s="77"/>
      <c r="N43" s="77"/>
      <c r="O43" s="77"/>
      <c r="P43" s="73"/>
      <c r="Q43" s="73"/>
      <c r="R43" s="72"/>
      <c r="S43" s="72"/>
      <c r="T43" s="71"/>
      <c r="U43" s="71"/>
      <c r="V43" s="71"/>
      <c r="W43" s="71"/>
      <c r="X43" s="71"/>
      <c r="Y43" s="71"/>
      <c r="Z43" s="71"/>
    </row>
    <row r="44" spans="1:29" ht="15" x14ac:dyDescent="0.25">
      <c r="A44" s="73"/>
      <c r="B44" s="75"/>
      <c r="C44" s="75"/>
      <c r="D44" s="75"/>
      <c r="E44" s="75"/>
      <c r="F44" s="75"/>
      <c r="G44" s="75"/>
      <c r="H44" s="177"/>
      <c r="I44" s="177"/>
      <c r="J44" s="75"/>
      <c r="K44" s="75"/>
      <c r="L44" s="75"/>
      <c r="M44" s="75"/>
      <c r="N44" s="75"/>
      <c r="O44" s="75"/>
      <c r="P44" s="73"/>
      <c r="Q44" s="73"/>
      <c r="R44" s="72"/>
      <c r="S44" s="72"/>
      <c r="T44" s="71"/>
      <c r="U44" s="71"/>
      <c r="V44" s="71"/>
      <c r="W44" s="71"/>
      <c r="X44" s="71"/>
      <c r="Y44" s="71"/>
      <c r="Z44" s="71"/>
    </row>
    <row r="45" spans="1:29" ht="15" x14ac:dyDescent="0.25">
      <c r="A45" s="73"/>
      <c r="B45" s="73"/>
      <c r="C45" s="74"/>
      <c r="D45" s="74"/>
      <c r="E45" s="74"/>
      <c r="F45" s="74"/>
      <c r="G45" s="74"/>
      <c r="H45" s="177"/>
      <c r="I45" s="177"/>
      <c r="J45" s="76"/>
      <c r="K45" s="76"/>
      <c r="L45" s="76"/>
      <c r="M45" s="76"/>
      <c r="N45" s="76"/>
      <c r="O45" s="76"/>
      <c r="P45" s="73"/>
      <c r="Q45" s="73"/>
      <c r="R45" s="72"/>
      <c r="S45" s="72"/>
      <c r="T45" s="71"/>
      <c r="U45" s="71"/>
      <c r="V45" s="71"/>
      <c r="W45" s="71"/>
      <c r="X45" s="71"/>
      <c r="Y45" s="71"/>
      <c r="Z45" s="71"/>
    </row>
    <row r="46" spans="1:29" ht="15" x14ac:dyDescent="0.25">
      <c r="A46" s="73"/>
      <c r="B46" s="142" t="s">
        <v>206</v>
      </c>
      <c r="C46" s="143"/>
      <c r="D46" s="143"/>
      <c r="E46" s="142"/>
      <c r="F46" s="142"/>
      <c r="G46" s="142"/>
      <c r="H46" s="142"/>
      <c r="I46" s="141" t="s">
        <v>205</v>
      </c>
      <c r="J46" s="141">
        <v>1</v>
      </c>
      <c r="K46" s="141">
        <v>2</v>
      </c>
      <c r="L46" s="141">
        <v>3</v>
      </c>
      <c r="M46" s="141">
        <v>4</v>
      </c>
      <c r="N46" s="141">
        <v>5</v>
      </c>
      <c r="O46" s="141">
        <v>6</v>
      </c>
      <c r="P46" s="141">
        <v>7</v>
      </c>
      <c r="Q46" s="141">
        <v>8</v>
      </c>
      <c r="R46" s="141">
        <v>9</v>
      </c>
      <c r="S46" s="141">
        <v>10</v>
      </c>
      <c r="T46" s="141">
        <v>11</v>
      </c>
      <c r="U46" s="141">
        <v>12</v>
      </c>
      <c r="V46" s="141">
        <v>13</v>
      </c>
      <c r="W46" s="141">
        <v>14</v>
      </c>
      <c r="X46" s="141">
        <v>15</v>
      </c>
      <c r="Y46" s="144"/>
      <c r="Z46" s="144"/>
      <c r="AA46" s="144"/>
      <c r="AB46" s="144"/>
      <c r="AC46" s="144"/>
    </row>
    <row r="47" spans="1:29" ht="15" x14ac:dyDescent="0.25">
      <c r="A47" s="73"/>
      <c r="B47" s="79"/>
      <c r="C47" s="79"/>
      <c r="D47" s="79"/>
      <c r="E47" s="129"/>
      <c r="F47" s="129"/>
      <c r="G47" s="129"/>
      <c r="H47" s="129"/>
      <c r="I47" s="140"/>
      <c r="J47" s="139"/>
      <c r="K47" s="139"/>
      <c r="L47" s="139"/>
      <c r="M47" s="139"/>
      <c r="N47" s="139"/>
      <c r="O47" s="78"/>
      <c r="P47" s="73"/>
      <c r="Q47" s="73"/>
      <c r="S47" s="72"/>
      <c r="U47" s="72"/>
      <c r="W47" s="72"/>
      <c r="Y47" s="71"/>
      <c r="Z47" s="71"/>
      <c r="AA47" s="71"/>
      <c r="AB47" s="71"/>
      <c r="AC47" s="71"/>
    </row>
    <row r="48" spans="1:29" ht="15" x14ac:dyDescent="0.25">
      <c r="A48" s="73"/>
      <c r="B48" s="138" t="s">
        <v>204</v>
      </c>
      <c r="C48" s="121"/>
      <c r="D48" s="121"/>
      <c r="E48" s="137"/>
      <c r="F48" s="121"/>
      <c r="G48" s="137"/>
      <c r="H48" s="137"/>
      <c r="I48" s="136"/>
      <c r="J48" s="135">
        <f>Forecasts!D126</f>
        <v>0.3</v>
      </c>
      <c r="K48" s="135">
        <f>Forecasts!E126</f>
        <v>0.3</v>
      </c>
      <c r="L48" s="135">
        <f>Forecasts!F126</f>
        <v>0.3</v>
      </c>
      <c r="M48" s="135">
        <f>Forecasts!G126</f>
        <v>0.3</v>
      </c>
      <c r="N48" s="135">
        <f>Forecasts!H126</f>
        <v>0.3</v>
      </c>
      <c r="O48" s="135">
        <f>Forecasts!I126</f>
        <v>0.3</v>
      </c>
      <c r="P48" s="135">
        <f>Forecasts!J126</f>
        <v>0.3</v>
      </c>
      <c r="Q48" s="135">
        <f>Forecasts!K126</f>
        <v>0.3</v>
      </c>
      <c r="R48" s="135">
        <f>Forecasts!L126</f>
        <v>0.3</v>
      </c>
      <c r="S48" s="135">
        <f>Forecasts!M126</f>
        <v>0.2</v>
      </c>
      <c r="T48" s="135">
        <f>Forecasts!N126</f>
        <v>0.2</v>
      </c>
      <c r="U48" s="135">
        <f>Forecasts!O126</f>
        <v>0.2</v>
      </c>
      <c r="V48" s="135">
        <f>Forecasts!P126</f>
        <v>0.2</v>
      </c>
      <c r="W48" s="135">
        <f>Forecasts!Q126</f>
        <v>0.1</v>
      </c>
      <c r="X48" s="135">
        <f>Forecasts!R126</f>
        <v>0.1</v>
      </c>
      <c r="Y48" s="148"/>
      <c r="Z48" s="148"/>
      <c r="AA48" s="148"/>
      <c r="AB48" s="148"/>
      <c r="AC48" s="148"/>
    </row>
    <row r="49" spans="1:29" ht="15" x14ac:dyDescent="0.25">
      <c r="A49" s="73"/>
      <c r="B49" s="79"/>
      <c r="C49" s="79"/>
      <c r="D49" s="79"/>
      <c r="F49" s="79"/>
      <c r="G49" s="82"/>
      <c r="H49" s="79"/>
      <c r="I49" s="118"/>
      <c r="J49" s="79"/>
      <c r="K49" s="79"/>
      <c r="L49" s="79"/>
      <c r="M49" s="79"/>
      <c r="N49" s="79"/>
      <c r="O49" s="78"/>
      <c r="P49" s="73"/>
      <c r="Q49" s="73"/>
      <c r="S49" s="72"/>
      <c r="U49" s="72"/>
      <c r="W49" s="72"/>
      <c r="Y49" s="71"/>
      <c r="Z49" s="71"/>
      <c r="AA49" s="71"/>
      <c r="AB49" s="71"/>
      <c r="AC49" s="71"/>
    </row>
    <row r="50" spans="1:29" ht="15" x14ac:dyDescent="0.25">
      <c r="A50" s="73"/>
      <c r="B50" s="130" t="s">
        <v>203</v>
      </c>
      <c r="C50" s="79"/>
      <c r="D50" s="79"/>
      <c r="E50" s="129"/>
      <c r="F50" s="129"/>
      <c r="G50" s="129"/>
      <c r="H50" s="129"/>
      <c r="I50" s="155">
        <v>471857</v>
      </c>
      <c r="J50" s="156">
        <f>I50*(1+J48)</f>
        <v>613414.1</v>
      </c>
      <c r="K50" s="156">
        <f t="shared" ref="K50:X50" si="9">J50*(1+K48)</f>
        <v>797438.33</v>
      </c>
      <c r="L50" s="156">
        <f t="shared" si="9"/>
        <v>1036669.829</v>
      </c>
      <c r="M50" s="156">
        <f t="shared" si="9"/>
        <v>1347670.7777</v>
      </c>
      <c r="N50" s="156">
        <f t="shared" si="9"/>
        <v>1751972.01101</v>
      </c>
      <c r="O50" s="156">
        <f t="shared" si="9"/>
        <v>2277563.6143129999</v>
      </c>
      <c r="P50" s="156">
        <f t="shared" si="9"/>
        <v>2960832.6986068999</v>
      </c>
      <c r="Q50" s="156">
        <f t="shared" si="9"/>
        <v>3849082.5081889699</v>
      </c>
      <c r="R50" s="156">
        <f t="shared" si="9"/>
        <v>5003807.2606456615</v>
      </c>
      <c r="S50" s="156">
        <f t="shared" si="9"/>
        <v>6004568.7127747936</v>
      </c>
      <c r="T50" s="156">
        <f t="shared" si="9"/>
        <v>7205482.4553297525</v>
      </c>
      <c r="U50" s="156">
        <f t="shared" si="9"/>
        <v>8646578.9463957027</v>
      </c>
      <c r="V50" s="156">
        <f t="shared" si="9"/>
        <v>10375894.735674843</v>
      </c>
      <c r="W50" s="156">
        <f t="shared" si="9"/>
        <v>11413484.209242329</v>
      </c>
      <c r="X50" s="156">
        <f t="shared" si="9"/>
        <v>12554832.630166562</v>
      </c>
      <c r="Y50" s="71"/>
      <c r="Z50" s="71"/>
      <c r="AA50" s="71"/>
      <c r="AB50" s="71"/>
      <c r="AC50" s="71"/>
    </row>
    <row r="51" spans="1:29" ht="15" x14ac:dyDescent="0.25">
      <c r="A51" s="73"/>
      <c r="B51" s="127"/>
      <c r="C51" s="79"/>
      <c r="D51" s="79"/>
      <c r="E51" s="126"/>
      <c r="F51" s="126"/>
      <c r="G51" s="126"/>
      <c r="H51" s="126"/>
      <c r="I51" s="125"/>
      <c r="J51" s="124"/>
      <c r="K51" s="124"/>
      <c r="L51" s="124"/>
      <c r="M51" s="124"/>
      <c r="N51" s="124"/>
      <c r="O51" s="123"/>
      <c r="P51" s="73"/>
      <c r="Q51" s="73"/>
      <c r="S51" s="72"/>
      <c r="U51" s="72"/>
      <c r="W51" s="72"/>
      <c r="Y51" s="71"/>
      <c r="Z51" s="71"/>
      <c r="AA51" s="71"/>
      <c r="AB51" s="71"/>
      <c r="AC51" s="71"/>
    </row>
    <row r="52" spans="1:29" ht="15" x14ac:dyDescent="0.25">
      <c r="A52" s="73"/>
      <c r="B52" s="133" t="s">
        <v>202</v>
      </c>
      <c r="C52" s="121"/>
      <c r="D52" s="121"/>
      <c r="E52" s="121"/>
      <c r="F52" s="121"/>
      <c r="G52" s="121"/>
      <c r="H52" s="121"/>
      <c r="I52" s="132"/>
      <c r="J52" s="131">
        <f>Forecasts!F389</f>
        <v>0.10045444444444444</v>
      </c>
      <c r="K52" s="131">
        <f>Forecasts!G389</f>
        <v>9.8908888888888893E-2</v>
      </c>
      <c r="L52" s="131">
        <f>Forecasts!H389</f>
        <v>9.7363333333333343E-2</v>
      </c>
      <c r="M52" s="131">
        <f>Forecasts!I389</f>
        <v>9.5817777777777793E-2</v>
      </c>
      <c r="N52" s="131">
        <f>Forecasts!J389</f>
        <v>9.4272222222222243E-2</v>
      </c>
      <c r="O52" s="131">
        <f>Forecasts!K389</f>
        <v>9.2726666666666693E-2</v>
      </c>
      <c r="P52" s="131">
        <f>Forecasts!L389</f>
        <v>9.1181111111111143E-2</v>
      </c>
      <c r="Q52" s="131">
        <f>Forecasts!M389</f>
        <v>8.9635555555555593E-2</v>
      </c>
      <c r="R52" s="131">
        <f>Forecasts!N389</f>
        <v>8.8090000000000043E-2</v>
      </c>
      <c r="S52" s="131">
        <f>Forecasts!O389</f>
        <v>8.8090000000000043E-2</v>
      </c>
      <c r="T52" s="131">
        <f>Forecasts!P389</f>
        <v>8.8090000000000043E-2</v>
      </c>
      <c r="U52" s="131">
        <f>Forecasts!Q389</f>
        <v>8.8090000000000043E-2</v>
      </c>
      <c r="V52" s="131">
        <f>Forecasts!R389</f>
        <v>8.8090000000000043E-2</v>
      </c>
      <c r="W52" s="131">
        <f>Forecasts!S389</f>
        <v>8.8090000000000043E-2</v>
      </c>
      <c r="X52" s="131">
        <f>Forecasts!T389</f>
        <v>8.8090000000000043E-2</v>
      </c>
      <c r="Y52" s="149"/>
      <c r="Z52" s="149"/>
      <c r="AA52" s="149"/>
      <c r="AB52" s="149"/>
      <c r="AC52" s="149"/>
    </row>
    <row r="53" spans="1:29" ht="15" x14ac:dyDescent="0.25">
      <c r="A53" s="73"/>
      <c r="B53" s="130"/>
      <c r="C53" s="79"/>
      <c r="D53" s="79"/>
      <c r="E53" s="79"/>
      <c r="F53" s="79"/>
      <c r="G53" s="79"/>
      <c r="H53" s="79"/>
      <c r="I53" s="116"/>
      <c r="J53" s="104"/>
      <c r="K53" s="104"/>
      <c r="L53" s="104"/>
      <c r="M53" s="104"/>
      <c r="N53" s="104"/>
      <c r="O53" s="123"/>
      <c r="P53" s="73"/>
      <c r="Q53" s="73"/>
      <c r="S53" s="72"/>
      <c r="U53" s="72"/>
      <c r="W53" s="72"/>
      <c r="Y53" s="71"/>
      <c r="Z53" s="71"/>
      <c r="AA53" s="71"/>
      <c r="AB53" s="71"/>
      <c r="AC53" s="71"/>
    </row>
    <row r="54" spans="1:29" ht="15" x14ac:dyDescent="0.25">
      <c r="A54" s="73"/>
      <c r="B54" s="130" t="s">
        <v>201</v>
      </c>
      <c r="C54" s="79"/>
      <c r="D54" s="79"/>
      <c r="E54" s="129"/>
      <c r="F54" s="129"/>
      <c r="G54" s="129"/>
      <c r="H54" s="129"/>
      <c r="I54" s="116"/>
      <c r="J54" s="157">
        <f>J50*J52</f>
        <v>61620.172629888883</v>
      </c>
      <c r="K54" s="157">
        <f t="shared" ref="K54:X54" si="10">K50*K52</f>
        <v>78873.739177711104</v>
      </c>
      <c r="L54" s="157">
        <f t="shared" si="10"/>
        <v>100933.63011753668</v>
      </c>
      <c r="M54" s="157">
        <f t="shared" si="10"/>
        <v>129130.81909526358</v>
      </c>
      <c r="N54" s="157">
        <f t="shared" si="10"/>
        <v>165162.29474904831</v>
      </c>
      <c r="O54" s="157">
        <f t="shared" si="10"/>
        <v>211190.88207653016</v>
      </c>
      <c r="P54" s="157">
        <f t="shared" si="10"/>
        <v>269972.01527308678</v>
      </c>
      <c r="Q54" s="157">
        <f t="shared" si="10"/>
        <v>345014.64900068968</v>
      </c>
      <c r="R54" s="157">
        <f t="shared" si="10"/>
        <v>440785.38159027655</v>
      </c>
      <c r="S54" s="157">
        <f t="shared" si="10"/>
        <v>528942.45790833188</v>
      </c>
      <c r="T54" s="157">
        <f t="shared" si="10"/>
        <v>634730.94948999817</v>
      </c>
      <c r="U54" s="157">
        <f t="shared" si="10"/>
        <v>761677.1393879978</v>
      </c>
      <c r="V54" s="157">
        <f t="shared" si="10"/>
        <v>914012.5672655974</v>
      </c>
      <c r="W54" s="157">
        <f t="shared" si="10"/>
        <v>1005413.8239921572</v>
      </c>
      <c r="X54" s="157">
        <f t="shared" si="10"/>
        <v>1105955.206391373</v>
      </c>
      <c r="Y54" s="71"/>
      <c r="Z54" s="71"/>
      <c r="AA54" s="71"/>
      <c r="AB54" s="71"/>
      <c r="AC54" s="71"/>
    </row>
    <row r="55" spans="1:29" ht="15" x14ac:dyDescent="0.25">
      <c r="A55" s="73"/>
      <c r="B55" s="127"/>
      <c r="C55" s="79"/>
      <c r="D55" s="79"/>
      <c r="E55" s="126"/>
      <c r="F55" s="126"/>
      <c r="G55" s="126"/>
      <c r="H55" s="126"/>
      <c r="I55" s="125"/>
      <c r="J55" s="124"/>
      <c r="K55" s="124"/>
      <c r="L55" s="124"/>
      <c r="M55" s="124"/>
      <c r="N55" s="124"/>
      <c r="O55" s="123"/>
      <c r="P55" s="73"/>
      <c r="Q55" s="73"/>
      <c r="S55" s="72"/>
      <c r="U55" s="72"/>
      <c r="W55" s="72"/>
      <c r="Y55" s="71"/>
      <c r="Z55" s="71"/>
      <c r="AA55" s="71"/>
      <c r="AB55" s="71"/>
      <c r="AC55" s="71"/>
    </row>
    <row r="56" spans="1:29" ht="15" x14ac:dyDescent="0.25">
      <c r="A56" s="73"/>
      <c r="B56" s="122" t="s">
        <v>200</v>
      </c>
      <c r="C56" s="121"/>
      <c r="D56" s="121"/>
      <c r="E56" s="121"/>
      <c r="F56" s="121"/>
      <c r="G56" s="121"/>
      <c r="H56" s="121"/>
      <c r="I56" s="120"/>
      <c r="J56" s="119">
        <v>0.21</v>
      </c>
      <c r="K56" s="119">
        <v>0.21</v>
      </c>
      <c r="L56" s="119">
        <v>0.21</v>
      </c>
      <c r="M56" s="119">
        <v>0.21</v>
      </c>
      <c r="N56" s="119">
        <v>0.21</v>
      </c>
      <c r="O56" s="119">
        <v>0.21</v>
      </c>
      <c r="P56" s="119">
        <v>0.21</v>
      </c>
      <c r="Q56" s="119">
        <v>0.21</v>
      </c>
      <c r="R56" s="119">
        <v>0.21</v>
      </c>
      <c r="S56" s="119">
        <v>0.21</v>
      </c>
      <c r="T56" s="119">
        <v>0.21</v>
      </c>
      <c r="U56" s="119">
        <v>0.21</v>
      </c>
      <c r="V56" s="119">
        <v>0.21</v>
      </c>
      <c r="W56" s="119">
        <v>0.21</v>
      </c>
      <c r="X56" s="119">
        <v>0.21</v>
      </c>
      <c r="Y56" s="150"/>
      <c r="Z56" s="150"/>
      <c r="AA56" s="150"/>
      <c r="AB56" s="150"/>
      <c r="AC56" s="150"/>
    </row>
    <row r="57" spans="1:29" ht="15" x14ac:dyDescent="0.25">
      <c r="A57" s="73"/>
      <c r="B57" s="79"/>
      <c r="C57" s="79"/>
      <c r="D57" s="79"/>
      <c r="E57" s="79"/>
      <c r="F57" s="79"/>
      <c r="G57" s="79"/>
      <c r="H57" s="79"/>
      <c r="I57" s="118"/>
      <c r="J57" s="79"/>
      <c r="K57" s="79"/>
      <c r="L57" s="79"/>
      <c r="M57" s="79"/>
      <c r="N57" s="79"/>
      <c r="O57" s="78"/>
      <c r="P57" s="73"/>
      <c r="Q57" s="73"/>
      <c r="S57" s="72"/>
      <c r="U57" s="72"/>
      <c r="W57" s="72"/>
      <c r="Y57" s="71"/>
      <c r="Z57" s="71"/>
      <c r="AA57" s="71"/>
      <c r="AB57" s="71"/>
      <c r="AC57" s="71"/>
    </row>
    <row r="58" spans="1:29" ht="15" x14ac:dyDescent="0.25">
      <c r="A58" s="1"/>
      <c r="B58" s="92" t="s">
        <v>199</v>
      </c>
      <c r="C58" s="117"/>
      <c r="D58" s="117"/>
      <c r="E58" s="117"/>
      <c r="F58" s="117"/>
      <c r="G58" s="117"/>
      <c r="H58" s="117"/>
      <c r="I58" s="116"/>
      <c r="J58" s="92">
        <f>J54*(1-J56)</f>
        <v>48679.936377612219</v>
      </c>
      <c r="K58" s="92">
        <f t="shared" ref="K58:X58" si="11">K54*(1-K56)</f>
        <v>62310.253950391772</v>
      </c>
      <c r="L58" s="92">
        <f t="shared" si="11"/>
        <v>79737.567792853981</v>
      </c>
      <c r="M58" s="92">
        <f t="shared" si="11"/>
        <v>102013.34708525822</v>
      </c>
      <c r="N58" s="92">
        <f t="shared" si="11"/>
        <v>130478.21285174816</v>
      </c>
      <c r="O58" s="92">
        <f t="shared" si="11"/>
        <v>166840.79684045885</v>
      </c>
      <c r="P58" s="92">
        <f t="shared" si="11"/>
        <v>213277.89206573856</v>
      </c>
      <c r="Q58" s="92">
        <f t="shared" si="11"/>
        <v>272561.57271054486</v>
      </c>
      <c r="R58" s="92">
        <f t="shared" si="11"/>
        <v>348220.45145631849</v>
      </c>
      <c r="S58" s="92">
        <f t="shared" si="11"/>
        <v>417864.5417475822</v>
      </c>
      <c r="T58" s="92">
        <f t="shared" si="11"/>
        <v>501437.4500970986</v>
      </c>
      <c r="U58" s="92">
        <f t="shared" si="11"/>
        <v>601724.94011651829</v>
      </c>
      <c r="V58" s="92">
        <f t="shared" si="11"/>
        <v>722069.92813982198</v>
      </c>
      <c r="W58" s="92">
        <f t="shared" si="11"/>
        <v>794276.92095380428</v>
      </c>
      <c r="X58" s="92">
        <f t="shared" si="11"/>
        <v>873704.61304918467</v>
      </c>
      <c r="Y58" s="71"/>
      <c r="Z58" s="71"/>
      <c r="AA58" s="71"/>
      <c r="AB58" s="71"/>
      <c r="AC58" s="71"/>
    </row>
    <row r="59" spans="1:29" ht="15" x14ac:dyDescent="0.25">
      <c r="A59" s="1"/>
      <c r="B59" s="104"/>
      <c r="C59" s="94"/>
      <c r="D59" s="94"/>
      <c r="E59" s="103"/>
      <c r="F59" s="103"/>
      <c r="G59" s="103"/>
      <c r="H59" s="103"/>
      <c r="I59" s="106"/>
      <c r="J59" s="107"/>
      <c r="K59" s="107"/>
      <c r="L59" s="107"/>
      <c r="M59" s="107"/>
      <c r="N59" s="107"/>
      <c r="O59" s="107"/>
      <c r="P59" s="73"/>
      <c r="Q59" s="73"/>
      <c r="S59" s="72"/>
      <c r="U59" s="72"/>
      <c r="W59" s="72"/>
      <c r="Y59" s="71"/>
      <c r="Z59" s="71"/>
      <c r="AA59" s="71"/>
      <c r="AB59" s="71"/>
      <c r="AC59" s="71"/>
    </row>
    <row r="60" spans="1:29" ht="15" x14ac:dyDescent="0.25">
      <c r="B60" s="114" t="s">
        <v>177</v>
      </c>
      <c r="C60" s="113"/>
      <c r="D60" s="113"/>
      <c r="E60" s="112"/>
      <c r="F60" s="112"/>
      <c r="G60" s="112"/>
      <c r="H60" s="112"/>
      <c r="I60" s="111"/>
      <c r="J60" s="115"/>
      <c r="K60" s="115"/>
      <c r="L60" s="115"/>
      <c r="M60" s="115"/>
      <c r="N60" s="115"/>
      <c r="O60" s="115"/>
      <c r="P60" s="115"/>
      <c r="Q60" s="115"/>
      <c r="R60" s="115"/>
      <c r="S60" s="145"/>
      <c r="T60" s="115"/>
      <c r="U60" s="145"/>
      <c r="V60" s="115"/>
      <c r="W60" s="145"/>
      <c r="X60" s="115"/>
      <c r="Y60" s="151"/>
      <c r="Z60" s="151"/>
      <c r="AA60" s="151"/>
      <c r="AB60" s="151"/>
      <c r="AC60" s="151"/>
    </row>
    <row r="61" spans="1:29" ht="15" x14ac:dyDescent="0.25">
      <c r="B61" s="104"/>
      <c r="C61" s="94"/>
      <c r="D61" s="94"/>
      <c r="E61" s="103"/>
      <c r="F61" s="103"/>
      <c r="G61" s="103"/>
      <c r="H61" s="103"/>
      <c r="I61" s="106"/>
      <c r="J61" s="108"/>
      <c r="K61" s="108"/>
      <c r="L61" s="108"/>
      <c r="M61" s="108"/>
      <c r="N61" s="108"/>
      <c r="O61" s="108"/>
      <c r="P61" s="73"/>
      <c r="Q61" s="73"/>
      <c r="S61" s="72"/>
      <c r="U61" s="72"/>
      <c r="W61" s="72"/>
      <c r="Y61" s="72"/>
      <c r="Z61" s="72"/>
      <c r="AA61" s="72"/>
      <c r="AB61" s="72"/>
      <c r="AC61" s="72"/>
    </row>
    <row r="62" spans="1:29" ht="15" x14ac:dyDescent="0.25">
      <c r="B62" s="114" t="s">
        <v>198</v>
      </c>
      <c r="C62" s="113"/>
      <c r="D62" s="113"/>
      <c r="E62" s="112"/>
      <c r="F62" s="112"/>
      <c r="G62" s="112"/>
      <c r="H62" s="112"/>
      <c r="I62" s="111"/>
      <c r="J62" s="110"/>
      <c r="K62" s="110"/>
      <c r="L62" s="110"/>
      <c r="M62" s="110"/>
      <c r="N62" s="110"/>
      <c r="O62" s="110"/>
      <c r="P62" s="110"/>
      <c r="Q62" s="110"/>
      <c r="R62" s="110"/>
      <c r="S62" s="146"/>
      <c r="T62" s="110"/>
      <c r="U62" s="146"/>
      <c r="V62" s="110"/>
      <c r="W62" s="146"/>
      <c r="X62" s="110"/>
      <c r="Y62" s="152"/>
      <c r="Z62" s="152"/>
      <c r="AA62" s="152"/>
      <c r="AB62" s="152"/>
      <c r="AC62" s="152"/>
    </row>
    <row r="63" spans="1:29" ht="15" x14ac:dyDescent="0.25">
      <c r="B63" s="107"/>
      <c r="C63" s="94"/>
      <c r="D63" s="94"/>
      <c r="E63" s="103"/>
      <c r="F63" s="103"/>
      <c r="G63" s="103"/>
      <c r="H63" s="103"/>
      <c r="I63" s="106"/>
      <c r="J63" s="109"/>
      <c r="K63" s="109"/>
      <c r="L63" s="109"/>
      <c r="M63" s="109"/>
      <c r="N63" s="109"/>
      <c r="O63" s="109"/>
      <c r="P63" s="109"/>
      <c r="Q63" s="109"/>
      <c r="R63" s="109"/>
      <c r="S63" s="109"/>
      <c r="T63" s="109"/>
      <c r="U63" s="109"/>
      <c r="V63" s="109"/>
      <c r="W63" s="109"/>
      <c r="X63" s="109"/>
      <c r="Y63" s="71"/>
      <c r="Z63" s="71"/>
      <c r="AA63" s="71"/>
      <c r="AB63" s="71"/>
      <c r="AC63" s="71"/>
    </row>
    <row r="64" spans="1:29" ht="15" x14ac:dyDescent="0.25">
      <c r="B64" s="107" t="s">
        <v>180</v>
      </c>
      <c r="C64" s="94"/>
      <c r="D64" s="94"/>
      <c r="E64" s="103"/>
      <c r="F64" s="103"/>
      <c r="G64" s="103"/>
      <c r="H64" s="103"/>
      <c r="I64" s="106"/>
      <c r="J64" s="109">
        <v>0.4</v>
      </c>
      <c r="K64" s="109">
        <v>0.4</v>
      </c>
      <c r="L64" s="109">
        <v>0.4</v>
      </c>
      <c r="M64" s="109">
        <v>0.4</v>
      </c>
      <c r="N64" s="109">
        <v>0.4</v>
      </c>
      <c r="O64" s="109">
        <v>0.4</v>
      </c>
      <c r="P64" s="109">
        <v>0.4</v>
      </c>
      <c r="Q64" s="109">
        <v>0.4</v>
      </c>
      <c r="R64" s="109">
        <v>0.4</v>
      </c>
      <c r="S64" s="109">
        <v>0.4</v>
      </c>
      <c r="T64" s="109">
        <v>0.4</v>
      </c>
      <c r="U64" s="109">
        <v>0.4</v>
      </c>
      <c r="V64" s="109">
        <v>0.4</v>
      </c>
      <c r="W64" s="109">
        <v>0.4</v>
      </c>
      <c r="X64" s="109">
        <v>0.4</v>
      </c>
      <c r="Y64" s="71"/>
      <c r="Z64" s="71"/>
      <c r="AA64" s="71"/>
      <c r="AB64" s="71"/>
      <c r="AC64" s="71"/>
    </row>
    <row r="65" spans="2:29" ht="15" x14ac:dyDescent="0.25">
      <c r="B65" s="104"/>
      <c r="C65" s="94"/>
      <c r="D65" s="94"/>
      <c r="E65" s="103"/>
      <c r="F65" s="103"/>
      <c r="G65" s="103"/>
      <c r="H65" s="103"/>
      <c r="I65" s="106"/>
      <c r="J65" s="108"/>
      <c r="K65" s="108"/>
      <c r="L65" s="108"/>
      <c r="M65" s="108"/>
      <c r="N65" s="108"/>
      <c r="O65" s="108"/>
      <c r="P65" s="73"/>
      <c r="Q65" s="73"/>
      <c r="S65" s="72"/>
      <c r="U65" s="72"/>
      <c r="W65" s="72"/>
      <c r="Y65" s="71"/>
      <c r="Z65" s="71"/>
      <c r="AA65" s="71"/>
      <c r="AB65" s="71"/>
      <c r="AC65" s="71"/>
    </row>
    <row r="66" spans="2:29" ht="15" x14ac:dyDescent="0.25">
      <c r="B66" s="92" t="s">
        <v>197</v>
      </c>
      <c r="C66" s="94"/>
      <c r="D66" s="94"/>
      <c r="E66" s="103"/>
      <c r="F66" s="103"/>
      <c r="G66" s="103"/>
      <c r="H66" s="103"/>
      <c r="I66" s="106"/>
      <c r="J66" s="92">
        <f t="shared" ref="J66:Q66" si="12">J50*(J62)</f>
        <v>0</v>
      </c>
      <c r="K66" s="92">
        <f t="shared" si="12"/>
        <v>0</v>
      </c>
      <c r="L66" s="92">
        <f t="shared" si="12"/>
        <v>0</v>
      </c>
      <c r="M66" s="92">
        <f t="shared" si="12"/>
        <v>0</v>
      </c>
      <c r="N66" s="92">
        <f t="shared" si="12"/>
        <v>0</v>
      </c>
      <c r="O66" s="92">
        <f t="shared" si="12"/>
        <v>0</v>
      </c>
      <c r="P66" s="92">
        <f t="shared" si="12"/>
        <v>0</v>
      </c>
      <c r="Q66" s="92">
        <f t="shared" si="12"/>
        <v>0</v>
      </c>
      <c r="S66" s="92">
        <f>S50*(S62)</f>
        <v>0</v>
      </c>
      <c r="U66" s="92">
        <f t="shared" ref="U66" si="13">U50*(U62)</f>
        <v>0</v>
      </c>
      <c r="W66" s="92">
        <f t="shared" ref="W66" si="14">W50*(W62)</f>
        <v>0</v>
      </c>
      <c r="Y66" s="153"/>
      <c r="Z66" s="71"/>
      <c r="AA66" s="153"/>
      <c r="AB66" s="71"/>
      <c r="AC66" s="153"/>
    </row>
    <row r="67" spans="2:29" ht="15" x14ac:dyDescent="0.25">
      <c r="B67" s="104"/>
      <c r="C67" s="94"/>
      <c r="D67" s="94"/>
      <c r="E67" s="103"/>
      <c r="F67" s="103"/>
      <c r="G67" s="103"/>
      <c r="H67" s="103"/>
      <c r="I67" s="106"/>
      <c r="J67" s="107"/>
      <c r="K67" s="107"/>
      <c r="L67" s="107"/>
      <c r="M67" s="107"/>
      <c r="N67" s="107"/>
      <c r="O67" s="107"/>
      <c r="P67" s="73"/>
      <c r="Q67" s="73"/>
      <c r="S67" s="72"/>
      <c r="U67" s="72"/>
      <c r="W67" s="72"/>
      <c r="Y67" s="72"/>
      <c r="Z67" s="71"/>
      <c r="AA67" s="72"/>
      <c r="AB67" s="71"/>
      <c r="AC67" s="72"/>
    </row>
    <row r="68" spans="2:29" ht="15" x14ac:dyDescent="0.25">
      <c r="B68" s="104"/>
      <c r="C68" s="94"/>
      <c r="D68" s="94"/>
      <c r="E68" s="103"/>
      <c r="F68" s="103"/>
      <c r="G68" s="103"/>
      <c r="H68" s="103"/>
      <c r="I68" s="106"/>
      <c r="J68" s="107"/>
      <c r="K68" s="107"/>
      <c r="L68" s="107"/>
      <c r="M68" s="107"/>
      <c r="N68" s="107"/>
      <c r="O68" s="107"/>
      <c r="P68" s="73"/>
      <c r="Q68" s="73"/>
      <c r="S68" s="72"/>
      <c r="U68" s="72"/>
      <c r="W68" s="72"/>
      <c r="Y68" s="72"/>
      <c r="Z68" s="71"/>
      <c r="AA68" s="72"/>
      <c r="AB68" s="71"/>
      <c r="AC68" s="72"/>
    </row>
    <row r="69" spans="2:29" ht="15" x14ac:dyDescent="0.25">
      <c r="B69" s="94"/>
      <c r="C69" s="94"/>
      <c r="D69" s="94"/>
      <c r="E69" s="103"/>
      <c r="F69" s="103"/>
      <c r="G69" s="103"/>
      <c r="H69" s="103"/>
      <c r="I69" s="106"/>
      <c r="J69" s="105">
        <v>1</v>
      </c>
      <c r="K69" s="105">
        <v>2</v>
      </c>
      <c r="L69" s="105">
        <v>3</v>
      </c>
      <c r="M69" s="105">
        <v>4</v>
      </c>
      <c r="N69" s="105">
        <v>5</v>
      </c>
      <c r="O69" s="105">
        <v>6</v>
      </c>
      <c r="P69" s="105">
        <v>7</v>
      </c>
      <c r="Q69" s="105">
        <v>8</v>
      </c>
      <c r="R69" s="105">
        <v>9</v>
      </c>
      <c r="S69" s="105">
        <v>10</v>
      </c>
      <c r="T69" s="105">
        <v>11</v>
      </c>
      <c r="U69" s="105">
        <v>12</v>
      </c>
      <c r="V69" s="105">
        <v>13</v>
      </c>
      <c r="W69" s="105">
        <v>14</v>
      </c>
      <c r="X69" s="105">
        <v>15</v>
      </c>
      <c r="Y69" s="154"/>
      <c r="Z69" s="154"/>
      <c r="AA69" s="154"/>
      <c r="AB69" s="154"/>
      <c r="AC69" s="154"/>
    </row>
    <row r="70" spans="2:29" ht="15" x14ac:dyDescent="0.25">
      <c r="B70" s="104" t="s">
        <v>196</v>
      </c>
      <c r="C70" s="94"/>
      <c r="D70" s="94"/>
      <c r="E70" s="103"/>
      <c r="F70" s="103"/>
      <c r="G70" s="103"/>
      <c r="H70" s="100" t="s">
        <v>195</v>
      </c>
      <c r="I70" s="100"/>
      <c r="J70" s="98">
        <f t="shared" ref="J70:S70" si="15">J58*(1-J64)</f>
        <v>29207.961826567331</v>
      </c>
      <c r="K70" s="98">
        <f t="shared" si="15"/>
        <v>37386.152370235061</v>
      </c>
      <c r="L70" s="98">
        <f t="shared" si="15"/>
        <v>47842.540675712386</v>
      </c>
      <c r="M70" s="98">
        <f t="shared" si="15"/>
        <v>61208.008251154934</v>
      </c>
      <c r="N70" s="98">
        <f t="shared" si="15"/>
        <v>78286.927711048891</v>
      </c>
      <c r="O70" s="98">
        <f t="shared" si="15"/>
        <v>100104.4781042753</v>
      </c>
      <c r="P70" s="98">
        <f t="shared" si="15"/>
        <v>127966.73523944314</v>
      </c>
      <c r="Q70" s="98">
        <f t="shared" si="15"/>
        <v>163536.94362632692</v>
      </c>
      <c r="R70" s="98">
        <f t="shared" si="15"/>
        <v>208932.2708737911</v>
      </c>
      <c r="S70" s="147">
        <f t="shared" si="15"/>
        <v>250718.7250485493</v>
      </c>
      <c r="T70" s="98">
        <f t="shared" ref="T70:X70" si="16">T58*(1-T64)</f>
        <v>300862.47005825915</v>
      </c>
      <c r="U70" s="147">
        <f t="shared" si="16"/>
        <v>361034.96406991099</v>
      </c>
      <c r="V70" s="98">
        <f t="shared" si="16"/>
        <v>433241.95688389317</v>
      </c>
      <c r="W70" s="147">
        <f t="shared" si="16"/>
        <v>476566.15257228253</v>
      </c>
      <c r="X70" s="98">
        <f t="shared" si="16"/>
        <v>524222.76782951079</v>
      </c>
      <c r="Y70" s="123"/>
      <c r="Z70" s="123"/>
      <c r="AA70" s="123"/>
      <c r="AB70" s="123"/>
      <c r="AC70" s="123"/>
    </row>
    <row r="71" spans="2:29" ht="15" x14ac:dyDescent="0.25">
      <c r="B71" s="79"/>
      <c r="C71" s="82"/>
      <c r="D71" s="82"/>
      <c r="E71" s="82"/>
      <c r="F71" s="82"/>
      <c r="G71" s="82"/>
      <c r="H71" s="175" t="s">
        <v>90</v>
      </c>
      <c r="I71" s="176"/>
      <c r="J71" s="2">
        <v>8.1703646027358454E-2</v>
      </c>
      <c r="K71" s="2">
        <v>8.0884845946125827E-2</v>
      </c>
      <c r="L71" s="2">
        <v>8.0066045864893201E-2</v>
      </c>
      <c r="M71" s="2">
        <v>7.9247245783660575E-2</v>
      </c>
      <c r="N71" s="2">
        <v>7.8428445702427949E-2</v>
      </c>
      <c r="O71" s="2">
        <v>7.7609645621195322E-2</v>
      </c>
      <c r="P71" s="2">
        <v>7.6790845539962696E-2</v>
      </c>
      <c r="Q71" s="2">
        <v>7.597204545873007E-2</v>
      </c>
      <c r="R71" s="2">
        <v>7.5153245377497443E-2</v>
      </c>
      <c r="S71" s="2">
        <v>7.4334445296264817E-2</v>
      </c>
      <c r="T71" s="2">
        <v>7.3515645215032191E-2</v>
      </c>
      <c r="U71" s="2">
        <v>7.2696845133799565E-2</v>
      </c>
      <c r="V71" s="2">
        <v>7.1878045052566938E-2</v>
      </c>
      <c r="W71" s="2">
        <v>7.1059244971334312E-2</v>
      </c>
      <c r="X71" s="2">
        <v>7.0240444890101617E-2</v>
      </c>
      <c r="Y71" s="101"/>
      <c r="Z71" s="101"/>
      <c r="AA71" s="101"/>
      <c r="AB71" s="101"/>
      <c r="AC71" s="101"/>
    </row>
    <row r="72" spans="2:29" ht="15" x14ac:dyDescent="0.25">
      <c r="B72" s="79"/>
      <c r="C72" s="82"/>
      <c r="D72" s="82"/>
      <c r="E72" s="82"/>
      <c r="F72" s="82"/>
      <c r="G72" s="82"/>
      <c r="H72" s="100" t="s">
        <v>194</v>
      </c>
      <c r="I72" s="99"/>
      <c r="J72" s="98">
        <f t="shared" ref="J72:S72" si="17">J70/((1+J71)^J69)</f>
        <v>27001.815084783957</v>
      </c>
      <c r="K72" s="98">
        <f t="shared" si="17"/>
        <v>32000.142739231072</v>
      </c>
      <c r="L72" s="98">
        <f t="shared" si="17"/>
        <v>37971.984486458139</v>
      </c>
      <c r="M72" s="98">
        <f t="shared" si="17"/>
        <v>45115.362517514397</v>
      </c>
      <c r="N72" s="98">
        <f t="shared" si="17"/>
        <v>53670.12123773068</v>
      </c>
      <c r="O72" s="98">
        <f t="shared" si="17"/>
        <v>63927.05316810614</v>
      </c>
      <c r="P72" s="98">
        <f t="shared" si="17"/>
        <v>76239.073044879333</v>
      </c>
      <c r="Q72" s="98">
        <f t="shared" si="17"/>
        <v>91034.91087652334</v>
      </c>
      <c r="R72" s="98">
        <f t="shared" si="17"/>
        <v>108835.90501462681</v>
      </c>
      <c r="S72" s="147">
        <f t="shared" si="17"/>
        <v>122402.91700417332</v>
      </c>
      <c r="T72" s="98">
        <f t="shared" ref="T72:X72" si="18">T70/((1+T71)^T69)</f>
        <v>137871.93064055062</v>
      </c>
      <c r="U72" s="147">
        <f t="shared" si="18"/>
        <v>155533.9575397383</v>
      </c>
      <c r="V72" s="98">
        <f t="shared" si="18"/>
        <v>175727.86288557565</v>
      </c>
      <c r="W72" s="147">
        <f t="shared" si="18"/>
        <v>182278.00842976998</v>
      </c>
      <c r="X72" s="98">
        <f t="shared" si="18"/>
        <v>189363.1598809206</v>
      </c>
      <c r="Y72" s="123"/>
      <c r="Z72" s="123"/>
      <c r="AA72" s="123"/>
      <c r="AB72" s="123"/>
      <c r="AC72" s="123"/>
    </row>
    <row r="73" spans="2:29" ht="15.75" thickBot="1" x14ac:dyDescent="0.3">
      <c r="B73" s="79"/>
      <c r="C73" s="79"/>
      <c r="D73" s="79"/>
      <c r="E73" s="79"/>
      <c r="F73" s="79"/>
      <c r="G73" s="79"/>
      <c r="H73" s="79"/>
      <c r="I73" s="97" t="s">
        <v>193</v>
      </c>
      <c r="J73" s="96">
        <f>SUM(J72:X72)</f>
        <v>1498974.204550582</v>
      </c>
      <c r="K73" s="79"/>
      <c r="L73" s="79"/>
      <c r="M73" s="79"/>
      <c r="N73" s="79"/>
      <c r="O73" s="78"/>
      <c r="P73" s="73"/>
      <c r="Q73" s="73"/>
      <c r="R73" s="72"/>
      <c r="S73" s="72"/>
      <c r="T73" s="71"/>
      <c r="U73" s="71"/>
      <c r="V73" s="71"/>
      <c r="W73" s="71"/>
      <c r="X73" s="71"/>
      <c r="Y73" s="71"/>
      <c r="Z73" s="71"/>
      <c r="AA73" s="71"/>
      <c r="AB73" s="71"/>
      <c r="AC73" s="71"/>
    </row>
    <row r="74" spans="2:29" ht="15" x14ac:dyDescent="0.25">
      <c r="B74" s="79" t="s">
        <v>192</v>
      </c>
      <c r="C74" s="95">
        <v>0</v>
      </c>
      <c r="D74" s="79"/>
      <c r="E74" s="79"/>
      <c r="F74" s="79"/>
      <c r="G74" s="79"/>
      <c r="H74" s="79"/>
      <c r="I74" s="82"/>
      <c r="J74" s="94"/>
      <c r="K74" s="79"/>
      <c r="L74" s="79"/>
      <c r="M74" s="79"/>
      <c r="N74" s="79"/>
      <c r="O74" s="78"/>
      <c r="P74" s="73"/>
      <c r="Q74" s="73"/>
      <c r="R74" s="72"/>
      <c r="S74" s="72"/>
      <c r="T74" s="71"/>
      <c r="U74" s="71"/>
      <c r="V74" s="71"/>
      <c r="W74" s="71"/>
      <c r="X74" s="71"/>
      <c r="Y74" s="71"/>
      <c r="Z74" s="71"/>
      <c r="AA74" s="71"/>
      <c r="AB74" s="71"/>
      <c r="AC74" s="71"/>
    </row>
    <row r="75" spans="2:29" ht="15" x14ac:dyDescent="0.25">
      <c r="B75" s="79" t="s">
        <v>191</v>
      </c>
      <c r="C75" s="79"/>
      <c r="D75" s="79"/>
      <c r="E75" s="79"/>
      <c r="F75" s="79"/>
      <c r="G75" s="79"/>
      <c r="H75" s="79"/>
      <c r="I75" s="79"/>
      <c r="J75" s="93"/>
      <c r="K75" s="79"/>
      <c r="L75" s="79"/>
      <c r="M75" s="79"/>
      <c r="N75" s="92">
        <f>X72/(X71-C74)</f>
        <v>2695927.6835048338</v>
      </c>
      <c r="O75" s="78"/>
      <c r="P75" s="73"/>
      <c r="Q75" s="73"/>
      <c r="R75" s="72"/>
      <c r="S75" s="72"/>
      <c r="T75" s="71"/>
      <c r="U75" s="71"/>
      <c r="V75" s="71"/>
      <c r="W75" s="71"/>
      <c r="X75" s="71"/>
      <c r="Y75" s="71"/>
      <c r="Z75" s="71"/>
      <c r="AA75" s="71"/>
      <c r="AB75" s="71"/>
      <c r="AC75" s="71"/>
    </row>
    <row r="76" spans="2:29" ht="15" x14ac:dyDescent="0.25">
      <c r="B76" s="85" t="s">
        <v>190</v>
      </c>
      <c r="C76" s="85"/>
      <c r="D76" s="85"/>
      <c r="E76" s="85"/>
      <c r="F76" s="85"/>
      <c r="G76" s="85"/>
      <c r="H76" s="85"/>
      <c r="I76" s="85"/>
      <c r="J76" s="85"/>
      <c r="K76" s="85"/>
      <c r="L76" s="85"/>
      <c r="M76" s="85"/>
      <c r="N76" s="91">
        <f>N75/((1+X71)^X69)</f>
        <v>973840.54315808567</v>
      </c>
      <c r="O76" s="78"/>
      <c r="P76" s="73"/>
      <c r="Q76" s="73"/>
      <c r="R76" s="72"/>
      <c r="S76" s="72"/>
      <c r="T76" s="71"/>
      <c r="U76" s="71"/>
      <c r="V76" s="71"/>
      <c r="W76" s="71"/>
      <c r="X76" s="71"/>
      <c r="Y76" s="71"/>
      <c r="Z76" s="71"/>
      <c r="AA76" s="71"/>
      <c r="AB76" s="71"/>
      <c r="AC76" s="71"/>
    </row>
    <row r="77" spans="2:29" ht="15" x14ac:dyDescent="0.25">
      <c r="B77" s="82" t="s">
        <v>189</v>
      </c>
      <c r="C77" s="82"/>
      <c r="D77" s="82"/>
      <c r="E77" s="82"/>
      <c r="F77" s="82"/>
      <c r="G77" s="82"/>
      <c r="H77" s="82"/>
      <c r="I77" s="82"/>
      <c r="J77" s="82"/>
      <c r="K77" s="82"/>
      <c r="L77" s="82"/>
      <c r="M77" s="82"/>
      <c r="N77" s="90">
        <f>J73+N76</f>
        <v>2472814.7477086675</v>
      </c>
      <c r="O77" s="78"/>
      <c r="P77" s="73"/>
      <c r="Q77" s="73"/>
      <c r="R77" s="72"/>
      <c r="S77" s="72"/>
      <c r="T77" s="71"/>
      <c r="U77" s="71"/>
      <c r="V77" s="71"/>
      <c r="W77" s="71"/>
      <c r="X77" s="71"/>
      <c r="Y77" s="71"/>
      <c r="Z77" s="71"/>
      <c r="AA77" s="71"/>
      <c r="AB77" s="71"/>
      <c r="AC77" s="71"/>
    </row>
    <row r="78" spans="2:29" ht="15" x14ac:dyDescent="0.25">
      <c r="B78" s="89" t="s">
        <v>188</v>
      </c>
      <c r="C78" s="79"/>
      <c r="D78" s="79"/>
      <c r="E78" s="79"/>
      <c r="F78" s="79"/>
      <c r="G78" s="79"/>
      <c r="H78" s="79"/>
      <c r="I78" s="79"/>
      <c r="J78" s="79"/>
      <c r="K78" s="79"/>
      <c r="L78" s="79"/>
      <c r="M78" s="79"/>
      <c r="N78" s="156">
        <v>133173</v>
      </c>
      <c r="O78" s="78"/>
      <c r="P78" s="73"/>
      <c r="Q78" s="73"/>
      <c r="R78" s="72"/>
      <c r="S78" s="72"/>
      <c r="T78" s="71"/>
      <c r="U78" s="71"/>
      <c r="V78" s="71"/>
      <c r="W78" s="71"/>
      <c r="X78" s="71"/>
      <c r="Y78" s="71"/>
      <c r="Z78" s="71"/>
      <c r="AA78" s="71"/>
      <c r="AB78" s="71"/>
      <c r="AC78" s="71"/>
    </row>
    <row r="79" spans="2:29" ht="15" x14ac:dyDescent="0.25">
      <c r="B79" s="88" t="s">
        <v>187</v>
      </c>
      <c r="C79" s="85"/>
      <c r="D79" s="85"/>
      <c r="E79" s="85"/>
      <c r="F79" s="85"/>
      <c r="G79" s="85"/>
      <c r="H79" s="85"/>
      <c r="I79" s="85"/>
      <c r="J79" s="85"/>
      <c r="K79" s="85"/>
      <c r="L79" s="85"/>
      <c r="M79" s="85"/>
      <c r="N79" s="87">
        <f>4085+3620+4387+9593</f>
        <v>21685</v>
      </c>
      <c r="O79" s="78"/>
      <c r="P79" s="73"/>
      <c r="Q79" s="73"/>
      <c r="R79" s="72"/>
      <c r="S79" s="72"/>
      <c r="T79" s="71"/>
      <c r="U79" s="71"/>
      <c r="V79" s="71"/>
      <c r="W79" s="71"/>
      <c r="X79" s="71"/>
      <c r="Y79" s="71"/>
      <c r="Z79" s="71"/>
      <c r="AA79" s="71"/>
      <c r="AB79" s="71"/>
      <c r="AC79" s="71"/>
    </row>
    <row r="80" spans="2:29" ht="15" x14ac:dyDescent="0.25">
      <c r="B80" s="82" t="s">
        <v>186</v>
      </c>
      <c r="C80" s="82"/>
      <c r="D80" s="82"/>
      <c r="E80" s="82"/>
      <c r="F80" s="82"/>
      <c r="G80" s="82"/>
      <c r="H80" s="82"/>
      <c r="I80" s="82"/>
      <c r="J80" s="82"/>
      <c r="K80" s="82"/>
      <c r="L80" s="82"/>
      <c r="M80" s="82"/>
      <c r="N80" s="86">
        <f>N77+N78-N79</f>
        <v>2584302.7477086675</v>
      </c>
      <c r="O80" s="78"/>
      <c r="P80" s="73"/>
      <c r="Q80" s="73"/>
      <c r="R80" s="72"/>
      <c r="S80" s="72"/>
      <c r="T80" s="71"/>
      <c r="U80" s="71"/>
      <c r="V80" s="71"/>
      <c r="W80" s="71"/>
      <c r="X80" s="71"/>
      <c r="Y80" s="71"/>
      <c r="Z80" s="71"/>
    </row>
    <row r="81" spans="2:26" ht="15" x14ac:dyDescent="0.25">
      <c r="B81" s="85" t="s">
        <v>185</v>
      </c>
      <c r="C81" s="85"/>
      <c r="D81" s="85"/>
      <c r="E81" s="85"/>
      <c r="F81" s="85"/>
      <c r="G81" s="85"/>
      <c r="H81" s="85"/>
      <c r="I81" s="85"/>
      <c r="J81" s="85"/>
      <c r="K81" s="85"/>
      <c r="L81" s="85"/>
      <c r="M81" s="85"/>
      <c r="N81" s="166">
        <v>43100</v>
      </c>
      <c r="O81" s="78"/>
      <c r="P81" s="73"/>
      <c r="Q81" s="73"/>
      <c r="R81" s="72"/>
      <c r="S81" s="72"/>
      <c r="T81" s="71"/>
      <c r="U81" s="71"/>
      <c r="V81" s="71"/>
      <c r="W81" s="71"/>
      <c r="X81" s="71"/>
      <c r="Y81" s="71"/>
      <c r="Z81" s="71"/>
    </row>
    <row r="82" spans="2:26" ht="15" x14ac:dyDescent="0.25">
      <c r="B82" s="82" t="s">
        <v>183</v>
      </c>
      <c r="C82" s="82"/>
      <c r="D82" s="82"/>
      <c r="E82" s="82"/>
      <c r="F82" s="82"/>
      <c r="G82" s="82"/>
      <c r="H82" s="82"/>
      <c r="I82" s="82"/>
      <c r="J82" s="82"/>
      <c r="K82" s="82"/>
      <c r="L82" s="82"/>
      <c r="M82" s="82"/>
      <c r="N82" s="83">
        <f>N80/N81</f>
        <v>59.960620596488809</v>
      </c>
      <c r="O82" s="78"/>
      <c r="P82" s="73"/>
      <c r="Q82" s="73"/>
      <c r="R82" s="72"/>
      <c r="S82" s="72"/>
      <c r="T82" s="71"/>
      <c r="U82" s="71"/>
      <c r="V82" s="71"/>
      <c r="W82" s="71"/>
      <c r="X82" s="71"/>
      <c r="Y82" s="71"/>
      <c r="Z82" s="71"/>
    </row>
    <row r="83" spans="2:26" ht="15.75" thickBot="1" x14ac:dyDescent="0.3">
      <c r="B83" s="82" t="s">
        <v>182</v>
      </c>
      <c r="C83" s="82"/>
      <c r="D83" s="82"/>
      <c r="E83" s="82"/>
      <c r="F83" s="82"/>
      <c r="G83" s="82"/>
      <c r="H83" s="82"/>
      <c r="I83" s="82"/>
      <c r="J83" s="82"/>
      <c r="K83" s="82"/>
      <c r="L83" s="82"/>
      <c r="M83" s="82"/>
      <c r="N83" s="83">
        <v>36</v>
      </c>
      <c r="O83" s="78"/>
      <c r="P83" s="73"/>
      <c r="Q83" s="73"/>
      <c r="R83" s="72"/>
      <c r="S83" s="72"/>
      <c r="T83" s="71"/>
      <c r="U83" s="71"/>
      <c r="V83" s="71"/>
      <c r="W83" s="71"/>
      <c r="X83" s="71"/>
      <c r="Y83" s="71"/>
      <c r="Z83" s="71"/>
    </row>
    <row r="84" spans="2:26" ht="15.75" thickBot="1" x14ac:dyDescent="0.3">
      <c r="B84" s="82" t="s">
        <v>181</v>
      </c>
      <c r="C84" s="79"/>
      <c r="D84" s="79"/>
      <c r="E84" s="79"/>
      <c r="F84" s="79"/>
      <c r="G84" s="79"/>
      <c r="H84" s="79"/>
      <c r="I84" s="79"/>
      <c r="J84" s="79"/>
      <c r="K84" s="79"/>
      <c r="L84" s="79"/>
      <c r="M84" s="79"/>
      <c r="N84" s="81">
        <f>(N82-N83)/N83</f>
        <v>0.66557279434691141</v>
      </c>
      <c r="O84" s="78"/>
      <c r="P84" s="73"/>
      <c r="Q84" s="73"/>
      <c r="R84" s="72"/>
      <c r="S84" s="72"/>
      <c r="T84" s="71"/>
      <c r="U84" s="71"/>
      <c r="V84" s="71"/>
      <c r="W84" s="71"/>
      <c r="X84" s="71"/>
      <c r="Y84" s="71"/>
      <c r="Z84" s="71"/>
    </row>
    <row r="85" spans="2:26" ht="15" x14ac:dyDescent="0.25">
      <c r="B85" s="80"/>
      <c r="C85" s="80"/>
      <c r="D85" s="80"/>
      <c r="E85" s="80"/>
      <c r="F85" s="80"/>
      <c r="G85" s="80"/>
      <c r="H85" s="80"/>
      <c r="I85" s="80"/>
      <c r="J85" s="80"/>
      <c r="K85" s="80"/>
      <c r="L85" s="80"/>
      <c r="M85" s="80"/>
      <c r="N85" s="79"/>
      <c r="O85" s="78"/>
      <c r="P85" s="73"/>
      <c r="Q85" s="73"/>
      <c r="R85" s="72"/>
      <c r="S85" s="72"/>
      <c r="T85" s="71"/>
      <c r="U85" s="71"/>
      <c r="V85" s="71"/>
      <c r="W85" s="71"/>
      <c r="X85" s="71"/>
      <c r="Y85" s="71"/>
      <c r="Z85" s="71"/>
    </row>
    <row r="86" spans="2:26" ht="15" x14ac:dyDescent="0.25">
      <c r="B86" s="73"/>
      <c r="C86" s="73"/>
      <c r="D86" s="73"/>
      <c r="E86" s="73"/>
      <c r="F86" s="73"/>
      <c r="G86" s="73"/>
      <c r="H86" s="73"/>
      <c r="I86" s="73"/>
      <c r="J86" s="73"/>
      <c r="K86" s="73"/>
      <c r="L86" s="73"/>
      <c r="M86" s="73"/>
      <c r="N86" s="73"/>
      <c r="O86" s="73"/>
      <c r="P86" s="73"/>
      <c r="Q86" s="73"/>
      <c r="R86" s="72"/>
      <c r="S86" s="72"/>
      <c r="T86" s="71"/>
      <c r="U86" s="71"/>
      <c r="V86" s="71"/>
      <c r="W86" s="71"/>
      <c r="X86" s="71"/>
      <c r="Y86" s="71"/>
      <c r="Z86" s="71"/>
    </row>
    <row r="87" spans="2:26" ht="15" x14ac:dyDescent="0.25">
      <c r="B87" s="75"/>
      <c r="C87" s="75"/>
      <c r="D87" s="75"/>
      <c r="E87" s="75"/>
      <c r="F87" s="75"/>
      <c r="G87" s="75"/>
      <c r="H87" s="75"/>
      <c r="I87" s="75"/>
      <c r="J87" s="77"/>
      <c r="K87" s="77"/>
      <c r="L87" s="77"/>
      <c r="M87" s="77"/>
      <c r="N87" s="77"/>
      <c r="O87" s="77"/>
      <c r="P87" s="73"/>
      <c r="Q87" s="73"/>
      <c r="R87" s="72"/>
      <c r="S87" s="72"/>
      <c r="T87" s="71"/>
      <c r="U87" s="71"/>
      <c r="V87" s="71"/>
      <c r="W87" s="71"/>
      <c r="X87" s="71"/>
      <c r="Y87" s="71"/>
      <c r="Z87" s="71"/>
    </row>
    <row r="88" spans="2:26" ht="15" x14ac:dyDescent="0.25">
      <c r="B88" s="75"/>
      <c r="C88" s="75"/>
      <c r="D88" s="75"/>
      <c r="E88" s="75"/>
      <c r="F88" s="75"/>
      <c r="G88" s="75"/>
      <c r="H88" s="177"/>
      <c r="I88" s="177"/>
      <c r="J88" s="75"/>
      <c r="K88" s="75"/>
      <c r="L88" s="75"/>
      <c r="M88" s="75"/>
      <c r="N88" s="75"/>
      <c r="O88" s="75"/>
      <c r="P88" s="73"/>
      <c r="Q88" s="73"/>
      <c r="R88" s="72"/>
      <c r="S88" s="72"/>
      <c r="T88" s="71"/>
      <c r="U88" s="71"/>
      <c r="V88" s="71"/>
      <c r="W88" s="71"/>
      <c r="X88" s="71"/>
      <c r="Y88" s="71"/>
      <c r="Z88" s="71"/>
    </row>
    <row r="89" spans="2:26" ht="15" x14ac:dyDescent="0.25">
      <c r="B89" s="142" t="s">
        <v>206</v>
      </c>
      <c r="C89" s="143"/>
      <c r="D89" s="143"/>
      <c r="E89" s="142"/>
      <c r="F89" s="142"/>
      <c r="G89" s="142"/>
      <c r="H89" s="142"/>
      <c r="I89" s="141" t="s">
        <v>205</v>
      </c>
      <c r="J89" s="141">
        <v>1</v>
      </c>
      <c r="K89" s="141">
        <v>2</v>
      </c>
      <c r="L89" s="141">
        <v>3</v>
      </c>
      <c r="M89" s="141">
        <v>4</v>
      </c>
      <c r="N89" s="141">
        <v>5</v>
      </c>
      <c r="O89" s="141">
        <v>6</v>
      </c>
      <c r="P89" s="141">
        <v>7</v>
      </c>
      <c r="Q89" s="141">
        <v>8</v>
      </c>
      <c r="R89" s="141">
        <v>9</v>
      </c>
      <c r="S89" s="141">
        <v>10</v>
      </c>
    </row>
    <row r="90" spans="2:26" ht="15" x14ac:dyDescent="0.25">
      <c r="B90" s="79"/>
      <c r="C90" s="79"/>
      <c r="D90" s="79"/>
      <c r="E90" s="129"/>
      <c r="F90" s="129"/>
      <c r="G90" s="129"/>
      <c r="H90" s="129"/>
      <c r="I90" s="140"/>
      <c r="J90" s="139"/>
      <c r="K90" s="139"/>
      <c r="L90" s="139"/>
      <c r="M90" s="139"/>
      <c r="N90" s="139"/>
      <c r="O90" s="78"/>
      <c r="P90" s="73"/>
      <c r="Q90" s="73"/>
      <c r="S90" s="72"/>
    </row>
    <row r="91" spans="2:26" ht="15" x14ac:dyDescent="0.25">
      <c r="B91" s="138" t="s">
        <v>204</v>
      </c>
      <c r="C91" s="121"/>
      <c r="D91" s="121"/>
      <c r="E91" s="137"/>
      <c r="F91" s="121"/>
      <c r="G91" s="137"/>
      <c r="H91" s="137"/>
      <c r="I91" s="136"/>
      <c r="J91" s="135">
        <f>Forecasts!D138</f>
        <v>0.3</v>
      </c>
      <c r="K91" s="135">
        <f>Forecasts!E138</f>
        <v>0.3</v>
      </c>
      <c r="L91" s="135">
        <f>Forecasts!F138</f>
        <v>0.3</v>
      </c>
      <c r="M91" s="135">
        <f>Forecasts!G138</f>
        <v>0.3</v>
      </c>
      <c r="N91" s="135">
        <f>Forecasts!H138</f>
        <v>0.3</v>
      </c>
      <c r="O91" s="135">
        <f>Forecasts!I138</f>
        <v>0.3</v>
      </c>
      <c r="P91" s="135">
        <f>Forecasts!J138</f>
        <v>0.15</v>
      </c>
      <c r="Q91" s="135">
        <f>Forecasts!K138</f>
        <v>0.1</v>
      </c>
      <c r="R91" s="135">
        <f>Forecasts!L138</f>
        <v>0.05</v>
      </c>
      <c r="S91" s="135">
        <f>Forecasts!M138</f>
        <v>0.05</v>
      </c>
    </row>
    <row r="92" spans="2:26" ht="15" x14ac:dyDescent="0.25">
      <c r="B92" s="79"/>
      <c r="C92" s="79"/>
      <c r="D92" s="79"/>
      <c r="F92" s="79"/>
      <c r="G92" s="82"/>
      <c r="H92" s="79"/>
      <c r="I92" s="118"/>
      <c r="J92" s="79"/>
      <c r="K92" s="79"/>
      <c r="L92" s="79"/>
      <c r="M92" s="79"/>
      <c r="N92" s="79"/>
      <c r="O92" s="78"/>
      <c r="P92" s="73"/>
      <c r="Q92" s="73"/>
      <c r="S92" s="72"/>
    </row>
    <row r="93" spans="2:26" ht="15" x14ac:dyDescent="0.25">
      <c r="B93" s="130" t="s">
        <v>203</v>
      </c>
      <c r="C93" s="79"/>
      <c r="D93" s="79"/>
      <c r="E93" s="129"/>
      <c r="F93" s="129"/>
      <c r="G93" s="129"/>
      <c r="H93" s="129"/>
      <c r="I93" s="155">
        <f>Forecasts!N293</f>
        <v>471857</v>
      </c>
      <c r="J93" s="156">
        <f>I93*(1+J91)</f>
        <v>613414.1</v>
      </c>
      <c r="K93" s="156">
        <f t="shared" ref="K93:S93" si="19">J93*(1+K91)</f>
        <v>797438.33</v>
      </c>
      <c r="L93" s="156">
        <f t="shared" si="19"/>
        <v>1036669.829</v>
      </c>
      <c r="M93" s="156">
        <f t="shared" si="19"/>
        <v>1347670.7777</v>
      </c>
      <c r="N93" s="156">
        <f t="shared" si="19"/>
        <v>1751972.01101</v>
      </c>
      <c r="O93" s="156">
        <f t="shared" si="19"/>
        <v>2277563.6143129999</v>
      </c>
      <c r="P93" s="156">
        <f>O93*(1+P91)</f>
        <v>2619198.1564599494</v>
      </c>
      <c r="Q93" s="156">
        <f t="shared" si="19"/>
        <v>2881117.9721059445</v>
      </c>
      <c r="R93" s="156">
        <f t="shared" si="19"/>
        <v>3025173.8707112418</v>
      </c>
      <c r="S93" s="156">
        <f t="shared" si="19"/>
        <v>3176432.564246804</v>
      </c>
    </row>
    <row r="94" spans="2:26" ht="15" x14ac:dyDescent="0.25">
      <c r="B94" s="127"/>
      <c r="C94" s="79"/>
      <c r="D94" s="79"/>
      <c r="E94" s="126"/>
      <c r="F94" s="126"/>
      <c r="G94" s="126"/>
      <c r="H94" s="126"/>
      <c r="I94" s="125"/>
      <c r="J94" s="124"/>
      <c r="K94" s="124"/>
      <c r="L94" s="124"/>
      <c r="M94" s="124"/>
      <c r="N94" s="124"/>
      <c r="O94" s="123"/>
      <c r="P94" s="73"/>
      <c r="Q94" s="73"/>
      <c r="S94" s="72"/>
    </row>
    <row r="95" spans="2:26" ht="15" x14ac:dyDescent="0.25">
      <c r="B95" s="133" t="s">
        <v>202</v>
      </c>
      <c r="C95" s="121"/>
      <c r="D95" s="121"/>
      <c r="E95" s="121"/>
      <c r="F95" s="121"/>
      <c r="G95" s="121"/>
      <c r="H95" s="121"/>
      <c r="I95" s="132"/>
      <c r="J95" s="131">
        <f>Forecasts!F399</f>
        <v>0.10199999999999999</v>
      </c>
      <c r="K95" s="131">
        <f>Forecasts!G399</f>
        <v>0.10199999999999999</v>
      </c>
      <c r="L95" s="131">
        <f>Forecasts!H399</f>
        <v>0.10199999999999999</v>
      </c>
      <c r="M95" s="131">
        <f>Forecasts!I399</f>
        <v>0.10199999999999999</v>
      </c>
      <c r="N95" s="131">
        <f>Forecasts!J399</f>
        <v>0.10199999999999999</v>
      </c>
      <c r="O95" s="131">
        <f>Forecasts!K399</f>
        <v>0.10199999999999999</v>
      </c>
      <c r="P95" s="131">
        <f>Forecasts!L399</f>
        <v>0.10199999999999999</v>
      </c>
      <c r="Q95" s="131">
        <f>Forecasts!M399</f>
        <v>0.10199999999999999</v>
      </c>
      <c r="R95" s="131">
        <f>Forecasts!N399</f>
        <v>0.10199999999999999</v>
      </c>
      <c r="S95" s="131">
        <f>Forecasts!O399</f>
        <v>0.10199999999999999</v>
      </c>
    </row>
    <row r="96" spans="2:26" ht="15" x14ac:dyDescent="0.25">
      <c r="B96" s="130"/>
      <c r="C96" s="79"/>
      <c r="D96" s="79"/>
      <c r="E96" s="79"/>
      <c r="F96" s="79"/>
      <c r="G96" s="79"/>
      <c r="H96" s="79"/>
      <c r="I96" s="116"/>
      <c r="J96" s="104"/>
      <c r="K96" s="104"/>
      <c r="L96" s="104"/>
      <c r="M96" s="104"/>
      <c r="N96" s="104"/>
      <c r="O96" s="123"/>
      <c r="P96" s="73"/>
      <c r="Q96" s="73"/>
      <c r="S96" s="72"/>
    </row>
    <row r="97" spans="2:19" ht="15" x14ac:dyDescent="0.25">
      <c r="B97" s="130" t="s">
        <v>201</v>
      </c>
      <c r="C97" s="79"/>
      <c r="D97" s="79"/>
      <c r="E97" s="129"/>
      <c r="F97" s="129"/>
      <c r="G97" s="129"/>
      <c r="H97" s="129"/>
      <c r="I97" s="116"/>
      <c r="J97" s="157">
        <f>J93*J95</f>
        <v>62568.238199999993</v>
      </c>
      <c r="K97" s="157">
        <f t="shared" ref="K97:S97" si="20">K93*K95</f>
        <v>81338.709659999993</v>
      </c>
      <c r="L97" s="157">
        <f t="shared" si="20"/>
        <v>105740.322558</v>
      </c>
      <c r="M97" s="157">
        <f t="shared" si="20"/>
        <v>137462.4193254</v>
      </c>
      <c r="N97" s="157">
        <f t="shared" si="20"/>
        <v>178701.14512301999</v>
      </c>
      <c r="O97" s="157">
        <f t="shared" si="20"/>
        <v>232311.48865992596</v>
      </c>
      <c r="P97" s="157">
        <f t="shared" si="20"/>
        <v>267158.21195891482</v>
      </c>
      <c r="Q97" s="157">
        <f t="shared" si="20"/>
        <v>293874.0331548063</v>
      </c>
      <c r="R97" s="157">
        <f t="shared" si="20"/>
        <v>308567.73481254664</v>
      </c>
      <c r="S97" s="157">
        <f t="shared" si="20"/>
        <v>323996.12155317399</v>
      </c>
    </row>
    <row r="98" spans="2:19" ht="15" x14ac:dyDescent="0.25">
      <c r="B98" s="127"/>
      <c r="C98" s="79"/>
      <c r="D98" s="79"/>
      <c r="E98" s="126"/>
      <c r="F98" s="126"/>
      <c r="G98" s="126"/>
      <c r="H98" s="126"/>
      <c r="I98" s="125"/>
      <c r="J98" s="124"/>
      <c r="K98" s="124"/>
      <c r="L98" s="124"/>
      <c r="M98" s="124"/>
      <c r="N98" s="124"/>
      <c r="O98" s="123"/>
      <c r="P98" s="73"/>
      <c r="Q98" s="73"/>
      <c r="S98" s="72"/>
    </row>
    <row r="99" spans="2:19" ht="15" x14ac:dyDescent="0.25">
      <c r="B99" s="122" t="s">
        <v>200</v>
      </c>
      <c r="C99" s="121"/>
      <c r="D99" s="121"/>
      <c r="E99" s="121"/>
      <c r="F99" s="121"/>
      <c r="G99" s="121"/>
      <c r="H99" s="121"/>
      <c r="I99" s="120"/>
      <c r="J99" s="119">
        <v>0.21</v>
      </c>
      <c r="K99" s="119">
        <v>0.21</v>
      </c>
      <c r="L99" s="119">
        <v>0.21</v>
      </c>
      <c r="M99" s="119">
        <v>0.21</v>
      </c>
      <c r="N99" s="119">
        <v>0.21</v>
      </c>
      <c r="O99" s="119">
        <v>0.21</v>
      </c>
      <c r="P99" s="119">
        <v>0.21</v>
      </c>
      <c r="Q99" s="119">
        <v>0.21</v>
      </c>
      <c r="R99" s="119">
        <v>0.21</v>
      </c>
      <c r="S99" s="119">
        <v>0.21</v>
      </c>
    </row>
    <row r="100" spans="2:19" ht="15" x14ac:dyDescent="0.25">
      <c r="B100" s="79"/>
      <c r="C100" s="79"/>
      <c r="D100" s="79"/>
      <c r="E100" s="79"/>
      <c r="F100" s="79"/>
      <c r="G100" s="79"/>
      <c r="H100" s="79"/>
      <c r="I100" s="118"/>
      <c r="J100" s="79"/>
      <c r="K100" s="79"/>
      <c r="L100" s="79"/>
      <c r="M100" s="79"/>
      <c r="N100" s="79"/>
      <c r="O100" s="78"/>
      <c r="P100" s="73"/>
      <c r="Q100" s="73"/>
      <c r="S100" s="72"/>
    </row>
    <row r="101" spans="2:19" ht="15" x14ac:dyDescent="0.25">
      <c r="B101" s="92" t="s">
        <v>199</v>
      </c>
      <c r="C101" s="117"/>
      <c r="D101" s="117"/>
      <c r="E101" s="117"/>
      <c r="F101" s="117"/>
      <c r="G101" s="117"/>
      <c r="H101" s="117"/>
      <c r="I101" s="116"/>
      <c r="J101" s="158">
        <f>J97*(1-J99)</f>
        <v>49428.908177999998</v>
      </c>
      <c r="K101" s="158">
        <f t="shared" ref="K101:S101" si="21">K97*(1-K99)</f>
        <v>64257.5806314</v>
      </c>
      <c r="L101" s="158">
        <f t="shared" si="21"/>
        <v>83534.854820820008</v>
      </c>
      <c r="M101" s="158">
        <f t="shared" si="21"/>
        <v>108595.311267066</v>
      </c>
      <c r="N101" s="158">
        <f t="shared" si="21"/>
        <v>141173.90464718579</v>
      </c>
      <c r="O101" s="158">
        <f t="shared" si="21"/>
        <v>183526.07604134153</v>
      </c>
      <c r="P101" s="158">
        <f t="shared" si="21"/>
        <v>211054.98744754272</v>
      </c>
      <c r="Q101" s="158">
        <f t="shared" si="21"/>
        <v>232160.48619229699</v>
      </c>
      <c r="R101" s="158">
        <f t="shared" si="21"/>
        <v>243768.51050191186</v>
      </c>
      <c r="S101" s="158">
        <f t="shared" si="21"/>
        <v>255956.93602700747</v>
      </c>
    </row>
    <row r="102" spans="2:19" ht="15" x14ac:dyDescent="0.25">
      <c r="B102" s="104"/>
      <c r="C102" s="94"/>
      <c r="D102" s="94"/>
      <c r="E102" s="103"/>
      <c r="F102" s="103"/>
      <c r="G102" s="103"/>
      <c r="H102" s="103"/>
      <c r="I102" s="106"/>
      <c r="J102" s="107"/>
      <c r="K102" s="107"/>
      <c r="L102" s="107"/>
      <c r="M102" s="107"/>
      <c r="N102" s="107"/>
      <c r="O102" s="107"/>
      <c r="P102" s="73"/>
      <c r="Q102" s="73"/>
      <c r="S102" s="72"/>
    </row>
    <row r="103" spans="2:19" ht="15" x14ac:dyDescent="0.25">
      <c r="B103" s="114" t="s">
        <v>177</v>
      </c>
      <c r="C103" s="113"/>
      <c r="D103" s="113"/>
      <c r="E103" s="112"/>
      <c r="F103" s="112"/>
      <c r="G103" s="112"/>
      <c r="H103" s="112"/>
      <c r="I103" s="111"/>
      <c r="J103" s="115"/>
      <c r="K103" s="115"/>
      <c r="L103" s="115"/>
      <c r="M103" s="115"/>
      <c r="N103" s="115"/>
      <c r="O103" s="115"/>
      <c r="P103" s="115"/>
      <c r="Q103" s="115"/>
      <c r="R103" s="115"/>
      <c r="S103" s="145"/>
    </row>
    <row r="104" spans="2:19" ht="15" x14ac:dyDescent="0.25">
      <c r="B104" s="104"/>
      <c r="C104" s="94"/>
      <c r="D104" s="94"/>
      <c r="E104" s="103"/>
      <c r="F104" s="103"/>
      <c r="G104" s="103"/>
      <c r="H104" s="103"/>
      <c r="I104" s="106"/>
      <c r="J104" s="108"/>
      <c r="K104" s="108"/>
      <c r="L104" s="108"/>
      <c r="M104" s="108"/>
      <c r="N104" s="108"/>
      <c r="O104" s="108"/>
      <c r="P104" s="73"/>
      <c r="Q104" s="73"/>
      <c r="S104" s="72"/>
    </row>
    <row r="105" spans="2:19" ht="15" x14ac:dyDescent="0.25">
      <c r="B105" s="114" t="s">
        <v>198</v>
      </c>
      <c r="C105" s="113"/>
      <c r="D105" s="113"/>
      <c r="E105" s="112"/>
      <c r="F105" s="112"/>
      <c r="G105" s="112"/>
      <c r="H105" s="112"/>
      <c r="I105" s="111"/>
      <c r="J105" s="110"/>
      <c r="K105" s="110"/>
      <c r="L105" s="110"/>
      <c r="M105" s="110"/>
      <c r="N105" s="110"/>
      <c r="O105" s="110"/>
      <c r="P105" s="110"/>
      <c r="Q105" s="110"/>
      <c r="R105" s="110"/>
      <c r="S105" s="146"/>
    </row>
    <row r="106" spans="2:19" ht="15" x14ac:dyDescent="0.25">
      <c r="B106" s="107"/>
      <c r="C106" s="94"/>
      <c r="D106" s="94"/>
      <c r="E106" s="103"/>
      <c r="F106" s="103"/>
      <c r="G106" s="103"/>
      <c r="H106" s="103"/>
      <c r="I106" s="106"/>
      <c r="J106" s="109"/>
      <c r="K106" s="109"/>
      <c r="L106" s="109"/>
      <c r="M106" s="109"/>
      <c r="N106" s="109"/>
      <c r="O106" s="109"/>
      <c r="P106" s="109"/>
      <c r="Q106" s="109"/>
      <c r="R106" s="109"/>
      <c r="S106" s="109"/>
    </row>
    <row r="107" spans="2:19" ht="15" x14ac:dyDescent="0.25">
      <c r="B107" s="107" t="s">
        <v>180</v>
      </c>
      <c r="C107" s="94"/>
      <c r="D107" s="94"/>
      <c r="E107" s="103"/>
      <c r="F107" s="103"/>
      <c r="G107" s="103"/>
      <c r="H107" s="103"/>
      <c r="I107" s="106"/>
      <c r="J107" s="109">
        <v>0.4</v>
      </c>
      <c r="K107" s="109">
        <v>0.4</v>
      </c>
      <c r="L107" s="109">
        <v>0.4</v>
      </c>
      <c r="M107" s="109">
        <v>0.4</v>
      </c>
      <c r="N107" s="109">
        <v>0.4</v>
      </c>
      <c r="O107" s="109">
        <v>0.4</v>
      </c>
      <c r="P107" s="109">
        <v>0.4</v>
      </c>
      <c r="Q107" s="109">
        <v>0.4</v>
      </c>
      <c r="R107" s="109">
        <v>0.4</v>
      </c>
      <c r="S107" s="109">
        <v>0.4</v>
      </c>
    </row>
    <row r="108" spans="2:19" ht="15" x14ac:dyDescent="0.25">
      <c r="B108" s="104"/>
      <c r="C108" s="94"/>
      <c r="D108" s="94"/>
      <c r="E108" s="103"/>
      <c r="F108" s="103"/>
      <c r="G108" s="103"/>
      <c r="H108" s="103"/>
      <c r="I108" s="106"/>
      <c r="J108" s="108"/>
      <c r="K108" s="108"/>
      <c r="L108" s="108"/>
      <c r="M108" s="108"/>
      <c r="N108" s="108"/>
      <c r="O108" s="108"/>
      <c r="P108" s="73"/>
      <c r="Q108" s="73"/>
      <c r="S108" s="72"/>
    </row>
    <row r="109" spans="2:19" ht="15" x14ac:dyDescent="0.25">
      <c r="B109" s="92" t="s">
        <v>197</v>
      </c>
      <c r="C109" s="94"/>
      <c r="D109" s="94"/>
      <c r="E109" s="103"/>
      <c r="F109" s="103"/>
      <c r="G109" s="103"/>
      <c r="H109" s="103"/>
      <c r="I109" s="106"/>
      <c r="J109" s="92">
        <f t="shared" ref="J109:Q109" si="22">J93*(J105)</f>
        <v>0</v>
      </c>
      <c r="K109" s="92">
        <f t="shared" si="22"/>
        <v>0</v>
      </c>
      <c r="L109" s="92">
        <f t="shared" si="22"/>
        <v>0</v>
      </c>
      <c r="M109" s="92">
        <f t="shared" si="22"/>
        <v>0</v>
      </c>
      <c r="N109" s="92">
        <f t="shared" si="22"/>
        <v>0</v>
      </c>
      <c r="O109" s="92">
        <f t="shared" si="22"/>
        <v>0</v>
      </c>
      <c r="P109" s="92">
        <f t="shared" si="22"/>
        <v>0</v>
      </c>
      <c r="Q109" s="92">
        <f t="shared" si="22"/>
        <v>0</v>
      </c>
      <c r="S109" s="92">
        <f>S93*(S105)</f>
        <v>0</v>
      </c>
    </row>
    <row r="110" spans="2:19" ht="15" x14ac:dyDescent="0.25">
      <c r="B110" s="104"/>
      <c r="C110" s="94"/>
      <c r="D110" s="94"/>
      <c r="E110" s="103"/>
      <c r="F110" s="103"/>
      <c r="G110" s="103"/>
      <c r="H110" s="103"/>
      <c r="I110" s="106"/>
      <c r="J110" s="107"/>
      <c r="K110" s="107"/>
      <c r="L110" s="107"/>
      <c r="M110" s="107"/>
      <c r="N110" s="107"/>
      <c r="O110" s="107"/>
      <c r="P110" s="73"/>
      <c r="Q110" s="73"/>
      <c r="S110" s="72"/>
    </row>
    <row r="111" spans="2:19" ht="15" x14ac:dyDescent="0.25">
      <c r="B111" s="104"/>
      <c r="C111" s="94"/>
      <c r="D111" s="94"/>
      <c r="E111" s="103"/>
      <c r="F111" s="103"/>
      <c r="G111" s="103"/>
      <c r="H111" s="103"/>
      <c r="I111" s="106"/>
      <c r="J111" s="107"/>
      <c r="K111" s="107"/>
      <c r="L111" s="107"/>
      <c r="M111" s="107"/>
      <c r="N111" s="107"/>
      <c r="O111" s="107"/>
      <c r="P111" s="73"/>
      <c r="Q111" s="73"/>
      <c r="S111" s="72"/>
    </row>
    <row r="112" spans="2:19" ht="15" x14ac:dyDescent="0.25">
      <c r="B112" s="94"/>
      <c r="C112" s="94"/>
      <c r="D112" s="94"/>
      <c r="E112" s="103"/>
      <c r="F112" s="103"/>
      <c r="G112" s="103"/>
      <c r="H112" s="103"/>
      <c r="I112" s="106"/>
      <c r="J112" s="105">
        <v>1</v>
      </c>
      <c r="K112" s="105">
        <v>2</v>
      </c>
      <c r="L112" s="105">
        <v>3</v>
      </c>
      <c r="M112" s="105">
        <v>4</v>
      </c>
      <c r="N112" s="105">
        <v>5</v>
      </c>
      <c r="O112" s="105">
        <v>6</v>
      </c>
      <c r="P112" s="105">
        <v>7</v>
      </c>
      <c r="Q112" s="105">
        <v>8</v>
      </c>
      <c r="R112" s="105">
        <v>9</v>
      </c>
      <c r="S112" s="105">
        <v>10</v>
      </c>
    </row>
    <row r="113" spans="2:19" ht="15" x14ac:dyDescent="0.25">
      <c r="B113" s="104" t="s">
        <v>196</v>
      </c>
      <c r="C113" s="94"/>
      <c r="D113" s="94"/>
      <c r="E113" s="103"/>
      <c r="F113" s="103"/>
      <c r="G113" s="103"/>
      <c r="H113" s="100" t="s">
        <v>195</v>
      </c>
      <c r="I113" s="100"/>
      <c r="J113" s="159">
        <f t="shared" ref="J113:S113" si="23">J101*(1-J107)</f>
        <v>29657.344906799997</v>
      </c>
      <c r="K113" s="159">
        <f t="shared" si="23"/>
        <v>38554.548378840002</v>
      </c>
      <c r="L113" s="159">
        <f t="shared" si="23"/>
        <v>50120.912892492001</v>
      </c>
      <c r="M113" s="159">
        <f t="shared" si="23"/>
        <v>65157.186760239601</v>
      </c>
      <c r="N113" s="159">
        <f t="shared" si="23"/>
        <v>84704.342788311464</v>
      </c>
      <c r="O113" s="159">
        <f t="shared" si="23"/>
        <v>110115.64562480491</v>
      </c>
      <c r="P113" s="159">
        <f t="shared" si="23"/>
        <v>126632.99246852563</v>
      </c>
      <c r="Q113" s="159">
        <f t="shared" si="23"/>
        <v>139296.29171537817</v>
      </c>
      <c r="R113" s="159">
        <f t="shared" si="23"/>
        <v>146261.10630114711</v>
      </c>
      <c r="S113" s="159">
        <f t="shared" si="23"/>
        <v>153574.16161620448</v>
      </c>
    </row>
    <row r="114" spans="2:19" ht="15" x14ac:dyDescent="0.25">
      <c r="B114" s="79"/>
      <c r="C114" s="82"/>
      <c r="D114" s="82"/>
      <c r="E114" s="82"/>
      <c r="F114" s="82"/>
      <c r="G114" s="82"/>
      <c r="H114" s="175" t="s">
        <v>90</v>
      </c>
      <c r="I114" s="176"/>
      <c r="J114" s="2">
        <v>8.1703646027358454E-2</v>
      </c>
      <c r="K114" s="2">
        <v>8.04299570121077E-2</v>
      </c>
      <c r="L114" s="2">
        <v>7.9156267996856947E-2</v>
      </c>
      <c r="M114" s="2">
        <v>7.7882578981606193E-2</v>
      </c>
      <c r="N114" s="2">
        <v>7.660888996635544E-2</v>
      </c>
      <c r="O114" s="2">
        <v>7.5335200951104686E-2</v>
      </c>
      <c r="P114" s="2">
        <v>7.4061511935853933E-2</v>
      </c>
      <c r="Q114" s="2">
        <v>7.2787822920603179E-2</v>
      </c>
      <c r="R114" s="2">
        <v>7.1514133905352426E-2</v>
      </c>
      <c r="S114" s="164">
        <v>7.0240444890101617E-2</v>
      </c>
    </row>
    <row r="115" spans="2:19" ht="15" x14ac:dyDescent="0.25">
      <c r="B115" s="79"/>
      <c r="C115" s="82"/>
      <c r="D115" s="82"/>
      <c r="E115" s="82"/>
      <c r="F115" s="82"/>
      <c r="G115" s="82"/>
      <c r="H115" s="100" t="s">
        <v>194</v>
      </c>
      <c r="I115" s="99"/>
      <c r="J115" s="159">
        <f t="shared" ref="J115:S115" si="24">J113/((1+J114)^J112)</f>
        <v>27417.255193433921</v>
      </c>
      <c r="K115" s="159">
        <f t="shared" si="24"/>
        <v>33028.00833831897</v>
      </c>
      <c r="L115" s="159">
        <f t="shared" si="24"/>
        <v>39880.992684177792</v>
      </c>
      <c r="M115" s="159">
        <f t="shared" si="24"/>
        <v>48269.912732186946</v>
      </c>
      <c r="N115" s="159">
        <f t="shared" si="24"/>
        <v>58561.995787897184</v>
      </c>
      <c r="O115" s="159">
        <f t="shared" si="24"/>
        <v>71217.357264878243</v>
      </c>
      <c r="P115" s="159">
        <f t="shared" si="24"/>
        <v>76796.740885489155</v>
      </c>
      <c r="Q115" s="159">
        <f t="shared" si="24"/>
        <v>79401.530364049948</v>
      </c>
      <c r="R115" s="159">
        <f t="shared" si="24"/>
        <v>78550.276461664369</v>
      </c>
      <c r="S115" s="159">
        <f t="shared" si="24"/>
        <v>77894.099629094242</v>
      </c>
    </row>
    <row r="116" spans="2:19" ht="15.75" thickBot="1" x14ac:dyDescent="0.3">
      <c r="B116" s="79"/>
      <c r="C116" s="79"/>
      <c r="D116" s="79"/>
      <c r="E116" s="79"/>
      <c r="F116" s="79"/>
      <c r="G116" s="79"/>
      <c r="H116" s="79"/>
      <c r="I116" s="97" t="s">
        <v>193</v>
      </c>
      <c r="J116" s="160">
        <f>SUM(J115:S115)</f>
        <v>591018.16934119072</v>
      </c>
      <c r="K116" s="156"/>
      <c r="L116" s="156"/>
      <c r="M116" s="156"/>
      <c r="N116" s="156"/>
      <c r="O116" s="161"/>
      <c r="P116" s="162"/>
      <c r="Q116" s="162"/>
      <c r="R116" s="163"/>
      <c r="S116" s="163"/>
    </row>
    <row r="117" spans="2:19" ht="15" x14ac:dyDescent="0.25">
      <c r="B117" s="79" t="s">
        <v>192</v>
      </c>
      <c r="C117" s="95">
        <v>5.0000000000000001E-3</v>
      </c>
      <c r="D117" s="79"/>
      <c r="E117" s="79"/>
      <c r="F117" s="79"/>
      <c r="G117" s="79"/>
      <c r="H117" s="79"/>
      <c r="I117" s="82"/>
      <c r="J117" s="94"/>
      <c r="K117" s="79"/>
      <c r="L117" s="79"/>
      <c r="M117" s="79"/>
      <c r="N117" s="79"/>
      <c r="O117" s="78"/>
      <c r="P117" s="73"/>
      <c r="Q117" s="73"/>
      <c r="R117" s="72"/>
      <c r="S117" s="72"/>
    </row>
    <row r="118" spans="2:19" ht="15" x14ac:dyDescent="0.25">
      <c r="B118" s="79" t="s">
        <v>191</v>
      </c>
      <c r="C118" s="79"/>
      <c r="D118" s="79"/>
      <c r="E118" s="79"/>
      <c r="F118" s="79"/>
      <c r="G118" s="79"/>
      <c r="H118" s="79"/>
      <c r="I118" s="79"/>
      <c r="J118" s="93"/>
      <c r="K118" s="79"/>
      <c r="L118" s="79"/>
      <c r="M118" s="79"/>
      <c r="N118" s="92">
        <f>S115/(S114-C117)</f>
        <v>1193954.1454738372</v>
      </c>
      <c r="O118" s="78"/>
      <c r="P118" s="78"/>
      <c r="Q118" s="78"/>
      <c r="R118" s="71"/>
      <c r="S118" s="71"/>
    </row>
    <row r="119" spans="2:19" ht="15" x14ac:dyDescent="0.25">
      <c r="B119" s="85" t="s">
        <v>190</v>
      </c>
      <c r="C119" s="85"/>
      <c r="D119" s="85"/>
      <c r="E119" s="85"/>
      <c r="F119" s="85"/>
      <c r="G119" s="85"/>
      <c r="H119" s="85"/>
      <c r="I119" s="85"/>
      <c r="J119" s="85"/>
      <c r="K119" s="85"/>
      <c r="L119" s="85"/>
      <c r="M119" s="85"/>
      <c r="N119" s="91">
        <f>N118/((1+S114)^S112)</f>
        <v>605583.53163945256</v>
      </c>
      <c r="O119" s="78"/>
      <c r="P119" s="78"/>
      <c r="Q119" s="78"/>
      <c r="R119" s="71"/>
      <c r="S119" s="71"/>
    </row>
    <row r="120" spans="2:19" ht="15" x14ac:dyDescent="0.25">
      <c r="B120" s="82" t="s">
        <v>189</v>
      </c>
      <c r="C120" s="82"/>
      <c r="D120" s="82"/>
      <c r="E120" s="82"/>
      <c r="F120" s="82"/>
      <c r="G120" s="82"/>
      <c r="H120" s="82"/>
      <c r="I120" s="82"/>
      <c r="J120" s="82"/>
      <c r="K120" s="82"/>
      <c r="L120" s="82"/>
      <c r="M120" s="82"/>
      <c r="N120" s="90">
        <f>J116+N119</f>
        <v>1196601.7009806433</v>
      </c>
      <c r="O120" s="78"/>
      <c r="P120" s="78"/>
      <c r="Q120" s="78"/>
      <c r="R120" s="71"/>
      <c r="S120" s="71"/>
    </row>
    <row r="121" spans="2:19" ht="15" x14ac:dyDescent="0.25">
      <c r="B121" s="89" t="s">
        <v>188</v>
      </c>
      <c r="C121" s="79"/>
      <c r="D121" s="79"/>
      <c r="E121" s="79"/>
      <c r="F121" s="79"/>
      <c r="G121" s="79"/>
      <c r="H121" s="79"/>
      <c r="I121" s="79"/>
      <c r="J121" s="79"/>
      <c r="K121" s="79"/>
      <c r="L121" s="79"/>
      <c r="M121" s="79"/>
      <c r="N121" s="156">
        <v>133173</v>
      </c>
      <c r="O121" s="78"/>
      <c r="P121" s="78"/>
      <c r="Q121" s="78"/>
      <c r="R121" s="71"/>
      <c r="S121" s="71"/>
    </row>
    <row r="122" spans="2:19" ht="15" x14ac:dyDescent="0.25">
      <c r="B122" s="88" t="s">
        <v>187</v>
      </c>
      <c r="C122" s="85"/>
      <c r="D122" s="85"/>
      <c r="E122" s="85"/>
      <c r="F122" s="85"/>
      <c r="G122" s="85"/>
      <c r="H122" s="85"/>
      <c r="I122" s="85"/>
      <c r="J122" s="85"/>
      <c r="K122" s="85"/>
      <c r="L122" s="85"/>
      <c r="M122" s="85"/>
      <c r="N122" s="87">
        <f>4085+3620+4387+9593</f>
        <v>21685</v>
      </c>
      <c r="O122" s="78"/>
      <c r="P122" s="78"/>
      <c r="Q122" s="78"/>
      <c r="R122" s="71"/>
      <c r="S122" s="71"/>
    </row>
    <row r="123" spans="2:19" ht="15" x14ac:dyDescent="0.25">
      <c r="B123" s="82" t="s">
        <v>186</v>
      </c>
      <c r="C123" s="82"/>
      <c r="D123" s="82"/>
      <c r="E123" s="82"/>
      <c r="F123" s="82"/>
      <c r="G123" s="82"/>
      <c r="H123" s="82"/>
      <c r="I123" s="82"/>
      <c r="J123" s="82"/>
      <c r="K123" s="82"/>
      <c r="L123" s="82"/>
      <c r="M123" s="82"/>
      <c r="N123" s="86">
        <f>N120+N121-N122</f>
        <v>1308089.7009806433</v>
      </c>
      <c r="O123" s="78"/>
      <c r="P123" s="78"/>
      <c r="Q123" s="78"/>
      <c r="R123" s="71"/>
      <c r="S123" s="71"/>
    </row>
    <row r="124" spans="2:19" ht="15" x14ac:dyDescent="0.25">
      <c r="B124" s="85" t="s">
        <v>185</v>
      </c>
      <c r="C124" s="85"/>
      <c r="D124" s="85"/>
      <c r="E124" s="85"/>
      <c r="F124" s="85"/>
      <c r="G124" s="85"/>
      <c r="H124" s="85"/>
      <c r="I124" s="85"/>
      <c r="J124" s="85"/>
      <c r="K124" s="85"/>
      <c r="L124" s="85"/>
      <c r="M124" s="85"/>
      <c r="N124" s="166">
        <v>43100</v>
      </c>
      <c r="O124" s="78"/>
      <c r="P124" s="1">
        <v>43.1</v>
      </c>
      <c r="Q124" s="78" t="s">
        <v>26</v>
      </c>
      <c r="R124" s="71">
        <f>P124*1000</f>
        <v>43100</v>
      </c>
      <c r="S124" s="71"/>
    </row>
    <row r="125" spans="2:19" ht="15" x14ac:dyDescent="0.25">
      <c r="B125" s="82" t="s">
        <v>183</v>
      </c>
      <c r="C125" s="82"/>
      <c r="D125" s="82"/>
      <c r="E125" s="82"/>
      <c r="F125" s="82"/>
      <c r="G125" s="82"/>
      <c r="H125" s="82"/>
      <c r="I125" s="82"/>
      <c r="J125" s="82"/>
      <c r="K125" s="82"/>
      <c r="L125" s="82"/>
      <c r="M125" s="82"/>
      <c r="N125" s="83">
        <f>N123/N124</f>
        <v>30.350109071476641</v>
      </c>
      <c r="O125" s="78"/>
      <c r="P125" s="78"/>
      <c r="Q125" s="78"/>
      <c r="R125" s="71"/>
      <c r="S125" s="71"/>
    </row>
    <row r="126" spans="2:19" ht="15.75" thickBot="1" x14ac:dyDescent="0.3">
      <c r="B126" s="82" t="s">
        <v>182</v>
      </c>
      <c r="C126" s="82"/>
      <c r="D126" s="82"/>
      <c r="E126" s="82"/>
      <c r="F126" s="82"/>
      <c r="G126" s="82"/>
      <c r="H126" s="82"/>
      <c r="I126" s="82"/>
      <c r="J126" s="82"/>
      <c r="K126" s="82"/>
      <c r="L126" s="82"/>
      <c r="M126" s="82"/>
      <c r="N126" s="83">
        <v>36</v>
      </c>
      <c r="O126" s="78"/>
      <c r="P126" s="78"/>
      <c r="Q126" s="78"/>
      <c r="R126" s="71"/>
      <c r="S126" s="71"/>
    </row>
    <row r="127" spans="2:19" ht="15.75" thickBot="1" x14ac:dyDescent="0.3">
      <c r="B127" s="82" t="s">
        <v>181</v>
      </c>
      <c r="C127" s="79"/>
      <c r="D127" s="79"/>
      <c r="E127" s="79"/>
      <c r="F127" s="79"/>
      <c r="G127" s="79"/>
      <c r="H127" s="79"/>
      <c r="I127" s="79"/>
      <c r="J127" s="79"/>
      <c r="K127" s="79"/>
      <c r="L127" s="79"/>
      <c r="M127" s="79"/>
      <c r="N127" s="165">
        <f>(N125-N126)/N126</f>
        <v>-0.1569414146812044</v>
      </c>
      <c r="O127" s="78"/>
      <c r="P127" s="78"/>
      <c r="Q127" s="78"/>
      <c r="R127" s="71"/>
      <c r="S127" s="71"/>
    </row>
    <row r="128" spans="2:19" ht="15" x14ac:dyDescent="0.25">
      <c r="B128" s="80"/>
      <c r="C128" s="80"/>
      <c r="D128" s="80"/>
      <c r="E128" s="80"/>
      <c r="F128" s="80"/>
      <c r="G128" s="80"/>
      <c r="H128" s="80"/>
      <c r="I128" s="80"/>
      <c r="J128" s="80"/>
      <c r="K128" s="80"/>
      <c r="L128" s="80"/>
      <c r="M128" s="80"/>
      <c r="N128" s="79"/>
      <c r="O128" s="78"/>
      <c r="P128" s="78"/>
      <c r="Q128" s="78"/>
      <c r="R128" s="71"/>
      <c r="S128" s="71"/>
    </row>
    <row r="129" spans="2:19" ht="15" x14ac:dyDescent="0.25">
      <c r="B129" s="73"/>
      <c r="C129" s="73"/>
      <c r="D129" s="73"/>
      <c r="E129" s="73"/>
      <c r="F129" s="73"/>
      <c r="G129" s="73"/>
      <c r="H129" s="73"/>
      <c r="I129" s="73"/>
      <c r="J129" s="73"/>
      <c r="K129" s="73"/>
      <c r="L129" s="73"/>
      <c r="M129" s="73"/>
      <c r="N129" s="73"/>
      <c r="O129" s="73"/>
      <c r="P129" s="78"/>
      <c r="Q129" s="78"/>
      <c r="R129" s="71"/>
      <c r="S129" s="71"/>
    </row>
    <row r="130" spans="2:19" ht="15" x14ac:dyDescent="0.25">
      <c r="B130" s="75"/>
      <c r="C130" s="75"/>
      <c r="D130" s="75"/>
      <c r="E130" s="75"/>
      <c r="F130" s="75"/>
      <c r="G130" s="75"/>
      <c r="H130" s="75"/>
      <c r="I130" s="75"/>
      <c r="J130" s="77"/>
      <c r="K130" s="77"/>
      <c r="L130" s="77"/>
      <c r="M130" s="77"/>
      <c r="N130" s="77"/>
      <c r="O130" s="77"/>
      <c r="P130" s="78"/>
      <c r="Q130" s="78"/>
      <c r="R130" s="71"/>
      <c r="S130" s="71"/>
    </row>
  </sheetData>
  <mergeCells count="6">
    <mergeCell ref="H114:I114"/>
    <mergeCell ref="H45:I45"/>
    <mergeCell ref="H44:I44"/>
    <mergeCell ref="H27:I27"/>
    <mergeCell ref="H71:I71"/>
    <mergeCell ref="H88:I8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WACC</vt:lpstr>
      <vt:lpstr>Forecasts</vt:lpstr>
      <vt:lpstr>DCF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רועי דיין</cp:lastModifiedBy>
  <dcterms:created xsi:type="dcterms:W3CDTF">2015-06-05T18:17:20Z</dcterms:created>
  <dcterms:modified xsi:type="dcterms:W3CDTF">2024-10-03T17:48:55Z</dcterms:modified>
</cp:coreProperties>
</file>