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USER\Desktop\borsa\DCF\Companies\specifics\food\VITAL FARMS\"/>
    </mc:Choice>
  </mc:AlternateContent>
  <xr:revisionPtr revIDLastSave="0" documentId="13_ncr:1_{890612DC-5CC5-4E4C-A684-13BD862D735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data" sheetId="2" r:id="rId1"/>
    <sheet name="Sheet2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0" i="2" l="1"/>
  <c r="H51" i="2"/>
  <c r="H49" i="2"/>
  <c r="F49" i="2"/>
  <c r="F50" i="2"/>
  <c r="F51" i="2"/>
  <c r="E50" i="2"/>
  <c r="E51" i="2"/>
  <c r="E52" i="2"/>
  <c r="E53" i="2"/>
  <c r="E54" i="2"/>
  <c r="E49" i="2"/>
  <c r="R5" i="2"/>
  <c r="R6" i="2"/>
  <c r="R7" i="2"/>
  <c r="R8" i="2"/>
  <c r="R9" i="2"/>
  <c r="R4" i="2"/>
  <c r="H38" i="2"/>
  <c r="H39" i="2"/>
  <c r="H40" i="2"/>
  <c r="H41" i="2"/>
  <c r="H37" i="2"/>
  <c r="G37" i="2"/>
  <c r="G40" i="2"/>
  <c r="G38" i="2"/>
  <c r="G39" i="2"/>
  <c r="G41" i="2"/>
  <c r="F40" i="2"/>
  <c r="F38" i="2"/>
  <c r="F39" i="2"/>
  <c r="F41" i="2"/>
  <c r="F37" i="2"/>
  <c r="E41" i="2"/>
  <c r="E40" i="2"/>
  <c r="E39" i="2"/>
  <c r="E38" i="2"/>
  <c r="E37" i="2"/>
  <c r="D38" i="2"/>
  <c r="D39" i="2"/>
  <c r="D40" i="2"/>
  <c r="D41" i="2"/>
  <c r="D37" i="2"/>
  <c r="C37" i="2"/>
  <c r="C38" i="2"/>
  <c r="C39" i="2"/>
  <c r="C40" i="2"/>
  <c r="C41" i="2"/>
  <c r="D30" i="2"/>
  <c r="D25" i="2"/>
  <c r="G26" i="2"/>
  <c r="G27" i="2"/>
  <c r="G28" i="2"/>
  <c r="G29" i="2"/>
  <c r="G30" i="2"/>
  <c r="G25" i="2"/>
  <c r="F26" i="2"/>
  <c r="F27" i="2"/>
  <c r="F28" i="2"/>
  <c r="F29" i="2"/>
  <c r="F30" i="2"/>
  <c r="F25" i="2"/>
  <c r="E26" i="2"/>
  <c r="E27" i="2"/>
  <c r="E28" i="2"/>
  <c r="E29" i="2"/>
  <c r="E30" i="2"/>
  <c r="E25" i="2"/>
  <c r="D26" i="2"/>
  <c r="D27" i="2"/>
  <c r="D28" i="2"/>
  <c r="D29" i="2"/>
  <c r="G16" i="2"/>
  <c r="D16" i="2"/>
  <c r="F16" i="2" s="1"/>
  <c r="C17" i="2"/>
  <c r="G17" i="2" s="1"/>
  <c r="C18" i="2"/>
  <c r="G18" i="2" s="1"/>
  <c r="P6" i="2"/>
  <c r="O7" i="2"/>
  <c r="N9" i="2"/>
  <c r="N8" i="2"/>
  <c r="N7" i="2"/>
  <c r="M8" i="2"/>
  <c r="O8" i="2" s="1"/>
  <c r="M7" i="2"/>
  <c r="M9" i="2"/>
  <c r="O9" i="2" s="1"/>
  <c r="G9" i="2"/>
  <c r="P9" i="2" s="1"/>
  <c r="G8" i="2"/>
  <c r="P8" i="2" s="1"/>
  <c r="G7" i="2"/>
  <c r="P7" i="2" s="1"/>
  <c r="N6" i="2"/>
  <c r="N5" i="2"/>
  <c r="N4" i="2"/>
  <c r="M4" i="2"/>
  <c r="C16" i="2"/>
  <c r="M6" i="2"/>
  <c r="O6" i="2" s="1"/>
  <c r="M5" i="2"/>
  <c r="G6" i="2"/>
  <c r="G5" i="2"/>
  <c r="P5" i="2" s="1"/>
  <c r="G4" i="2"/>
  <c r="P4" i="2" s="1"/>
  <c r="C14" i="2"/>
  <c r="G14" i="2" s="1"/>
  <c r="C15" i="2"/>
  <c r="G15" i="2" s="1"/>
  <c r="C13" i="2"/>
  <c r="G13" i="2" s="1"/>
  <c r="Q8" i="2" l="1"/>
  <c r="Q9" i="2"/>
  <c r="Q7" i="2"/>
  <c r="F18" i="2"/>
  <c r="F17" i="2"/>
  <c r="O4" i="2"/>
  <c r="Q4" i="2" s="1"/>
  <c r="O5" i="2"/>
  <c r="F13" i="2"/>
  <c r="Q5" i="2"/>
  <c r="Q6" i="2"/>
  <c r="F14" i="2"/>
  <c r="F15" i="2"/>
</calcChain>
</file>

<file path=xl/sharedStrings.xml><?xml version="1.0" encoding="utf-8"?>
<sst xmlns="http://schemas.openxmlformats.org/spreadsheetml/2006/main" count="63" uniqueCount="40">
  <si>
    <t>fiscal year</t>
  </si>
  <si>
    <t>revenue</t>
  </si>
  <si>
    <t>gross 
profit</t>
  </si>
  <si>
    <t>operating
income</t>
  </si>
  <si>
    <t>tax rate</t>
  </si>
  <si>
    <t>net income</t>
  </si>
  <si>
    <t>diluted 
eps</t>
  </si>
  <si>
    <t>shares 
outstanding</t>
  </si>
  <si>
    <t>capital
expenditures</t>
  </si>
  <si>
    <t>depr&amp;amrtz</t>
  </si>
  <si>
    <t>change in NWC</t>
  </si>
  <si>
    <t xml:space="preserve">eggs and eggs related products
</t>
  </si>
  <si>
    <t xml:space="preserve">butter and butter related products
</t>
  </si>
  <si>
    <t>all number in THOUSANDS exxcept per share</t>
  </si>
  <si>
    <t xml:space="preserve">income before tax
</t>
  </si>
  <si>
    <t>net cap ex</t>
  </si>
  <si>
    <t>reinvestment</t>
  </si>
  <si>
    <t>operating income after tax</t>
  </si>
  <si>
    <t>reinvestment rate</t>
  </si>
  <si>
    <t>MARGINS</t>
  </si>
  <si>
    <t>gross 
margin</t>
  </si>
  <si>
    <t>operating
margin</t>
  </si>
  <si>
    <t xml:space="preserve">income before tax margin
</t>
  </si>
  <si>
    <t>GROWTH</t>
  </si>
  <si>
    <t>revenue
 growth</t>
  </si>
  <si>
    <t>gross 
profit growth</t>
  </si>
  <si>
    <t>operating
income growth</t>
  </si>
  <si>
    <t xml:space="preserve">income before tax growth
</t>
  </si>
  <si>
    <t>net income
growth</t>
  </si>
  <si>
    <t>diluted eps growth</t>
  </si>
  <si>
    <t>revenue
per share</t>
  </si>
  <si>
    <t>SG&amp;A</t>
  </si>
  <si>
    <t>shipping &amp;
distribution</t>
  </si>
  <si>
    <t>total
 operating expenses</t>
  </si>
  <si>
    <t xml:space="preserve">expenses </t>
  </si>
  <si>
    <t>cost of 
good solds</t>
  </si>
  <si>
    <t>op ex portion of 
revenue</t>
  </si>
  <si>
    <t>cogs portion of 
revenue</t>
  </si>
  <si>
    <t>operating expense</t>
  </si>
  <si>
    <t>COGS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</si>
</sst>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 * #,##0.00_ ;_ * \-#,##0.00_ ;_ * &quot;-&quot;??_ ;_ @_ "/>
    <numFmt numFmtId="164" formatCode="_-[$$-409]* #,##0.00_ ;_-[$$-409]* \-#,##0.00\ ;_-[$$-409]* &quot;-&quot;??_ ;_-@_ "/>
    <numFmt numFmtId="165" formatCode="_-[$$-409]* #,##0_ ;_-[$$-409]* \-#,##0\ ;_-[$$-409]* &quot;-&quot;??_ ;_-@_ "/>
    <numFmt numFmtId="166" formatCode="0.0%"/>
    <numFmt numFmtId="167" formatCode="_ * #,##0_ ;_ * \-#,##0_ ;_ * &quot;-&quot;??_ ;_ @_ "/>
    <numFmt numFmtId="168" formatCode="0.0"/>
  </numFmts>
  <fonts count="3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9" fontId="0" fillId="0" borderId="1" xfId="2" applyFont="1" applyBorder="1" applyAlignment="1">
      <alignment horizontal="center" vertical="center"/>
    </xf>
    <xf numFmtId="166" fontId="0" fillId="0" borderId="1" xfId="2" applyNumberFormat="1" applyFont="1" applyBorder="1" applyAlignment="1">
      <alignment horizontal="center" vertical="center"/>
    </xf>
    <xf numFmtId="167" fontId="0" fillId="0" borderId="1" xfId="1" applyNumberFormat="1" applyFont="1" applyBorder="1"/>
    <xf numFmtId="165" fontId="0" fillId="0" borderId="1" xfId="0" applyNumberFormat="1" applyBorder="1"/>
    <xf numFmtId="164" fontId="0" fillId="0" borderId="1" xfId="0" applyNumberFormat="1" applyBorder="1"/>
    <xf numFmtId="9" fontId="0" fillId="0" borderId="1" xfId="2" applyFont="1" applyBorder="1"/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166" fontId="0" fillId="0" borderId="7" xfId="2" applyNumberFormat="1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5" fontId="0" fillId="0" borderId="9" xfId="0" applyNumberFormat="1" applyBorder="1" applyAlignment="1">
      <alignment horizontal="center" vertical="center"/>
    </xf>
    <xf numFmtId="166" fontId="0" fillId="0" borderId="9" xfId="2" applyNumberFormat="1" applyFont="1" applyBorder="1" applyAlignment="1">
      <alignment horizontal="center" vertical="center"/>
    </xf>
    <xf numFmtId="166" fontId="0" fillId="0" borderId="10" xfId="2" applyNumberFormat="1" applyFont="1" applyBorder="1" applyAlignment="1">
      <alignment horizontal="center" vertical="center"/>
    </xf>
    <xf numFmtId="168" fontId="0" fillId="0" borderId="0" xfId="0" applyNumberFormat="1"/>
    <xf numFmtId="165" fontId="0" fillId="0" borderId="1" xfId="2" applyNumberFormat="1" applyFont="1" applyBorder="1" applyAlignment="1">
      <alignment horizontal="center" vertical="center"/>
    </xf>
    <xf numFmtId="165" fontId="0" fillId="0" borderId="1" xfId="2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data!$C$3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rgbClr val="00B0F0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data!$B$4:$B$9</c:f>
              <c:numCache>
                <c:formatCode>General</c:formatCode>
                <c:ptCount val="6"/>
                <c:pt idx="0">
                  <c:v>2023</c:v>
                </c:pt>
                <c:pt idx="1">
                  <c:v>2022</c:v>
                </c:pt>
                <c:pt idx="2">
                  <c:v>2021</c:v>
                </c:pt>
                <c:pt idx="3">
                  <c:v>2020</c:v>
                </c:pt>
                <c:pt idx="4">
                  <c:v>2019</c:v>
                </c:pt>
                <c:pt idx="5">
                  <c:v>2018</c:v>
                </c:pt>
              </c:numCache>
            </c:numRef>
          </c:cat>
          <c:val>
            <c:numRef>
              <c:f>data!$C$4:$C$9</c:f>
              <c:numCache>
                <c:formatCode>_-[$$-409]* #,##0_ ;_-[$$-409]* \-#,##0\ ;_-[$$-409]* "-"??_ ;_-@_ </c:formatCode>
                <c:ptCount val="6"/>
                <c:pt idx="0">
                  <c:v>471857</c:v>
                </c:pt>
                <c:pt idx="1">
                  <c:v>362050</c:v>
                </c:pt>
                <c:pt idx="2">
                  <c:v>260901</c:v>
                </c:pt>
                <c:pt idx="3">
                  <c:v>214280</c:v>
                </c:pt>
                <c:pt idx="4">
                  <c:v>140733</c:v>
                </c:pt>
                <c:pt idx="5">
                  <c:v>106713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8D-4B24-B179-F8F2DBCBE4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2"/>
        <c:overlap val="-27"/>
        <c:axId val="1503457360"/>
        <c:axId val="1503455920"/>
      </c:barChart>
      <c:catAx>
        <c:axId val="1503457360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503455920"/>
        <c:crosses val="autoZero"/>
        <c:auto val="1"/>
        <c:lblAlgn val="ctr"/>
        <c:lblOffset val="100"/>
        <c:noMultiLvlLbl val="0"/>
      </c:catAx>
      <c:valAx>
        <c:axId val="1503455920"/>
        <c:scaling>
          <c:orientation val="minMax"/>
        </c:scaling>
        <c:delete val="0"/>
        <c:axPos val="r"/>
        <c:numFmt formatCode="_-[$$-409]* #,##0_ ;_-[$$-409]* \-#,##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503457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data!$H$3</c:f>
              <c:strCache>
                <c:ptCount val="1"/>
                <c:pt idx="0">
                  <c:v>net income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data!$B$4:$B$9</c:f>
              <c:numCache>
                <c:formatCode>General</c:formatCode>
                <c:ptCount val="6"/>
                <c:pt idx="0">
                  <c:v>2023</c:v>
                </c:pt>
                <c:pt idx="1">
                  <c:v>2022</c:v>
                </c:pt>
                <c:pt idx="2">
                  <c:v>2021</c:v>
                </c:pt>
                <c:pt idx="3">
                  <c:v>2020</c:v>
                </c:pt>
                <c:pt idx="4">
                  <c:v>2019</c:v>
                </c:pt>
                <c:pt idx="5">
                  <c:v>2018</c:v>
                </c:pt>
              </c:numCache>
            </c:numRef>
          </c:cat>
          <c:val>
            <c:numRef>
              <c:f>data!$H$4:$H$9</c:f>
              <c:numCache>
                <c:formatCode>_-[$$-409]* #,##0_ ;_-[$$-409]* \-#,##0\ ;_-[$$-409]* "-"??_ ;_-@_ </c:formatCode>
                <c:ptCount val="6"/>
                <c:pt idx="0">
                  <c:v>25566</c:v>
                </c:pt>
                <c:pt idx="1">
                  <c:v>1251</c:v>
                </c:pt>
                <c:pt idx="2">
                  <c:v>2429</c:v>
                </c:pt>
                <c:pt idx="3">
                  <c:v>8884</c:v>
                </c:pt>
                <c:pt idx="4">
                  <c:v>3312</c:v>
                </c:pt>
                <c:pt idx="5">
                  <c:v>5629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C1-4601-8137-9C8256AA23C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52"/>
        <c:overlap val="-27"/>
        <c:axId val="1503457360"/>
        <c:axId val="1503455920"/>
      </c:barChart>
      <c:catAx>
        <c:axId val="1503457360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503455920"/>
        <c:crosses val="autoZero"/>
        <c:auto val="1"/>
        <c:lblAlgn val="ctr"/>
        <c:lblOffset val="100"/>
        <c:noMultiLvlLbl val="0"/>
      </c:catAx>
      <c:valAx>
        <c:axId val="1503455920"/>
        <c:scaling>
          <c:orientation val="minMax"/>
        </c:scaling>
        <c:delete val="0"/>
        <c:axPos val="r"/>
        <c:numFmt formatCode="_-[$$-409]* #,##0_ ;_-[$$-409]* \-#,##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503457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data!$G$36</c:f>
              <c:strCache>
                <c:ptCount val="1"/>
                <c:pt idx="0">
                  <c:v>net income
growth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Lbl>
              <c:idx val="1"/>
              <c:layout>
                <c:manualLayout>
                  <c:x val="8.0673802189433615E-17"/>
                  <c:y val="0.1671641791044776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A78-4297-AE2A-49492238BE29}"/>
                </c:ext>
              </c:extLst>
            </c:dLbl>
            <c:dLbl>
              <c:idx val="2"/>
              <c:layout>
                <c:manualLayout>
                  <c:x val="-2.1997002849891288E-3"/>
                  <c:y val="0.1552248207779999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A78-4297-AE2A-49492238BE29}"/>
                </c:ext>
              </c:extLst>
            </c:dLbl>
            <c:dLbl>
              <c:idx val="4"/>
              <c:layout>
                <c:manualLayout>
                  <c:x val="2.2002200220022404E-3"/>
                  <c:y val="0.13930348258706468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A78-4297-AE2A-49492238BE2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data!$B$37:$B$42</c:f>
              <c:numCache>
                <c:formatCode>General</c:formatCode>
                <c:ptCount val="6"/>
                <c:pt idx="0">
                  <c:v>2023</c:v>
                </c:pt>
                <c:pt idx="1">
                  <c:v>2022</c:v>
                </c:pt>
                <c:pt idx="2">
                  <c:v>2021</c:v>
                </c:pt>
                <c:pt idx="3">
                  <c:v>2020</c:v>
                </c:pt>
                <c:pt idx="4">
                  <c:v>2019</c:v>
                </c:pt>
                <c:pt idx="5">
                  <c:v>2018</c:v>
                </c:pt>
              </c:numCache>
            </c:numRef>
          </c:cat>
          <c:val>
            <c:numRef>
              <c:f>data!$G$37:$G$42</c:f>
              <c:numCache>
                <c:formatCode>0%</c:formatCode>
                <c:ptCount val="6"/>
                <c:pt idx="0">
                  <c:v>19.436450839328536</c:v>
                </c:pt>
                <c:pt idx="1">
                  <c:v>-0.48497324001646769</c:v>
                </c:pt>
                <c:pt idx="2">
                  <c:v>-0.72658712291760463</c:v>
                </c:pt>
                <c:pt idx="3">
                  <c:v>1.682367149758454</c:v>
                </c:pt>
                <c:pt idx="4">
                  <c:v>-0.41161840468999822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78-4297-AE2A-49492238BE2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52"/>
        <c:overlap val="-27"/>
        <c:axId val="1503457360"/>
        <c:axId val="1503455920"/>
      </c:barChart>
      <c:catAx>
        <c:axId val="1503457360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503455920"/>
        <c:crosses val="autoZero"/>
        <c:auto val="1"/>
        <c:lblAlgn val="ctr"/>
        <c:lblOffset val="100"/>
        <c:noMultiLvlLbl val="0"/>
      </c:catAx>
      <c:valAx>
        <c:axId val="1503455920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503457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data!$J$3</c:f>
              <c:strCache>
                <c:ptCount val="1"/>
                <c:pt idx="0">
                  <c:v>diluted 
eps</c:v>
                </c:pt>
              </c:strCache>
            </c:strRef>
          </c:tx>
          <c:spPr>
            <a:solidFill>
              <a:srgbClr val="7030A0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data!$B$4:$B$9</c:f>
              <c:numCache>
                <c:formatCode>General</c:formatCode>
                <c:ptCount val="6"/>
                <c:pt idx="0">
                  <c:v>2023</c:v>
                </c:pt>
                <c:pt idx="1">
                  <c:v>2022</c:v>
                </c:pt>
                <c:pt idx="2">
                  <c:v>2021</c:v>
                </c:pt>
                <c:pt idx="3">
                  <c:v>2020</c:v>
                </c:pt>
                <c:pt idx="4">
                  <c:v>2019</c:v>
                </c:pt>
                <c:pt idx="5">
                  <c:v>2018</c:v>
                </c:pt>
              </c:numCache>
            </c:numRef>
          </c:cat>
          <c:val>
            <c:numRef>
              <c:f>data!$J$4:$J$9</c:f>
              <c:numCache>
                <c:formatCode>_-[$$-409]* #,##0.00_ ;_-[$$-409]* \-#,##0.00\ ;_-[$$-409]* "-"??_ ;_-@_ </c:formatCode>
                <c:ptCount val="6"/>
                <c:pt idx="0">
                  <c:v>0.59</c:v>
                </c:pt>
                <c:pt idx="1">
                  <c:v>0.03</c:v>
                </c:pt>
                <c:pt idx="2">
                  <c:v>0.06</c:v>
                </c:pt>
                <c:pt idx="3">
                  <c:v>0.27</c:v>
                </c:pt>
                <c:pt idx="4">
                  <c:v>7.0000000000000007E-2</c:v>
                </c:pt>
                <c:pt idx="5">
                  <c:v>0.16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97-47DA-A002-88C3FF372D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2"/>
        <c:overlap val="-27"/>
        <c:axId val="1503457360"/>
        <c:axId val="1503455920"/>
      </c:barChart>
      <c:catAx>
        <c:axId val="1503457360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503455920"/>
        <c:crosses val="autoZero"/>
        <c:auto val="1"/>
        <c:lblAlgn val="ctr"/>
        <c:lblOffset val="100"/>
        <c:noMultiLvlLbl val="0"/>
      </c:catAx>
      <c:valAx>
        <c:axId val="1503455920"/>
        <c:scaling>
          <c:orientation val="minMax"/>
        </c:scaling>
        <c:delete val="0"/>
        <c:axPos val="r"/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503457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data!$I$3</c:f>
              <c:strCache>
                <c:ptCount val="1"/>
                <c:pt idx="0">
                  <c:v>shares 
outstanding</c:v>
                </c:pt>
              </c:strCache>
            </c:strRef>
          </c:tx>
          <c:spPr>
            <a:solidFill>
              <a:srgbClr val="7030A0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data!$B$4:$B$9</c:f>
              <c:numCache>
                <c:formatCode>General</c:formatCode>
                <c:ptCount val="6"/>
                <c:pt idx="0">
                  <c:v>2023</c:v>
                </c:pt>
                <c:pt idx="1">
                  <c:v>2022</c:v>
                </c:pt>
                <c:pt idx="2">
                  <c:v>2021</c:v>
                </c:pt>
                <c:pt idx="3">
                  <c:v>2020</c:v>
                </c:pt>
                <c:pt idx="4">
                  <c:v>2019</c:v>
                </c:pt>
                <c:pt idx="5">
                  <c:v>2018</c:v>
                </c:pt>
              </c:numCache>
            </c:numRef>
          </c:cat>
          <c:val>
            <c:numRef>
              <c:f>data!$I$4:$I$9</c:f>
              <c:numCache>
                <c:formatCode>_ * #,##0_ ;_ * \-#,##0_ ;_ * "-"??_ ;_ @_ </c:formatCode>
                <c:ptCount val="6"/>
                <c:pt idx="0">
                  <c:v>43312836</c:v>
                </c:pt>
                <c:pt idx="1">
                  <c:v>43469586</c:v>
                </c:pt>
                <c:pt idx="2">
                  <c:v>43321733</c:v>
                </c:pt>
                <c:pt idx="3">
                  <c:v>32914653</c:v>
                </c:pt>
                <c:pt idx="4" formatCode="_-[$$-409]* #,##0_ ;_-[$$-409]* \-#,##0\ ;_-[$$-409]* &quot;-&quot;??_ ;_-@_ ">
                  <c:v>36071015</c:v>
                </c:pt>
                <c:pt idx="5" formatCode="_-[$$-409]* #,##0_ ;_-[$$-409]* \-#,##0\ ;_-[$$-409]* &quot;-&quot;??_ ;_-@_ ">
                  <c:v>35258594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AE-40FD-B037-AB9A0C358F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2"/>
        <c:overlap val="-27"/>
        <c:axId val="1503457360"/>
        <c:axId val="1503455920"/>
      </c:barChart>
      <c:catAx>
        <c:axId val="1503457360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503455920"/>
        <c:crosses val="autoZero"/>
        <c:auto val="1"/>
        <c:lblAlgn val="ctr"/>
        <c:lblOffset val="100"/>
        <c:noMultiLvlLbl val="0"/>
      </c:catAx>
      <c:valAx>
        <c:axId val="1503455920"/>
        <c:scaling>
          <c:orientation val="minMax"/>
        </c:scaling>
        <c:delete val="0"/>
        <c:axPos val="r"/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503457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data!$H$36</c:f>
              <c:strCache>
                <c:ptCount val="1"/>
                <c:pt idx="0">
                  <c:v>diluted eps growth</c:v>
                </c:pt>
              </c:strCache>
            </c:strRef>
          </c:tx>
          <c:spPr>
            <a:solidFill>
              <a:srgbClr val="7030A0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data!$B$37:$B$42</c:f>
              <c:numCache>
                <c:formatCode>General</c:formatCode>
                <c:ptCount val="6"/>
                <c:pt idx="0">
                  <c:v>2023</c:v>
                </c:pt>
                <c:pt idx="1">
                  <c:v>2022</c:v>
                </c:pt>
                <c:pt idx="2">
                  <c:v>2021</c:v>
                </c:pt>
                <c:pt idx="3">
                  <c:v>2020</c:v>
                </c:pt>
                <c:pt idx="4">
                  <c:v>2019</c:v>
                </c:pt>
                <c:pt idx="5">
                  <c:v>2018</c:v>
                </c:pt>
              </c:numCache>
            </c:numRef>
          </c:cat>
          <c:val>
            <c:numRef>
              <c:f>data!$H$37:$H$42</c:f>
              <c:numCache>
                <c:formatCode>0%</c:formatCode>
                <c:ptCount val="6"/>
                <c:pt idx="0">
                  <c:v>18.666666666666664</c:v>
                </c:pt>
                <c:pt idx="1">
                  <c:v>-0.5</c:v>
                </c:pt>
                <c:pt idx="2">
                  <c:v>-0.77777777777777779</c:v>
                </c:pt>
                <c:pt idx="3">
                  <c:v>2.8571428571428572</c:v>
                </c:pt>
                <c:pt idx="4">
                  <c:v>-0.5625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DD-405A-B54C-6084B5D825A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52"/>
        <c:overlap val="-27"/>
        <c:axId val="1503457360"/>
        <c:axId val="1503455920"/>
      </c:barChart>
      <c:catAx>
        <c:axId val="1503457360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503455920"/>
        <c:crosses val="autoZero"/>
        <c:auto val="1"/>
        <c:lblAlgn val="ctr"/>
        <c:lblOffset val="100"/>
        <c:noMultiLvlLbl val="0"/>
      </c:catAx>
      <c:valAx>
        <c:axId val="1503455920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503457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data!$D$24</c:f>
              <c:strCache>
                <c:ptCount val="1"/>
                <c:pt idx="0">
                  <c:v>gross 
margin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data!$B$25:$B$30</c:f>
              <c:numCache>
                <c:formatCode>General</c:formatCode>
                <c:ptCount val="6"/>
                <c:pt idx="0">
                  <c:v>2023</c:v>
                </c:pt>
                <c:pt idx="1">
                  <c:v>2022</c:v>
                </c:pt>
                <c:pt idx="2">
                  <c:v>2021</c:v>
                </c:pt>
                <c:pt idx="3">
                  <c:v>2020</c:v>
                </c:pt>
                <c:pt idx="4">
                  <c:v>2019</c:v>
                </c:pt>
                <c:pt idx="5">
                  <c:v>2018</c:v>
                </c:pt>
              </c:numCache>
            </c:numRef>
          </c:cat>
          <c:val>
            <c:numRef>
              <c:f>data!$D$25:$D$30</c:f>
              <c:numCache>
                <c:formatCode>0.0%</c:formatCode>
                <c:ptCount val="6"/>
                <c:pt idx="0">
                  <c:v>0.34401524190591642</c:v>
                </c:pt>
                <c:pt idx="1">
                  <c:v>0.30228973898632788</c:v>
                </c:pt>
                <c:pt idx="2">
                  <c:v>0.31774121218393181</c:v>
                </c:pt>
                <c:pt idx="3">
                  <c:v>0.34780660817621806</c:v>
                </c:pt>
                <c:pt idx="4">
                  <c:v>0.30466912522293987</c:v>
                </c:pt>
                <c:pt idx="5">
                  <c:v>0.32628639434745532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E2-4512-AD0C-0F9EE79147A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52"/>
        <c:overlap val="-27"/>
        <c:axId val="1503457360"/>
        <c:axId val="1503455920"/>
      </c:barChart>
      <c:catAx>
        <c:axId val="1503457360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503455920"/>
        <c:crosses val="autoZero"/>
        <c:auto val="1"/>
        <c:lblAlgn val="ctr"/>
        <c:lblOffset val="100"/>
        <c:noMultiLvlLbl val="0"/>
      </c:catAx>
      <c:valAx>
        <c:axId val="1503455920"/>
        <c:scaling>
          <c:orientation val="minMax"/>
        </c:scaling>
        <c:delete val="0"/>
        <c:axPos val="r"/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503457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data!$C$36</c:f>
              <c:strCache>
                <c:ptCount val="1"/>
                <c:pt idx="0">
                  <c:v>revenue
 growth</c:v>
                </c:pt>
              </c:strCache>
            </c:strRef>
          </c:tx>
          <c:spPr>
            <a:solidFill>
              <a:srgbClr val="00B0F0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data!$B$37:$B$42</c:f>
              <c:numCache>
                <c:formatCode>General</c:formatCode>
                <c:ptCount val="6"/>
                <c:pt idx="0">
                  <c:v>2023</c:v>
                </c:pt>
                <c:pt idx="1">
                  <c:v>2022</c:v>
                </c:pt>
                <c:pt idx="2">
                  <c:v>2021</c:v>
                </c:pt>
                <c:pt idx="3">
                  <c:v>2020</c:v>
                </c:pt>
                <c:pt idx="4">
                  <c:v>2019</c:v>
                </c:pt>
                <c:pt idx="5">
                  <c:v>2018</c:v>
                </c:pt>
              </c:numCache>
            </c:numRef>
          </c:cat>
          <c:val>
            <c:numRef>
              <c:f>data!$C$37:$C$42</c:f>
              <c:numCache>
                <c:formatCode>0%</c:formatCode>
                <c:ptCount val="6"/>
                <c:pt idx="0">
                  <c:v>0.30329236293329653</c:v>
                </c:pt>
                <c:pt idx="1">
                  <c:v>0.38769111655378863</c:v>
                </c:pt>
                <c:pt idx="2">
                  <c:v>0.2175704685458279</c:v>
                </c:pt>
                <c:pt idx="3">
                  <c:v>0.52259953244796886</c:v>
                </c:pt>
                <c:pt idx="4">
                  <c:v>0.31879902167495994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4C-49B1-8BAA-6AFE454802E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52"/>
        <c:overlap val="-27"/>
        <c:axId val="1503457360"/>
        <c:axId val="1503455920"/>
      </c:barChart>
      <c:catAx>
        <c:axId val="1503457360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503455920"/>
        <c:crosses val="autoZero"/>
        <c:auto val="1"/>
        <c:lblAlgn val="ctr"/>
        <c:lblOffset val="100"/>
        <c:noMultiLvlLbl val="0"/>
      </c:catAx>
      <c:valAx>
        <c:axId val="1503455920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503457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data!$D$3</c:f>
              <c:strCache>
                <c:ptCount val="1"/>
                <c:pt idx="0">
                  <c:v>gross 
profit</c:v>
                </c:pt>
              </c:strCache>
            </c:strRef>
          </c:tx>
          <c:spPr>
            <a:solidFill>
              <a:srgbClr val="00B0F0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data!$B$4:$B$9</c:f>
              <c:numCache>
                <c:formatCode>General</c:formatCode>
                <c:ptCount val="6"/>
                <c:pt idx="0">
                  <c:v>2023</c:v>
                </c:pt>
                <c:pt idx="1">
                  <c:v>2022</c:v>
                </c:pt>
                <c:pt idx="2">
                  <c:v>2021</c:v>
                </c:pt>
                <c:pt idx="3">
                  <c:v>2020</c:v>
                </c:pt>
                <c:pt idx="4">
                  <c:v>2019</c:v>
                </c:pt>
                <c:pt idx="5">
                  <c:v>2018</c:v>
                </c:pt>
              </c:numCache>
            </c:numRef>
          </c:cat>
          <c:val>
            <c:numRef>
              <c:f>data!$D$4:$D$9</c:f>
              <c:numCache>
                <c:formatCode>_-[$$-409]* #,##0_ ;_-[$$-409]* \-#,##0\ ;_-[$$-409]* "-"??_ ;_-@_ </c:formatCode>
                <c:ptCount val="6"/>
                <c:pt idx="0">
                  <c:v>162326</c:v>
                </c:pt>
                <c:pt idx="1">
                  <c:v>109444</c:v>
                </c:pt>
                <c:pt idx="2">
                  <c:v>82899</c:v>
                </c:pt>
                <c:pt idx="3">
                  <c:v>74528</c:v>
                </c:pt>
                <c:pt idx="4">
                  <c:v>42877</c:v>
                </c:pt>
                <c:pt idx="5">
                  <c:v>34819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25-4347-AEEF-E4296DDCA0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2"/>
        <c:overlap val="-27"/>
        <c:axId val="1503457360"/>
        <c:axId val="1503455920"/>
      </c:barChart>
      <c:catAx>
        <c:axId val="1503457360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503455920"/>
        <c:crosses val="autoZero"/>
        <c:auto val="1"/>
        <c:lblAlgn val="ctr"/>
        <c:lblOffset val="100"/>
        <c:noMultiLvlLbl val="0"/>
      </c:catAx>
      <c:valAx>
        <c:axId val="1503455920"/>
        <c:scaling>
          <c:orientation val="minMax"/>
        </c:scaling>
        <c:delete val="0"/>
        <c:axPos val="r"/>
        <c:numFmt formatCode="_-[$$-409]* #,##0_ ;_-[$$-409]* \-#,##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503457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data!$D$36</c:f>
              <c:strCache>
                <c:ptCount val="1"/>
                <c:pt idx="0">
                  <c:v>gross 
profit growth</c:v>
                </c:pt>
              </c:strCache>
            </c:strRef>
          </c:tx>
          <c:spPr>
            <a:solidFill>
              <a:srgbClr val="00B0F0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data!$B$37:$B$42</c:f>
              <c:numCache>
                <c:formatCode>General</c:formatCode>
                <c:ptCount val="6"/>
                <c:pt idx="0">
                  <c:v>2023</c:v>
                </c:pt>
                <c:pt idx="1">
                  <c:v>2022</c:v>
                </c:pt>
                <c:pt idx="2">
                  <c:v>2021</c:v>
                </c:pt>
                <c:pt idx="3">
                  <c:v>2020</c:v>
                </c:pt>
                <c:pt idx="4">
                  <c:v>2019</c:v>
                </c:pt>
                <c:pt idx="5">
                  <c:v>2018</c:v>
                </c:pt>
              </c:numCache>
            </c:numRef>
          </c:cat>
          <c:val>
            <c:numRef>
              <c:f>data!$D$37:$D$42</c:f>
              <c:numCache>
                <c:formatCode>0%</c:formatCode>
                <c:ptCount val="6"/>
                <c:pt idx="0">
                  <c:v>0.48318774898578271</c:v>
                </c:pt>
                <c:pt idx="1">
                  <c:v>0.32020892893762287</c:v>
                </c:pt>
                <c:pt idx="2">
                  <c:v>0.11232020180334908</c:v>
                </c:pt>
                <c:pt idx="3">
                  <c:v>0.73818130932667869</c:v>
                </c:pt>
                <c:pt idx="4">
                  <c:v>0.23142537120537637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BA-45B4-A4D7-0635C1BFF28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52"/>
        <c:overlap val="-27"/>
        <c:axId val="1503457360"/>
        <c:axId val="1503455920"/>
      </c:barChart>
      <c:catAx>
        <c:axId val="1503457360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503455920"/>
        <c:crosses val="autoZero"/>
        <c:auto val="1"/>
        <c:lblAlgn val="ctr"/>
        <c:lblOffset val="100"/>
        <c:noMultiLvlLbl val="0"/>
      </c:catAx>
      <c:valAx>
        <c:axId val="1503455920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503457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data!$E$24</c:f>
              <c:strCache>
                <c:ptCount val="1"/>
                <c:pt idx="0">
                  <c:v>operating
margin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data!$B$25:$B$30</c:f>
              <c:numCache>
                <c:formatCode>General</c:formatCode>
                <c:ptCount val="6"/>
                <c:pt idx="0">
                  <c:v>2023</c:v>
                </c:pt>
                <c:pt idx="1">
                  <c:v>2022</c:v>
                </c:pt>
                <c:pt idx="2">
                  <c:v>2021</c:v>
                </c:pt>
                <c:pt idx="3">
                  <c:v>2020</c:v>
                </c:pt>
                <c:pt idx="4">
                  <c:v>2019</c:v>
                </c:pt>
                <c:pt idx="5">
                  <c:v>2018</c:v>
                </c:pt>
              </c:numCache>
            </c:numRef>
          </c:cat>
          <c:val>
            <c:numRef>
              <c:f>data!$E$25:$E$30</c:f>
              <c:numCache>
                <c:formatCode>0.0%</c:formatCode>
                <c:ptCount val="6"/>
                <c:pt idx="0">
                  <c:v>7.0474741288144502E-2</c:v>
                </c:pt>
                <c:pt idx="1">
                  <c:v>5.8113520232012149E-3</c:v>
                </c:pt>
                <c:pt idx="2">
                  <c:v>1.9930931656068776E-4</c:v>
                </c:pt>
                <c:pt idx="3">
                  <c:v>5.7065521747246592E-2</c:v>
                </c:pt>
                <c:pt idx="4">
                  <c:v>2.380394079569113E-2</c:v>
                </c:pt>
                <c:pt idx="5">
                  <c:v>6.3413079943399592E-2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F5-4978-9F17-9889766B845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52"/>
        <c:overlap val="-27"/>
        <c:axId val="1503457360"/>
        <c:axId val="1503455920"/>
      </c:barChart>
      <c:catAx>
        <c:axId val="1503457360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503455920"/>
        <c:crosses val="autoZero"/>
        <c:auto val="1"/>
        <c:lblAlgn val="ctr"/>
        <c:lblOffset val="100"/>
        <c:noMultiLvlLbl val="0"/>
      </c:catAx>
      <c:valAx>
        <c:axId val="1503455920"/>
        <c:scaling>
          <c:orientation val="minMax"/>
        </c:scaling>
        <c:delete val="0"/>
        <c:axPos val="r"/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503457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data!$E$3</c:f>
              <c:strCache>
                <c:ptCount val="1"/>
                <c:pt idx="0">
                  <c:v>operating
income</c:v>
                </c:pt>
              </c:strCache>
            </c:strRef>
          </c:tx>
          <c:spPr>
            <a:solidFill>
              <a:srgbClr val="00B0F0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data!$B$4:$B$9</c:f>
              <c:numCache>
                <c:formatCode>General</c:formatCode>
                <c:ptCount val="6"/>
                <c:pt idx="0">
                  <c:v>2023</c:v>
                </c:pt>
                <c:pt idx="1">
                  <c:v>2022</c:v>
                </c:pt>
                <c:pt idx="2">
                  <c:v>2021</c:v>
                </c:pt>
                <c:pt idx="3">
                  <c:v>2020</c:v>
                </c:pt>
                <c:pt idx="4">
                  <c:v>2019</c:v>
                </c:pt>
                <c:pt idx="5">
                  <c:v>2018</c:v>
                </c:pt>
              </c:numCache>
            </c:numRef>
          </c:cat>
          <c:val>
            <c:numRef>
              <c:f>data!$E$4:$E$9</c:f>
              <c:numCache>
                <c:formatCode>_-[$$-409]* #,##0_ ;_-[$$-409]* \-#,##0\ ;_-[$$-409]* "-"??_ ;_-@_ </c:formatCode>
                <c:ptCount val="6"/>
                <c:pt idx="0">
                  <c:v>33254</c:v>
                </c:pt>
                <c:pt idx="1">
                  <c:v>2104</c:v>
                </c:pt>
                <c:pt idx="2">
                  <c:v>52</c:v>
                </c:pt>
                <c:pt idx="3">
                  <c:v>12228</c:v>
                </c:pt>
                <c:pt idx="4">
                  <c:v>3350</c:v>
                </c:pt>
                <c:pt idx="5">
                  <c:v>6767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44-45B7-BBF7-7F5B6D301A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2"/>
        <c:overlap val="-27"/>
        <c:axId val="1503457360"/>
        <c:axId val="1503455920"/>
      </c:barChart>
      <c:catAx>
        <c:axId val="1503457360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503455920"/>
        <c:crosses val="autoZero"/>
        <c:auto val="1"/>
        <c:lblAlgn val="ctr"/>
        <c:lblOffset val="100"/>
        <c:noMultiLvlLbl val="0"/>
      </c:catAx>
      <c:valAx>
        <c:axId val="1503455920"/>
        <c:scaling>
          <c:orientation val="minMax"/>
        </c:scaling>
        <c:delete val="0"/>
        <c:axPos val="r"/>
        <c:numFmt formatCode="_-[$$-409]* #,##0_ ;_-[$$-409]* \-#,##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503457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data!$E$36</c:f>
              <c:strCache>
                <c:ptCount val="1"/>
                <c:pt idx="0">
                  <c:v>operating
income growth</c:v>
                </c:pt>
              </c:strCache>
            </c:strRef>
          </c:tx>
          <c:spPr>
            <a:solidFill>
              <a:srgbClr val="00B0F0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Lbl>
              <c:idx val="2"/>
              <c:layout>
                <c:manualLayout>
                  <c:x val="1.8070030411240666E-7"/>
                  <c:y val="0.28728952740556551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848-4908-89EB-27CF9DB1686F}"/>
                </c:ext>
              </c:extLst>
            </c:dLbl>
            <c:dLbl>
              <c:idx val="4"/>
              <c:layout>
                <c:manualLayout>
                  <c:x val="0"/>
                  <c:y val="0.15124378109452735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848-4908-89EB-27CF9DB1686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data!$B$37:$B$42</c:f>
              <c:numCache>
                <c:formatCode>General</c:formatCode>
                <c:ptCount val="6"/>
                <c:pt idx="0">
                  <c:v>2023</c:v>
                </c:pt>
                <c:pt idx="1">
                  <c:v>2022</c:v>
                </c:pt>
                <c:pt idx="2">
                  <c:v>2021</c:v>
                </c:pt>
                <c:pt idx="3">
                  <c:v>2020</c:v>
                </c:pt>
                <c:pt idx="4">
                  <c:v>2019</c:v>
                </c:pt>
                <c:pt idx="5">
                  <c:v>2018</c:v>
                </c:pt>
              </c:numCache>
            </c:numRef>
          </c:cat>
          <c:val>
            <c:numRef>
              <c:f>data!$E$37:$E$42</c:f>
              <c:numCache>
                <c:formatCode>0%</c:formatCode>
                <c:ptCount val="6"/>
                <c:pt idx="0">
                  <c:v>14.805133079847909</c:v>
                </c:pt>
                <c:pt idx="1">
                  <c:v>39.46153846153846</c:v>
                </c:pt>
                <c:pt idx="2">
                  <c:v>-0.99574746483480536</c:v>
                </c:pt>
                <c:pt idx="3">
                  <c:v>2.6501492537313434</c:v>
                </c:pt>
                <c:pt idx="4">
                  <c:v>-0.50495049504950495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48-4908-89EB-27CF9DB1686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52"/>
        <c:overlap val="-27"/>
        <c:axId val="1503457360"/>
        <c:axId val="1503455920"/>
      </c:barChart>
      <c:catAx>
        <c:axId val="1503457360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503455920"/>
        <c:crosses val="autoZero"/>
        <c:auto val="1"/>
        <c:lblAlgn val="ctr"/>
        <c:lblOffset val="100"/>
        <c:noMultiLvlLbl val="0"/>
      </c:catAx>
      <c:valAx>
        <c:axId val="1503455920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503457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income</a:t>
            </a:r>
            <a:r>
              <a:rPr lang="en-US" baseline="0"/>
              <a:t> margin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data!$G$24</c:f>
              <c:strCache>
                <c:ptCount val="1"/>
                <c:pt idx="0">
                  <c:v>net income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data!$B$25:$B$30</c:f>
              <c:numCache>
                <c:formatCode>General</c:formatCode>
                <c:ptCount val="6"/>
                <c:pt idx="0">
                  <c:v>2023</c:v>
                </c:pt>
                <c:pt idx="1">
                  <c:v>2022</c:v>
                </c:pt>
                <c:pt idx="2">
                  <c:v>2021</c:v>
                </c:pt>
                <c:pt idx="3">
                  <c:v>2020</c:v>
                </c:pt>
                <c:pt idx="4">
                  <c:v>2019</c:v>
                </c:pt>
                <c:pt idx="5">
                  <c:v>2018</c:v>
                </c:pt>
              </c:numCache>
            </c:numRef>
          </c:cat>
          <c:val>
            <c:numRef>
              <c:f>data!$G$25:$G$30</c:f>
              <c:numCache>
                <c:formatCode>0.0%</c:formatCode>
                <c:ptCount val="6"/>
                <c:pt idx="0">
                  <c:v>5.4181669446463653E-2</c:v>
                </c:pt>
                <c:pt idx="1">
                  <c:v>3.4553238502969203E-3</c:v>
                </c:pt>
                <c:pt idx="2">
                  <c:v>9.310044806267511E-3</c:v>
                </c:pt>
                <c:pt idx="3">
                  <c:v>4.1459772260593615E-2</c:v>
                </c:pt>
                <c:pt idx="4">
                  <c:v>2.3533925944874336E-2</c:v>
                </c:pt>
                <c:pt idx="5">
                  <c:v>5.2748962169557601E-2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FA-46DF-AD62-D59592944D0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52"/>
        <c:overlap val="-27"/>
        <c:axId val="1503457360"/>
        <c:axId val="1503455920"/>
      </c:barChart>
      <c:catAx>
        <c:axId val="1503457360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503455920"/>
        <c:crosses val="autoZero"/>
        <c:auto val="1"/>
        <c:lblAlgn val="ctr"/>
        <c:lblOffset val="100"/>
        <c:noMultiLvlLbl val="0"/>
      </c:catAx>
      <c:valAx>
        <c:axId val="1503455920"/>
        <c:scaling>
          <c:orientation val="minMax"/>
        </c:scaling>
        <c:delete val="0"/>
        <c:axPos val="r"/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503457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219075</xdr:colOff>
      <xdr:row>0</xdr:row>
      <xdr:rowOff>142874</xdr:rowOff>
    </xdr:from>
    <xdr:to>
      <xdr:col>9</xdr:col>
      <xdr:colOff>314325</xdr:colOff>
      <xdr:row>10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34864B-251E-477D-8865-90626F7999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238125</xdr:colOff>
      <xdr:row>11</xdr:row>
      <xdr:rowOff>95250</xdr:rowOff>
    </xdr:from>
    <xdr:to>
      <xdr:col>9</xdr:col>
      <xdr:colOff>400051</xdr:colOff>
      <xdr:row>20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1389710-16DD-479F-ADE0-FCAC2AA83B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361950</xdr:colOff>
      <xdr:row>0</xdr:row>
      <xdr:rowOff>123826</xdr:rowOff>
    </xdr:from>
    <xdr:to>
      <xdr:col>18</xdr:col>
      <xdr:colOff>171450</xdr:colOff>
      <xdr:row>10</xdr:row>
      <xdr:rowOff>66676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3F7F796-5123-4FDE-92FC-E9A574172D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285749</xdr:colOff>
      <xdr:row>21</xdr:row>
      <xdr:rowOff>171451</xdr:rowOff>
    </xdr:from>
    <xdr:to>
      <xdr:col>9</xdr:col>
      <xdr:colOff>342900</xdr:colOff>
      <xdr:row>32</xdr:row>
      <xdr:rowOff>114300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2307DC8-B501-4A93-9FF0-10A1CA29A4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142875</xdr:colOff>
      <xdr:row>22</xdr:row>
      <xdr:rowOff>28575</xdr:rowOff>
    </xdr:from>
    <xdr:to>
      <xdr:col>17</xdr:col>
      <xdr:colOff>552450</xdr:colOff>
      <xdr:row>32</xdr:row>
      <xdr:rowOff>95250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214D47F-EB40-4877-B5CE-06FDA09A29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253814</xdr:colOff>
      <xdr:row>33</xdr:row>
      <xdr:rowOff>62753</xdr:rowOff>
    </xdr:from>
    <xdr:to>
      <xdr:col>9</xdr:col>
      <xdr:colOff>447676</xdr:colOff>
      <xdr:row>42</xdr:row>
      <xdr:rowOff>123826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02525D2-7F87-4D93-8734-A5839AB925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285751</xdr:colOff>
      <xdr:row>43</xdr:row>
      <xdr:rowOff>95250</xdr:rowOff>
    </xdr:from>
    <xdr:to>
      <xdr:col>9</xdr:col>
      <xdr:colOff>533401</xdr:colOff>
      <xdr:row>57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12960D9-F3A1-4879-82DE-86857F6233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247650</xdr:colOff>
      <xdr:row>43</xdr:row>
      <xdr:rowOff>95250</xdr:rowOff>
    </xdr:from>
    <xdr:to>
      <xdr:col>18</xdr:col>
      <xdr:colOff>295275</xdr:colOff>
      <xdr:row>57</xdr:row>
      <xdr:rowOff>85725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5B72277-A0C4-40AC-90B8-7C643AC8F1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247651</xdr:colOff>
      <xdr:row>58</xdr:row>
      <xdr:rowOff>125186</xdr:rowOff>
    </xdr:from>
    <xdr:to>
      <xdr:col>9</xdr:col>
      <xdr:colOff>394609</xdr:colOff>
      <xdr:row>68</xdr:row>
      <xdr:rowOff>95251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8B2D4B4D-2F44-4134-B198-18738C976C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297997</xdr:colOff>
      <xdr:row>69</xdr:row>
      <xdr:rowOff>123824</xdr:rowOff>
    </xdr:from>
    <xdr:to>
      <xdr:col>9</xdr:col>
      <xdr:colOff>340179</xdr:colOff>
      <xdr:row>82</xdr:row>
      <xdr:rowOff>95250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1EBCE971-FEAD-459E-9868-4CA7E321FE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557894</xdr:colOff>
      <xdr:row>69</xdr:row>
      <xdr:rowOff>164647</xdr:rowOff>
    </xdr:from>
    <xdr:to>
      <xdr:col>17</xdr:col>
      <xdr:colOff>326573</xdr:colOff>
      <xdr:row>82</xdr:row>
      <xdr:rowOff>81643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71CB2A0E-B82D-4562-A58B-2B4CBC391F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238125</xdr:colOff>
      <xdr:row>83</xdr:row>
      <xdr:rowOff>104775</xdr:rowOff>
    </xdr:from>
    <xdr:to>
      <xdr:col>9</xdr:col>
      <xdr:colOff>381000</xdr:colOff>
      <xdr:row>98</xdr:row>
      <xdr:rowOff>123825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F287BC22-F24B-412C-AE1C-E7C93CD2B8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</xdr:col>
      <xdr:colOff>57150</xdr:colOff>
      <xdr:row>102</xdr:row>
      <xdr:rowOff>28575</xdr:rowOff>
    </xdr:from>
    <xdr:to>
      <xdr:col>10</xdr:col>
      <xdr:colOff>523875</xdr:colOff>
      <xdr:row>117</xdr:row>
      <xdr:rowOff>66675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C99A5DA3-84C5-4275-A2BE-362B4F8690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9</xdr:col>
      <xdr:colOff>552450</xdr:colOff>
      <xdr:row>83</xdr:row>
      <xdr:rowOff>66676</xdr:rowOff>
    </xdr:from>
    <xdr:to>
      <xdr:col>17</xdr:col>
      <xdr:colOff>342900</xdr:colOff>
      <xdr:row>98</xdr:row>
      <xdr:rowOff>12247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511DFE6C-AB35-4B74-9213-4BAE606053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6E4D4-C82D-4000-95FA-8FC5D62DDF0A}">
  <dimension ref="A2:R54"/>
  <sheetViews>
    <sheetView showGridLines="0" tabSelected="1" workbookViewId="0">
      <selection activeCell="I12" sqref="I12"/>
    </sheetView>
  </sheetViews>
  <sheetFormatPr defaultRowHeight="14.25" x14ac:dyDescent="0.2"/>
  <cols>
    <col min="2" max="2" width="10.125" customWidth="1"/>
    <col min="3" max="3" width="12" bestFit="1" customWidth="1"/>
    <col min="4" max="4" width="14.625" customWidth="1"/>
    <col min="5" max="5" width="15.5" customWidth="1"/>
    <col min="6" max="6" width="14.375" customWidth="1"/>
    <col min="7" max="7" width="15" customWidth="1"/>
    <col min="8" max="8" width="10" customWidth="1"/>
    <col min="9" max="9" width="13.75" customWidth="1"/>
    <col min="10" max="11" width="12.125" customWidth="1"/>
    <col min="12" max="12" width="10.75" customWidth="1"/>
    <col min="13" max="13" width="9.75" customWidth="1"/>
    <col min="14" max="14" width="10.75" customWidth="1"/>
    <col min="15" max="15" width="13" customWidth="1"/>
    <col min="16" max="16" width="11" bestFit="1" customWidth="1"/>
    <col min="17" max="17" width="12.5" customWidth="1"/>
  </cols>
  <sheetData>
    <row r="2" spans="2:18" x14ac:dyDescent="0.2">
      <c r="B2" t="s">
        <v>13</v>
      </c>
    </row>
    <row r="3" spans="2:18" ht="42.75" x14ac:dyDescent="0.2">
      <c r="B3" s="1" t="s">
        <v>0</v>
      </c>
      <c r="C3" s="1" t="s">
        <v>1</v>
      </c>
      <c r="D3" s="7" t="s">
        <v>2</v>
      </c>
      <c r="E3" s="7" t="s">
        <v>3</v>
      </c>
      <c r="F3" s="7" t="s">
        <v>14</v>
      </c>
      <c r="G3" s="1" t="s">
        <v>4</v>
      </c>
      <c r="H3" s="1" t="s">
        <v>5</v>
      </c>
      <c r="I3" s="7" t="s">
        <v>7</v>
      </c>
      <c r="J3" s="7" t="s">
        <v>6</v>
      </c>
      <c r="K3" s="7" t="s">
        <v>8</v>
      </c>
      <c r="L3" s="7" t="s">
        <v>9</v>
      </c>
      <c r="M3" s="7" t="s">
        <v>15</v>
      </c>
      <c r="N3" s="7" t="s">
        <v>10</v>
      </c>
      <c r="O3" s="7" t="s">
        <v>16</v>
      </c>
      <c r="P3" s="7" t="s">
        <v>17</v>
      </c>
      <c r="Q3" s="7" t="s">
        <v>18</v>
      </c>
      <c r="R3" s="4" t="s">
        <v>30</v>
      </c>
    </row>
    <row r="4" spans="2:18" x14ac:dyDescent="0.2">
      <c r="B4" s="1">
        <v>2023</v>
      </c>
      <c r="C4" s="3">
        <v>471857</v>
      </c>
      <c r="D4" s="3">
        <v>162326</v>
      </c>
      <c r="E4" s="3">
        <v>33254</v>
      </c>
      <c r="F4" s="3">
        <v>32201</v>
      </c>
      <c r="G4" s="9">
        <f>6635/32201</f>
        <v>0.20604950156827428</v>
      </c>
      <c r="H4" s="3">
        <v>25566</v>
      </c>
      <c r="I4" s="10">
        <v>43312836</v>
      </c>
      <c r="J4" s="2">
        <v>0.59</v>
      </c>
      <c r="K4" s="3">
        <v>11538</v>
      </c>
      <c r="L4" s="3">
        <v>7925</v>
      </c>
      <c r="M4" s="3">
        <f>K4-L4</f>
        <v>3613</v>
      </c>
      <c r="N4" s="3">
        <f>862+6443+1151-98-782-6671-5157+1759</f>
        <v>-2493</v>
      </c>
      <c r="O4" s="11">
        <f>M4+N4</f>
        <v>1120</v>
      </c>
      <c r="P4" s="12">
        <f>E4*(1-G4)</f>
        <v>26402.029874848606</v>
      </c>
      <c r="Q4" s="13">
        <f>O4/P4</f>
        <v>4.2420980709022942E-2</v>
      </c>
      <c r="R4" s="24">
        <f>(C4*1000)/I4</f>
        <v>10.894160797967604</v>
      </c>
    </row>
    <row r="5" spans="2:18" x14ac:dyDescent="0.2">
      <c r="B5" s="1">
        <v>2022</v>
      </c>
      <c r="C5" s="3">
        <v>362050</v>
      </c>
      <c r="D5" s="3">
        <v>109444</v>
      </c>
      <c r="E5" s="3">
        <v>2104</v>
      </c>
      <c r="F5" s="3">
        <v>2831</v>
      </c>
      <c r="G5" s="9">
        <f>1601/2831</f>
        <v>0.56552454962910637</v>
      </c>
      <c r="H5" s="3">
        <v>1251</v>
      </c>
      <c r="I5" s="10">
        <v>43469586</v>
      </c>
      <c r="J5" s="2">
        <v>0.03</v>
      </c>
      <c r="K5" s="3">
        <v>10468</v>
      </c>
      <c r="L5" s="3">
        <v>5441</v>
      </c>
      <c r="M5" s="3">
        <f t="shared" ref="M5" si="0">K5-L5</f>
        <v>5027</v>
      </c>
      <c r="N5" s="3">
        <f>13858+15574-199+131-45-425-2352-3843+1477</f>
        <v>24176</v>
      </c>
      <c r="O5" s="11">
        <f t="shared" ref="O5" si="1">M5+N5</f>
        <v>29203</v>
      </c>
      <c r="P5" s="12">
        <f>E5*(1-G5)</f>
        <v>914.13634758036017</v>
      </c>
      <c r="Q5" s="13">
        <f t="shared" ref="Q5:Q6" si="2">O5/P5</f>
        <v>31.946000262759288</v>
      </c>
      <c r="R5" s="24">
        <f t="shared" ref="R5:R9" si="3">(C5*1000)/I5</f>
        <v>8.3288117811842053</v>
      </c>
    </row>
    <row r="6" spans="2:18" x14ac:dyDescent="0.2">
      <c r="B6" s="1">
        <v>2021</v>
      </c>
      <c r="C6" s="3">
        <v>260901</v>
      </c>
      <c r="D6" s="3">
        <v>82899</v>
      </c>
      <c r="E6" s="3">
        <v>52</v>
      </c>
      <c r="F6" s="3">
        <v>354</v>
      </c>
      <c r="G6" s="9">
        <f>-2028/354</f>
        <v>-5.7288135593220337</v>
      </c>
      <c r="H6" s="3">
        <v>2429</v>
      </c>
      <c r="I6" s="10">
        <v>43321733</v>
      </c>
      <c r="J6" s="2">
        <v>0.06</v>
      </c>
      <c r="K6" s="3">
        <v>16711</v>
      </c>
      <c r="L6" s="3">
        <v>3540</v>
      </c>
      <c r="M6" s="3">
        <f>K6-L6</f>
        <v>13171</v>
      </c>
      <c r="N6" s="3">
        <f>6078-1733-1354-426+46-6795-4029</f>
        <v>-8213</v>
      </c>
      <c r="O6" s="11">
        <f>M6+N6</f>
        <v>4958</v>
      </c>
      <c r="P6" s="12">
        <f>E6*(1-G6)</f>
        <v>349.89830508474574</v>
      </c>
      <c r="Q6" s="13">
        <f t="shared" si="2"/>
        <v>14.169831428017826</v>
      </c>
      <c r="R6" s="24">
        <f t="shared" si="3"/>
        <v>6.0224045053783977</v>
      </c>
    </row>
    <row r="7" spans="2:18" x14ac:dyDescent="0.2">
      <c r="B7" s="1">
        <v>2020</v>
      </c>
      <c r="C7" s="3">
        <v>214280</v>
      </c>
      <c r="D7" s="3">
        <v>74528</v>
      </c>
      <c r="E7" s="3">
        <v>12228</v>
      </c>
      <c r="F7" s="3">
        <v>11654</v>
      </c>
      <c r="G7" s="9">
        <f>2770/11654</f>
        <v>0.23768663119958813</v>
      </c>
      <c r="H7" s="3">
        <v>8884</v>
      </c>
      <c r="I7" s="10">
        <v>32914653</v>
      </c>
      <c r="J7" s="2">
        <v>0.27</v>
      </c>
      <c r="K7" s="3">
        <v>10300</v>
      </c>
      <c r="L7" s="3">
        <v>2550</v>
      </c>
      <c r="M7" s="3">
        <f>K7-L7</f>
        <v>7750</v>
      </c>
      <c r="N7" s="3">
        <f>4718-29-61+2255-11-1807-1173</f>
        <v>3892</v>
      </c>
      <c r="O7" s="11">
        <f t="shared" ref="O7:O8" si="4">M7+N7</f>
        <v>11642</v>
      </c>
      <c r="P7" s="12">
        <f t="shared" ref="P7" si="5">E7*(1-G7)</f>
        <v>9321.567873691436</v>
      </c>
      <c r="Q7" s="13">
        <f>O7/P7</f>
        <v>1.2489315271583867</v>
      </c>
      <c r="R7" s="24">
        <f t="shared" si="3"/>
        <v>6.5101704095133552</v>
      </c>
    </row>
    <row r="8" spans="2:18" x14ac:dyDescent="0.2">
      <c r="B8" s="1">
        <v>2019</v>
      </c>
      <c r="C8" s="3">
        <v>140733</v>
      </c>
      <c r="D8" s="3">
        <v>42877</v>
      </c>
      <c r="E8" s="3">
        <v>3350</v>
      </c>
      <c r="F8" s="3">
        <v>4418</v>
      </c>
      <c r="G8" s="9">
        <f>1106/4418</f>
        <v>0.25033952014486194</v>
      </c>
      <c r="H8" s="3">
        <v>3312</v>
      </c>
      <c r="I8" s="3">
        <v>36071015</v>
      </c>
      <c r="J8" s="2">
        <v>7.0000000000000007E-2</v>
      </c>
      <c r="K8" s="3">
        <v>4799</v>
      </c>
      <c r="L8" s="3">
        <v>1921</v>
      </c>
      <c r="M8" s="3">
        <f>K8-L8</f>
        <v>2878</v>
      </c>
      <c r="N8" s="11">
        <f>6182+9270+1563+582-93-3192-2074</f>
        <v>12238</v>
      </c>
      <c r="O8" s="11">
        <f t="shared" si="4"/>
        <v>15116</v>
      </c>
      <c r="P8" s="12">
        <f>E8*(1-G8)</f>
        <v>2511.3626075147126</v>
      </c>
      <c r="Q8" s="13">
        <f>O8/P8</f>
        <v>6.0190431898478618</v>
      </c>
      <c r="R8" s="24">
        <f t="shared" si="3"/>
        <v>3.9015536435556362</v>
      </c>
    </row>
    <row r="9" spans="2:18" x14ac:dyDescent="0.2">
      <c r="B9" s="1">
        <v>2018</v>
      </c>
      <c r="C9" s="3">
        <v>106713</v>
      </c>
      <c r="D9" s="3">
        <v>34819</v>
      </c>
      <c r="E9" s="3">
        <v>6767</v>
      </c>
      <c r="F9" s="3">
        <v>6352</v>
      </c>
      <c r="G9" s="9">
        <f>723/6352</f>
        <v>0.11382241813602015</v>
      </c>
      <c r="H9" s="3">
        <v>5629</v>
      </c>
      <c r="I9" s="3">
        <v>35258594</v>
      </c>
      <c r="J9" s="2">
        <v>0.16</v>
      </c>
      <c r="K9" s="3">
        <v>1940</v>
      </c>
      <c r="L9" s="3">
        <v>1437</v>
      </c>
      <c r="M9" s="3">
        <f t="shared" ref="M9" si="6">K9-L9</f>
        <v>503</v>
      </c>
      <c r="N9" s="11">
        <f>3578+1042+520+63-4946-2949</f>
        <v>-2692</v>
      </c>
      <c r="O9" s="11">
        <f>M9+N9</f>
        <v>-2189</v>
      </c>
      <c r="P9" s="12">
        <f>E9*(1-G9)</f>
        <v>5996.763696473552</v>
      </c>
      <c r="Q9" s="13">
        <f>O9/P9</f>
        <v>-0.36503022476727909</v>
      </c>
      <c r="R9" s="24">
        <f t="shared" si="3"/>
        <v>3.026581264130952</v>
      </c>
    </row>
    <row r="10" spans="2:18" x14ac:dyDescent="0.2">
      <c r="B10" s="5"/>
      <c r="C10" s="5"/>
      <c r="D10" s="5"/>
      <c r="E10" s="5"/>
      <c r="F10" s="5"/>
      <c r="G10" s="5"/>
      <c r="H10" s="5"/>
      <c r="I10" s="5"/>
      <c r="J10" s="5"/>
      <c r="K10" s="5"/>
      <c r="L10" s="6"/>
    </row>
    <row r="11" spans="2:18" ht="15" thickBot="1" x14ac:dyDescent="0.25">
      <c r="B11" s="5"/>
      <c r="C11" s="5"/>
      <c r="D11" s="5"/>
      <c r="E11" s="5"/>
      <c r="F11" s="5"/>
      <c r="G11" s="5"/>
      <c r="H11" s="5"/>
      <c r="I11" s="5"/>
      <c r="J11" s="5"/>
      <c r="K11" s="5"/>
      <c r="L11" s="6"/>
    </row>
    <row r="12" spans="2:18" ht="42.75" x14ac:dyDescent="0.2">
      <c r="B12" s="14" t="s">
        <v>0</v>
      </c>
      <c r="C12" s="15" t="s">
        <v>1</v>
      </c>
      <c r="D12" s="16" t="s">
        <v>11</v>
      </c>
      <c r="E12" s="16" t="s">
        <v>12</v>
      </c>
      <c r="F12" s="16" t="s">
        <v>11</v>
      </c>
      <c r="G12" s="17" t="s">
        <v>12</v>
      </c>
    </row>
    <row r="13" spans="2:18" x14ac:dyDescent="0.2">
      <c r="B13" s="18">
        <v>2023</v>
      </c>
      <c r="C13" s="3">
        <f>C4</f>
        <v>471857</v>
      </c>
      <c r="D13" s="3">
        <v>449045</v>
      </c>
      <c r="E13" s="3">
        <v>22812</v>
      </c>
      <c r="F13" s="9">
        <f>D13/C13</f>
        <v>0.95165484458215099</v>
      </c>
      <c r="G13" s="19">
        <f>E13/C13</f>
        <v>4.8345155417849055E-2</v>
      </c>
    </row>
    <row r="14" spans="2:18" x14ac:dyDescent="0.2">
      <c r="B14" s="18">
        <v>2022</v>
      </c>
      <c r="C14" s="3">
        <f t="shared" ref="C14:C15" si="7">C5</f>
        <v>362050</v>
      </c>
      <c r="D14" s="3">
        <v>339214</v>
      </c>
      <c r="E14" s="3">
        <v>22836</v>
      </c>
      <c r="F14" s="9">
        <f t="shared" ref="F14:F18" si="8">D14/C14</f>
        <v>0.93692583897251758</v>
      </c>
      <c r="G14" s="19">
        <f t="shared" ref="G14:G18" si="9">E14/C14</f>
        <v>6.3074161027482395E-2</v>
      </c>
    </row>
    <row r="15" spans="2:18" x14ac:dyDescent="0.2">
      <c r="B15" s="18">
        <v>2021</v>
      </c>
      <c r="C15" s="3">
        <f t="shared" si="7"/>
        <v>260901</v>
      </c>
      <c r="D15" s="3">
        <v>239967</v>
      </c>
      <c r="E15" s="3">
        <v>20934</v>
      </c>
      <c r="F15" s="9">
        <f t="shared" si="8"/>
        <v>0.91976266859843392</v>
      </c>
      <c r="G15" s="19">
        <f t="shared" si="9"/>
        <v>8.0237331401566109E-2</v>
      </c>
    </row>
    <row r="16" spans="2:18" x14ac:dyDescent="0.2">
      <c r="B16" s="18">
        <v>2020</v>
      </c>
      <c r="C16" s="3">
        <f>C7</f>
        <v>214280</v>
      </c>
      <c r="D16" s="3">
        <f>196695</f>
        <v>196695</v>
      </c>
      <c r="E16" s="3">
        <v>17585</v>
      </c>
      <c r="F16" s="9">
        <f t="shared" si="8"/>
        <v>0.91793447825275343</v>
      </c>
      <c r="G16" s="19">
        <f t="shared" si="9"/>
        <v>8.2065521747246586E-2</v>
      </c>
    </row>
    <row r="17" spans="1:14" x14ac:dyDescent="0.2">
      <c r="B17" s="18">
        <v>2019</v>
      </c>
      <c r="C17" s="3">
        <f>C8</f>
        <v>140733</v>
      </c>
      <c r="D17" s="3">
        <v>128579</v>
      </c>
      <c r="E17" s="3">
        <v>12154</v>
      </c>
      <c r="F17" s="9">
        <f t="shared" si="8"/>
        <v>0.91363788166243876</v>
      </c>
      <c r="G17" s="19">
        <f t="shared" si="9"/>
        <v>8.6362118337561203E-2</v>
      </c>
    </row>
    <row r="18" spans="1:14" ht="15" thickBot="1" x14ac:dyDescent="0.25">
      <c r="B18" s="20">
        <v>2018</v>
      </c>
      <c r="C18" s="21">
        <f>C9</f>
        <v>106713</v>
      </c>
      <c r="D18" s="21">
        <v>98967</v>
      </c>
      <c r="E18" s="21">
        <v>7746</v>
      </c>
      <c r="F18" s="22">
        <f t="shared" si="8"/>
        <v>0.92741278007365546</v>
      </c>
      <c r="G18" s="23">
        <f t="shared" si="9"/>
        <v>7.2587219926344496E-2</v>
      </c>
    </row>
    <row r="21" spans="1:14" x14ac:dyDescent="0.2">
      <c r="A21" s="27" t="s">
        <v>19</v>
      </c>
      <c r="B21" s="27"/>
    </row>
    <row r="22" spans="1:14" x14ac:dyDescent="0.2">
      <c r="A22" s="28"/>
      <c r="B22" s="28"/>
    </row>
    <row r="24" spans="1:14" ht="42.75" x14ac:dyDescent="0.2">
      <c r="B24" s="1" t="s">
        <v>0</v>
      </c>
      <c r="C24" s="1" t="s">
        <v>1</v>
      </c>
      <c r="D24" s="7" t="s">
        <v>20</v>
      </c>
      <c r="E24" s="7" t="s">
        <v>21</v>
      </c>
      <c r="F24" s="7" t="s">
        <v>22</v>
      </c>
      <c r="G24" s="1" t="s">
        <v>5</v>
      </c>
      <c r="I24" s="1" t="s">
        <v>0</v>
      </c>
      <c r="J24" s="1" t="s">
        <v>1</v>
      </c>
      <c r="K24" s="7" t="s">
        <v>2</v>
      </c>
      <c r="L24" s="7" t="s">
        <v>3</v>
      </c>
      <c r="M24" s="7" t="s">
        <v>14</v>
      </c>
      <c r="N24" s="1" t="s">
        <v>5</v>
      </c>
    </row>
    <row r="25" spans="1:14" x14ac:dyDescent="0.2">
      <c r="B25" s="1">
        <v>2023</v>
      </c>
      <c r="C25" s="3">
        <v>471857</v>
      </c>
      <c r="D25" s="9">
        <f>K25/C25</f>
        <v>0.34401524190591642</v>
      </c>
      <c r="E25" s="9">
        <f>L25/C25</f>
        <v>7.0474741288144502E-2</v>
      </c>
      <c r="F25" s="9">
        <f>M25/C25</f>
        <v>6.8243132983085972E-2</v>
      </c>
      <c r="G25" s="9">
        <f>N25/C25</f>
        <v>5.4181669446463653E-2</v>
      </c>
      <c r="I25" s="1">
        <v>2023</v>
      </c>
      <c r="J25" s="3">
        <v>471857</v>
      </c>
      <c r="K25" s="3">
        <v>162326</v>
      </c>
      <c r="L25" s="3">
        <v>33254</v>
      </c>
      <c r="M25" s="3">
        <v>32201</v>
      </c>
      <c r="N25" s="3">
        <v>25566</v>
      </c>
    </row>
    <row r="26" spans="1:14" x14ac:dyDescent="0.2">
      <c r="B26" s="1">
        <v>2022</v>
      </c>
      <c r="C26" s="3">
        <v>362050</v>
      </c>
      <c r="D26" s="9">
        <f t="shared" ref="D26:D29" si="10">K26/C26</f>
        <v>0.30228973898632788</v>
      </c>
      <c r="E26" s="9">
        <f t="shared" ref="E26:E30" si="11">L26/C26</f>
        <v>5.8113520232012149E-3</v>
      </c>
      <c r="F26" s="9">
        <f t="shared" ref="F26:F30" si="12">M26/C26</f>
        <v>7.8193619665792025E-3</v>
      </c>
      <c r="G26" s="9">
        <f t="shared" ref="G26:G30" si="13">N26/C26</f>
        <v>3.4553238502969203E-3</v>
      </c>
      <c r="I26" s="1">
        <v>2022</v>
      </c>
      <c r="J26" s="3">
        <v>362050</v>
      </c>
      <c r="K26" s="3">
        <v>109444</v>
      </c>
      <c r="L26" s="3">
        <v>2104</v>
      </c>
      <c r="M26" s="3">
        <v>2831</v>
      </c>
      <c r="N26" s="3">
        <v>1251</v>
      </c>
    </row>
    <row r="27" spans="1:14" x14ac:dyDescent="0.2">
      <c r="B27" s="1">
        <v>2021</v>
      </c>
      <c r="C27" s="3">
        <v>260901</v>
      </c>
      <c r="D27" s="9">
        <f t="shared" si="10"/>
        <v>0.31774121218393181</v>
      </c>
      <c r="E27" s="9">
        <f t="shared" si="11"/>
        <v>1.9930931656068776E-4</v>
      </c>
      <c r="F27" s="9">
        <f t="shared" si="12"/>
        <v>1.3568365012016051E-3</v>
      </c>
      <c r="G27" s="9">
        <f t="shared" si="13"/>
        <v>9.310044806267511E-3</v>
      </c>
      <c r="I27" s="1">
        <v>2021</v>
      </c>
      <c r="J27" s="3">
        <v>260901</v>
      </c>
      <c r="K27" s="3">
        <v>82899</v>
      </c>
      <c r="L27" s="3">
        <v>52</v>
      </c>
      <c r="M27" s="3">
        <v>354</v>
      </c>
      <c r="N27" s="3">
        <v>2429</v>
      </c>
    </row>
    <row r="28" spans="1:14" x14ac:dyDescent="0.2">
      <c r="B28" s="1">
        <v>2020</v>
      </c>
      <c r="C28" s="3">
        <v>214280</v>
      </c>
      <c r="D28" s="9">
        <f t="shared" si="10"/>
        <v>0.34780660817621806</v>
      </c>
      <c r="E28" s="9">
        <f t="shared" si="11"/>
        <v>5.7065521747246592E-2</v>
      </c>
      <c r="F28" s="9">
        <f t="shared" si="12"/>
        <v>5.4386783647563934E-2</v>
      </c>
      <c r="G28" s="9">
        <f t="shared" si="13"/>
        <v>4.1459772260593615E-2</v>
      </c>
      <c r="I28" s="1">
        <v>2020</v>
      </c>
      <c r="J28" s="3">
        <v>214280</v>
      </c>
      <c r="K28" s="3">
        <v>74528</v>
      </c>
      <c r="L28" s="3">
        <v>12228</v>
      </c>
      <c r="M28" s="3">
        <v>11654</v>
      </c>
      <c r="N28" s="3">
        <v>8884</v>
      </c>
    </row>
    <row r="29" spans="1:14" x14ac:dyDescent="0.2">
      <c r="B29" s="1">
        <v>2019</v>
      </c>
      <c r="C29" s="3">
        <v>140733</v>
      </c>
      <c r="D29" s="9">
        <f t="shared" si="10"/>
        <v>0.30466912522293987</v>
      </c>
      <c r="E29" s="9">
        <f t="shared" si="11"/>
        <v>2.380394079569113E-2</v>
      </c>
      <c r="F29" s="9">
        <f t="shared" si="12"/>
        <v>3.1392779234436841E-2</v>
      </c>
      <c r="G29" s="9">
        <f t="shared" si="13"/>
        <v>2.3533925944874336E-2</v>
      </c>
      <c r="I29" s="1">
        <v>2019</v>
      </c>
      <c r="J29" s="3">
        <v>140733</v>
      </c>
      <c r="K29" s="3">
        <v>42877</v>
      </c>
      <c r="L29" s="3">
        <v>3350</v>
      </c>
      <c r="M29" s="3">
        <v>4418</v>
      </c>
      <c r="N29" s="3">
        <v>3312</v>
      </c>
    </row>
    <row r="30" spans="1:14" x14ac:dyDescent="0.2">
      <c r="B30" s="1">
        <v>2018</v>
      </c>
      <c r="C30" s="3">
        <v>106713</v>
      </c>
      <c r="D30" s="9">
        <f>K30/C30</f>
        <v>0.32628639434745532</v>
      </c>
      <c r="E30" s="9">
        <f t="shared" si="11"/>
        <v>6.3413079943399592E-2</v>
      </c>
      <c r="F30" s="9">
        <f t="shared" si="12"/>
        <v>5.9524144199863183E-2</v>
      </c>
      <c r="G30" s="9">
        <f t="shared" si="13"/>
        <v>5.2748962169557601E-2</v>
      </c>
      <c r="I30" s="1">
        <v>2018</v>
      </c>
      <c r="J30" s="3">
        <v>106713</v>
      </c>
      <c r="K30" s="3">
        <v>34819</v>
      </c>
      <c r="L30" s="3">
        <v>6767</v>
      </c>
      <c r="M30" s="3">
        <v>6352</v>
      </c>
      <c r="N30" s="3">
        <v>5629</v>
      </c>
    </row>
    <row r="33" spans="1:16" x14ac:dyDescent="0.2">
      <c r="A33" s="27" t="s">
        <v>23</v>
      </c>
      <c r="B33" s="27"/>
    </row>
    <row r="34" spans="1:16" x14ac:dyDescent="0.2">
      <c r="A34" s="28"/>
      <c r="B34" s="28"/>
    </row>
    <row r="36" spans="1:16" ht="42.75" x14ac:dyDescent="0.2">
      <c r="B36" s="1" t="s">
        <v>0</v>
      </c>
      <c r="C36" s="7" t="s">
        <v>24</v>
      </c>
      <c r="D36" s="7" t="s">
        <v>25</v>
      </c>
      <c r="E36" s="7" t="s">
        <v>26</v>
      </c>
      <c r="F36" s="7" t="s">
        <v>27</v>
      </c>
      <c r="G36" s="7" t="s">
        <v>28</v>
      </c>
      <c r="H36" s="7" t="s">
        <v>29</v>
      </c>
      <c r="J36" s="1" t="s">
        <v>0</v>
      </c>
      <c r="K36" s="1" t="s">
        <v>1</v>
      </c>
      <c r="L36" s="7" t="s">
        <v>2</v>
      </c>
      <c r="M36" s="7" t="s">
        <v>3</v>
      </c>
      <c r="N36" s="7" t="s">
        <v>14</v>
      </c>
      <c r="O36" s="1" t="s">
        <v>5</v>
      </c>
      <c r="P36" s="7" t="s">
        <v>6</v>
      </c>
    </row>
    <row r="37" spans="1:16" x14ac:dyDescent="0.2">
      <c r="B37" s="1">
        <v>2023</v>
      </c>
      <c r="C37" s="8">
        <f t="shared" ref="C37:H37" si="14">(K37-K38)/K38</f>
        <v>0.30329236293329653</v>
      </c>
      <c r="D37" s="8">
        <f t="shared" si="14"/>
        <v>0.48318774898578271</v>
      </c>
      <c r="E37" s="8">
        <f t="shared" si="14"/>
        <v>14.805133079847909</v>
      </c>
      <c r="F37" s="8">
        <f t="shared" si="14"/>
        <v>10.374425997880607</v>
      </c>
      <c r="G37" s="8">
        <f t="shared" si="14"/>
        <v>19.436450839328536</v>
      </c>
      <c r="H37" s="8">
        <f t="shared" si="14"/>
        <v>18.666666666666664</v>
      </c>
      <c r="J37" s="1">
        <v>2023</v>
      </c>
      <c r="K37" s="3">
        <v>471857</v>
      </c>
      <c r="L37" s="3">
        <v>162326</v>
      </c>
      <c r="M37" s="3">
        <v>33254</v>
      </c>
      <c r="N37" s="3">
        <v>32201</v>
      </c>
      <c r="O37" s="3">
        <v>25566</v>
      </c>
      <c r="P37" s="2">
        <v>0.59</v>
      </c>
    </row>
    <row r="38" spans="1:16" x14ac:dyDescent="0.2">
      <c r="B38" s="1">
        <v>2022</v>
      </c>
      <c r="C38" s="8">
        <f t="shared" ref="C38:G41" si="15">(K38-K39)/K39</f>
        <v>0.38769111655378863</v>
      </c>
      <c r="D38" s="8">
        <f t="shared" si="15"/>
        <v>0.32020892893762287</v>
      </c>
      <c r="E38" s="8">
        <f t="shared" si="15"/>
        <v>39.46153846153846</v>
      </c>
      <c r="F38" s="8">
        <f t="shared" si="15"/>
        <v>6.9971751412429377</v>
      </c>
      <c r="G38" s="8">
        <f t="shared" si="15"/>
        <v>-0.48497324001646769</v>
      </c>
      <c r="H38" s="8">
        <f t="shared" ref="H38:H41" si="16">(P38-P39)/P39</f>
        <v>-0.5</v>
      </c>
      <c r="J38" s="1">
        <v>2022</v>
      </c>
      <c r="K38" s="3">
        <v>362050</v>
      </c>
      <c r="L38" s="3">
        <v>109444</v>
      </c>
      <c r="M38" s="3">
        <v>2104</v>
      </c>
      <c r="N38" s="3">
        <v>2831</v>
      </c>
      <c r="O38" s="3">
        <v>1251</v>
      </c>
      <c r="P38" s="2">
        <v>0.03</v>
      </c>
    </row>
    <row r="39" spans="1:16" x14ac:dyDescent="0.2">
      <c r="B39" s="1">
        <v>2021</v>
      </c>
      <c r="C39" s="8">
        <f t="shared" si="15"/>
        <v>0.2175704685458279</v>
      </c>
      <c r="D39" s="8">
        <f t="shared" si="15"/>
        <v>0.11232020180334908</v>
      </c>
      <c r="E39" s="8">
        <f t="shared" si="15"/>
        <v>-0.99574746483480536</v>
      </c>
      <c r="F39" s="8">
        <f t="shared" si="15"/>
        <v>-0.96962416337738111</v>
      </c>
      <c r="G39" s="8">
        <f t="shared" si="15"/>
        <v>-0.72658712291760463</v>
      </c>
      <c r="H39" s="8">
        <f t="shared" si="16"/>
        <v>-0.77777777777777779</v>
      </c>
      <c r="J39" s="1">
        <v>2021</v>
      </c>
      <c r="K39" s="3">
        <v>260901</v>
      </c>
      <c r="L39" s="3">
        <v>82899</v>
      </c>
      <c r="M39" s="3">
        <v>52</v>
      </c>
      <c r="N39" s="3">
        <v>354</v>
      </c>
      <c r="O39" s="3">
        <v>2429</v>
      </c>
      <c r="P39" s="2">
        <v>0.06</v>
      </c>
    </row>
    <row r="40" spans="1:16" x14ac:dyDescent="0.2">
      <c r="B40" s="1">
        <v>2020</v>
      </c>
      <c r="C40" s="8">
        <f t="shared" si="15"/>
        <v>0.52259953244796886</v>
      </c>
      <c r="D40" s="8">
        <f t="shared" si="15"/>
        <v>0.73818130932667869</v>
      </c>
      <c r="E40" s="8">
        <f t="shared" si="15"/>
        <v>2.6501492537313434</v>
      </c>
      <c r="F40" s="8">
        <f t="shared" si="15"/>
        <v>1.637845178813943</v>
      </c>
      <c r="G40" s="8">
        <f t="shared" si="15"/>
        <v>1.682367149758454</v>
      </c>
      <c r="H40" s="8">
        <f t="shared" si="16"/>
        <v>2.8571428571428572</v>
      </c>
      <c r="J40" s="1">
        <v>2020</v>
      </c>
      <c r="K40" s="3">
        <v>214280</v>
      </c>
      <c r="L40" s="3">
        <v>74528</v>
      </c>
      <c r="M40" s="3">
        <v>12228</v>
      </c>
      <c r="N40" s="3">
        <v>11654</v>
      </c>
      <c r="O40" s="3">
        <v>8884</v>
      </c>
      <c r="P40" s="2">
        <v>0.27</v>
      </c>
    </row>
    <row r="41" spans="1:16" x14ac:dyDescent="0.2">
      <c r="B41" s="1">
        <v>2019</v>
      </c>
      <c r="C41" s="8">
        <f t="shared" si="15"/>
        <v>0.31879902167495994</v>
      </c>
      <c r="D41" s="8">
        <f t="shared" si="15"/>
        <v>0.23142537120537637</v>
      </c>
      <c r="E41" s="8">
        <f t="shared" si="15"/>
        <v>-0.50495049504950495</v>
      </c>
      <c r="F41" s="8">
        <f t="shared" si="15"/>
        <v>-0.30447103274559195</v>
      </c>
      <c r="G41" s="8">
        <f t="shared" si="15"/>
        <v>-0.41161840468999822</v>
      </c>
      <c r="H41" s="8">
        <f t="shared" si="16"/>
        <v>-0.5625</v>
      </c>
      <c r="J41" s="1">
        <v>2019</v>
      </c>
      <c r="K41" s="3">
        <v>140733</v>
      </c>
      <c r="L41" s="3">
        <v>42877</v>
      </c>
      <c r="M41" s="3">
        <v>3350</v>
      </c>
      <c r="N41" s="3">
        <v>4418</v>
      </c>
      <c r="O41" s="3">
        <v>3312</v>
      </c>
      <c r="P41" s="2">
        <v>7.0000000000000007E-2</v>
      </c>
    </row>
    <row r="42" spans="1:16" x14ac:dyDescent="0.2">
      <c r="B42" s="1">
        <v>2018</v>
      </c>
      <c r="C42" s="8"/>
      <c r="D42" s="9"/>
      <c r="E42" s="9"/>
      <c r="F42" s="9"/>
      <c r="G42" s="9"/>
      <c r="H42" s="8"/>
      <c r="J42" s="1">
        <v>2018</v>
      </c>
      <c r="K42" s="3">
        <v>106713</v>
      </c>
      <c r="L42" s="3">
        <v>34819</v>
      </c>
      <c r="M42" s="3">
        <v>6767</v>
      </c>
      <c r="N42" s="3">
        <v>6352</v>
      </c>
      <c r="O42" s="3">
        <v>5629</v>
      </c>
      <c r="P42" s="2">
        <v>0.16</v>
      </c>
    </row>
    <row r="45" spans="1:16" x14ac:dyDescent="0.2">
      <c r="A45" s="27" t="s">
        <v>34</v>
      </c>
      <c r="B45" s="27"/>
    </row>
    <row r="46" spans="1:16" x14ac:dyDescent="0.2">
      <c r="A46" s="28"/>
      <c r="B46" s="28"/>
    </row>
    <row r="48" spans="1:16" ht="42.75" x14ac:dyDescent="0.2">
      <c r="B48" s="1" t="s">
        <v>0</v>
      </c>
      <c r="C48" s="1" t="s">
        <v>31</v>
      </c>
      <c r="D48" s="7" t="s">
        <v>32</v>
      </c>
      <c r="E48" s="7" t="s">
        <v>33</v>
      </c>
      <c r="F48" s="7" t="s">
        <v>36</v>
      </c>
      <c r="G48" s="7" t="s">
        <v>35</v>
      </c>
      <c r="H48" s="7" t="s">
        <v>37</v>
      </c>
      <c r="J48" s="1" t="s">
        <v>0</v>
      </c>
      <c r="K48" s="7" t="s">
        <v>38</v>
      </c>
      <c r="L48" s="7" t="s">
        <v>39</v>
      </c>
    </row>
    <row r="49" spans="2:12" x14ac:dyDescent="0.2">
      <c r="B49" s="1">
        <v>2023</v>
      </c>
      <c r="C49" s="25">
        <v>101728</v>
      </c>
      <c r="D49" s="25">
        <v>27344</v>
      </c>
      <c r="E49" s="25">
        <f>SUM(C49:D49)</f>
        <v>129072</v>
      </c>
      <c r="F49" s="9">
        <f>E49/C25</f>
        <v>0.27354050061777191</v>
      </c>
      <c r="G49" s="26">
        <v>309531</v>
      </c>
      <c r="H49" s="9">
        <f>G49/C25</f>
        <v>0.65598475809408363</v>
      </c>
      <c r="J49" s="1">
        <v>2023</v>
      </c>
      <c r="K49" s="9">
        <v>0.27354050061777191</v>
      </c>
      <c r="L49" s="9">
        <v>0.65598475809408363</v>
      </c>
    </row>
    <row r="50" spans="2:12" x14ac:dyDescent="0.2">
      <c r="B50" s="1">
        <v>2022</v>
      </c>
      <c r="C50" s="25">
        <v>77236</v>
      </c>
      <c r="D50" s="25">
        <v>30104</v>
      </c>
      <c r="E50" s="25">
        <f t="shared" ref="E50:E54" si="17">SUM(C50:D50)</f>
        <v>107340</v>
      </c>
      <c r="F50" s="9">
        <f t="shared" ref="F50:F51" si="18">E50/C26</f>
        <v>0.29647838696312662</v>
      </c>
      <c r="G50" s="26">
        <v>252606</v>
      </c>
      <c r="H50" s="9">
        <f t="shared" ref="H50:H51" si="19">G50/C26</f>
        <v>0.69771026101367217</v>
      </c>
      <c r="J50" s="1">
        <v>2022</v>
      </c>
      <c r="K50" s="9">
        <v>0.29647838696312662</v>
      </c>
      <c r="L50" s="9">
        <v>0.69771026101367217</v>
      </c>
    </row>
    <row r="51" spans="2:12" x14ac:dyDescent="0.2">
      <c r="B51" s="1">
        <v>2021</v>
      </c>
      <c r="C51" s="25">
        <v>57868</v>
      </c>
      <c r="D51" s="25">
        <v>24979</v>
      </c>
      <c r="E51" s="25">
        <f t="shared" si="17"/>
        <v>82847</v>
      </c>
      <c r="F51" s="9">
        <f t="shared" si="18"/>
        <v>0.31754190286737116</v>
      </c>
      <c r="G51" s="26">
        <v>178002</v>
      </c>
      <c r="H51" s="9">
        <f t="shared" si="19"/>
        <v>0.68225878781606819</v>
      </c>
      <c r="J51" s="1">
        <v>2021</v>
      </c>
      <c r="K51" s="9">
        <v>0.31754190286737116</v>
      </c>
      <c r="L51" s="9">
        <v>0.68225878781606819</v>
      </c>
    </row>
    <row r="52" spans="2:12" x14ac:dyDescent="0.2">
      <c r="B52" s="1">
        <v>2020</v>
      </c>
      <c r="C52" s="25"/>
      <c r="D52" s="25"/>
      <c r="E52" s="25">
        <f t="shared" si="17"/>
        <v>0</v>
      </c>
      <c r="F52" s="1"/>
      <c r="G52" s="1"/>
      <c r="H52" s="1"/>
    </row>
    <row r="53" spans="2:12" x14ac:dyDescent="0.2">
      <c r="B53" s="1">
        <v>2019</v>
      </c>
      <c r="C53" s="25"/>
      <c r="D53" s="25"/>
      <c r="E53" s="25">
        <f t="shared" si="17"/>
        <v>0</v>
      </c>
      <c r="F53" s="1"/>
      <c r="G53" s="1"/>
      <c r="H53" s="1"/>
    </row>
    <row r="54" spans="2:12" x14ac:dyDescent="0.2">
      <c r="B54" s="1">
        <v>2018</v>
      </c>
      <c r="C54" s="25"/>
      <c r="D54" s="25"/>
      <c r="E54" s="25">
        <f t="shared" si="17"/>
        <v>0</v>
      </c>
      <c r="F54" s="1"/>
      <c r="G54" s="1"/>
      <c r="H54" s="1"/>
    </row>
  </sheetData>
  <mergeCells count="3">
    <mergeCell ref="A21:B22"/>
    <mergeCell ref="A33:B34"/>
    <mergeCell ref="A45:B4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95D16-44B6-4780-8E2A-D8BC11614F62}">
  <dimension ref="A1"/>
  <sheetViews>
    <sheetView showGridLines="0" topLeftCell="A52" zoomScaleNormal="100" workbookViewId="0">
      <selection activeCell="P102" sqref="P102"/>
    </sheetView>
  </sheetViews>
  <sheetFormatPr defaultRowHeight="14.25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רועי דיין</cp:lastModifiedBy>
  <dcterms:created xsi:type="dcterms:W3CDTF">2015-06-05T18:17:20Z</dcterms:created>
  <dcterms:modified xsi:type="dcterms:W3CDTF">2024-10-03T10:00:27Z</dcterms:modified>
</cp:coreProperties>
</file>