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c2016\Desktop\borsa\DCF\Companies\specifics\VIRC\"/>
    </mc:Choice>
  </mc:AlternateContent>
  <xr:revisionPtr revIDLastSave="0" documentId="13_ncr:1_{2C7F3BBA-2581-40EC-8A65-29733D160E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PENNING" sheetId="1" r:id="rId1"/>
    <sheet name="WACC" sheetId="2" r:id="rId2"/>
    <sheet name="Story&amp;Estimates" sheetId="4" r:id="rId3"/>
    <sheet name="DCF" sheetId="6" r:id="rId4"/>
    <sheet name="latest reports" sheetId="3" r:id="rId5"/>
  </sheets>
  <definedNames>
    <definedName name="tgr">DCF!$D$11</definedName>
    <definedName name="wacc">DCF!$D$10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5" i="2" l="1"/>
  <c r="J15" i="6"/>
  <c r="J19" i="6"/>
  <c r="J27" i="6"/>
  <c r="O19" i="6"/>
  <c r="N19" i="6"/>
  <c r="M19" i="6"/>
  <c r="L19" i="6"/>
  <c r="K19" i="6"/>
  <c r="O15" i="6"/>
  <c r="N15" i="6"/>
  <c r="M15" i="6"/>
  <c r="L15" i="6"/>
  <c r="K15" i="6"/>
  <c r="K27" i="6"/>
  <c r="L27" i="6"/>
  <c r="M27" i="6"/>
  <c r="N27" i="6"/>
  <c r="O27" i="6"/>
  <c r="E162" i="4"/>
  <c r="I165" i="4" s="1"/>
  <c r="B162" i="4"/>
  <c r="C165" i="4" s="1"/>
  <c r="P147" i="4"/>
  <c r="P146" i="4"/>
  <c r="Q17" i="3"/>
  <c r="B89" i="4"/>
  <c r="C61" i="4"/>
  <c r="B58" i="4"/>
  <c r="E58" i="4"/>
  <c r="I61" i="4" s="1"/>
  <c r="R17" i="3"/>
  <c r="G139" i="4"/>
  <c r="V129" i="4" a="1"/>
  <c r="V129" i="4" s="1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44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43" i="4"/>
  <c r="C166" i="4" l="1"/>
  <c r="D166" i="4" s="1"/>
  <c r="E166" i="4" s="1"/>
  <c r="F166" i="4" s="1"/>
  <c r="G166" i="4" s="1"/>
  <c r="H166" i="4" s="1"/>
  <c r="J152" i="4"/>
  <c r="J148" i="4"/>
  <c r="J156" i="4"/>
  <c r="J151" i="4"/>
  <c r="J157" i="4"/>
  <c r="J153" i="4"/>
  <c r="J149" i="4"/>
  <c r="J145" i="4"/>
  <c r="J147" i="4"/>
  <c r="J144" i="4"/>
  <c r="J155" i="4"/>
  <c r="J158" i="4"/>
  <c r="J154" i="4"/>
  <c r="J150" i="4"/>
  <c r="J146" i="4"/>
  <c r="G125" i="4"/>
  <c r="H126" i="4" s="1"/>
  <c r="G126" i="4"/>
  <c r="H127" i="4" s="1"/>
  <c r="G127" i="4"/>
  <c r="H128" i="4" s="1"/>
  <c r="G128" i="4"/>
  <c r="H129" i="4" s="1"/>
  <c r="G129" i="4"/>
  <c r="H130" i="4" s="1"/>
  <c r="G130" i="4"/>
  <c r="H131" i="4" s="1"/>
  <c r="G131" i="4"/>
  <c r="H132" i="4" s="1"/>
  <c r="G132" i="4"/>
  <c r="H133" i="4" s="1"/>
  <c r="G133" i="4"/>
  <c r="H134" i="4" s="1"/>
  <c r="G134" i="4"/>
  <c r="H135" i="4" s="1"/>
  <c r="G135" i="4"/>
  <c r="H136" i="4" s="1"/>
  <c r="G136" i="4"/>
  <c r="H137" i="4" s="1"/>
  <c r="G137" i="4"/>
  <c r="H138" i="4" s="1"/>
  <c r="G138" i="4"/>
  <c r="H139" i="4" s="1"/>
  <c r="G124" i="4"/>
  <c r="H125" i="4" s="1"/>
  <c r="E117" i="4"/>
  <c r="B117" i="4"/>
  <c r="E89" i="4"/>
  <c r="N43" i="6"/>
  <c r="D165" i="4" l="1"/>
  <c r="E165" i="4" s="1"/>
  <c r="F165" i="4" s="1"/>
  <c r="G165" i="4" s="1"/>
  <c r="H165" i="4" s="1"/>
  <c r="D142" i="4"/>
  <c r="K36" i="6"/>
  <c r="L36" i="6"/>
  <c r="M36" i="6"/>
  <c r="N36" i="6"/>
  <c r="O36" i="6"/>
  <c r="J36" i="6"/>
  <c r="C137" i="2"/>
  <c r="D140" i="2"/>
  <c r="E140" i="2"/>
  <c r="F140" i="2"/>
  <c r="G140" i="2"/>
  <c r="H140" i="2"/>
  <c r="C140" i="2"/>
  <c r="C129" i="2"/>
  <c r="B126" i="2"/>
  <c r="E126" i="2"/>
  <c r="I17" i="6"/>
  <c r="J17" i="6" s="1"/>
  <c r="J29" i="6" s="1"/>
  <c r="J31" i="6" s="1"/>
  <c r="J21" i="6" l="1"/>
  <c r="K17" i="6"/>
  <c r="K29" i="6" l="1"/>
  <c r="K31" i="6" s="1"/>
  <c r="L17" i="6"/>
  <c r="L29" i="6" s="1"/>
  <c r="L31" i="6" s="1"/>
  <c r="M17" i="6" l="1"/>
  <c r="M29" i="6" s="1"/>
  <c r="M31" i="6" s="1"/>
  <c r="N17" i="6" l="1"/>
  <c r="N29" i="6" s="1"/>
  <c r="N31" i="6" s="1"/>
  <c r="O17" i="6" l="1"/>
  <c r="O29" i="6" s="1"/>
  <c r="O31" i="6" s="1"/>
  <c r="I120" i="4" l="1"/>
  <c r="C120" i="4"/>
  <c r="G113" i="4"/>
  <c r="I113" i="4" s="1"/>
  <c r="G99" i="4"/>
  <c r="I99" i="4" s="1"/>
  <c r="J100" i="4" s="1"/>
  <c r="G100" i="4"/>
  <c r="I100" i="4" s="1"/>
  <c r="J101" i="4" s="1"/>
  <c r="G101" i="4"/>
  <c r="I101" i="4" s="1"/>
  <c r="J102" i="4" s="1"/>
  <c r="G102" i="4"/>
  <c r="I102" i="4" s="1"/>
  <c r="J103" i="4" s="1"/>
  <c r="G103" i="4"/>
  <c r="I103" i="4" s="1"/>
  <c r="J104" i="4" s="1"/>
  <c r="G104" i="4"/>
  <c r="I104" i="4" s="1"/>
  <c r="J105" i="4" s="1"/>
  <c r="G105" i="4"/>
  <c r="I105" i="4" s="1"/>
  <c r="J106" i="4" s="1"/>
  <c r="G106" i="4"/>
  <c r="I106" i="4" s="1"/>
  <c r="J107" i="4" s="1"/>
  <c r="G107" i="4"/>
  <c r="I107" i="4" s="1"/>
  <c r="J108" i="4" s="1"/>
  <c r="G108" i="4"/>
  <c r="I108" i="4" s="1"/>
  <c r="J109" i="4" s="1"/>
  <c r="G109" i="4"/>
  <c r="I109" i="4" s="1"/>
  <c r="J110" i="4" s="1"/>
  <c r="G110" i="4"/>
  <c r="I110" i="4" s="1"/>
  <c r="J111" i="4" s="1"/>
  <c r="G111" i="4"/>
  <c r="I111" i="4" s="1"/>
  <c r="J112" i="4" s="1"/>
  <c r="G112" i="4"/>
  <c r="I112" i="4" s="1"/>
  <c r="J113" i="4" s="1"/>
  <c r="G98" i="4"/>
  <c r="I98" i="4" s="1"/>
  <c r="J99" i="4" s="1"/>
  <c r="D53" i="4"/>
  <c r="D54" i="4"/>
  <c r="C67" i="4" s="1"/>
  <c r="D67" i="4" s="1"/>
  <c r="E67" i="4" s="1"/>
  <c r="D50" i="4"/>
  <c r="E86" i="4"/>
  <c r="C92" i="4" s="1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71" i="4"/>
  <c r="I92" i="4"/>
  <c r="P70" i="1" a="1"/>
  <c r="P70" i="1" s="1"/>
  <c r="D52" i="4"/>
  <c r="D51" i="4"/>
  <c r="D49" i="4"/>
  <c r="D48" i="4"/>
  <c r="D47" i="4"/>
  <c r="D46" i="4"/>
  <c r="D45" i="4"/>
  <c r="D44" i="4"/>
  <c r="D43" i="4"/>
  <c r="D42" i="4"/>
  <c r="D41" i="4"/>
  <c r="D40" i="4"/>
  <c r="C142" i="2"/>
  <c r="C141" i="2"/>
  <c r="I129" i="2"/>
  <c r="O23" i="6" s="1"/>
  <c r="C123" i="2"/>
  <c r="D139" i="2"/>
  <c r="E139" i="2"/>
  <c r="F139" i="2"/>
  <c r="G139" i="2"/>
  <c r="H139" i="2"/>
  <c r="C139" i="2"/>
  <c r="D138" i="2"/>
  <c r="E138" i="2" s="1"/>
  <c r="F138" i="2" s="1"/>
  <c r="G138" i="2" s="1"/>
  <c r="H138" i="2" s="1"/>
  <c r="C138" i="2"/>
  <c r="D137" i="2"/>
  <c r="E137" i="2"/>
  <c r="F137" i="2"/>
  <c r="G137" i="2"/>
  <c r="H137" i="2"/>
  <c r="F67" i="4" l="1"/>
  <c r="G67" i="4" s="1"/>
  <c r="H67" i="4" s="1"/>
  <c r="I67" i="4" s="1"/>
  <c r="H39" i="4"/>
  <c r="H38" i="4"/>
  <c r="I74" i="4"/>
  <c r="I73" i="4"/>
  <c r="L111" i="4"/>
  <c r="L110" i="4"/>
  <c r="O21" i="6"/>
  <c r="O25" i="6" s="1"/>
  <c r="O35" i="6" s="1"/>
  <c r="C121" i="4"/>
  <c r="D121" i="4" s="1"/>
  <c r="E121" i="4" s="1"/>
  <c r="F121" i="4" s="1"/>
  <c r="G121" i="4" s="1"/>
  <c r="H121" i="4" s="1"/>
  <c r="C93" i="4"/>
  <c r="D93" i="4" s="1"/>
  <c r="E93" i="4" s="1"/>
  <c r="F93" i="4" s="1"/>
  <c r="G93" i="4" s="1"/>
  <c r="H93" i="4" s="1"/>
  <c r="I93" i="4" s="1"/>
  <c r="C130" i="2"/>
  <c r="D130" i="2" s="1"/>
  <c r="E130" i="2" s="1"/>
  <c r="F130" i="2" s="1"/>
  <c r="G130" i="2" s="1"/>
  <c r="H130" i="2" s="1"/>
  <c r="I130" i="2" s="1"/>
  <c r="D61" i="4" l="1"/>
  <c r="E61" i="4" s="1"/>
  <c r="F61" i="4" s="1"/>
  <c r="G61" i="4" s="1"/>
  <c r="H61" i="4" s="1"/>
  <c r="O37" i="6"/>
  <c r="N40" i="6" s="1"/>
  <c r="N41" i="6" s="1"/>
  <c r="D120" i="4"/>
  <c r="E120" i="4" s="1"/>
  <c r="F120" i="4" s="1"/>
  <c r="G120" i="4" s="1"/>
  <c r="H120" i="4" s="1"/>
  <c r="D92" i="4"/>
  <c r="D129" i="2"/>
  <c r="E92" i="4" l="1"/>
  <c r="E129" i="2"/>
  <c r="J23" i="6"/>
  <c r="D141" i="2"/>
  <c r="I84" i="2"/>
  <c r="C85" i="2" s="1"/>
  <c r="D85" i="2" s="1"/>
  <c r="E85" i="2" s="1"/>
  <c r="F85" i="2" s="1"/>
  <c r="G85" i="2" s="1"/>
  <c r="H85" i="2" s="1"/>
  <c r="I85" i="2" s="1"/>
  <c r="C84" i="2"/>
  <c r="C56" i="2"/>
  <c r="I55" i="2"/>
  <c r="D74" i="1"/>
  <c r="D75" i="1"/>
  <c r="D76" i="1"/>
  <c r="D77" i="1"/>
  <c r="D78" i="1"/>
  <c r="D79" i="1"/>
  <c r="D80" i="1"/>
  <c r="D81" i="1"/>
  <c r="D82" i="1"/>
  <c r="D83" i="1"/>
  <c r="D84" i="1"/>
  <c r="D85" i="1"/>
  <c r="D73" i="1"/>
  <c r="J25" i="6" l="1"/>
  <c r="J35" i="6" s="1"/>
  <c r="F92" i="4"/>
  <c r="F129" i="2"/>
  <c r="K23" i="6"/>
  <c r="E141" i="2"/>
  <c r="D84" i="2"/>
  <c r="E84" i="2" s="1"/>
  <c r="F84" i="2" s="1"/>
  <c r="G84" i="2" s="1"/>
  <c r="H84" i="2" s="1"/>
  <c r="G92" i="4" l="1"/>
  <c r="K21" i="6"/>
  <c r="K25" i="6" s="1"/>
  <c r="K35" i="6" s="1"/>
  <c r="G129" i="2"/>
  <c r="L23" i="6"/>
  <c r="F141" i="2"/>
  <c r="J37" i="6"/>
  <c r="C59" i="2"/>
  <c r="C61" i="2" s="1"/>
  <c r="K37" i="6" l="1"/>
  <c r="L21" i="6"/>
  <c r="L25" i="6" s="1"/>
  <c r="L35" i="6" s="1"/>
  <c r="H92" i="4"/>
  <c r="H129" i="2"/>
  <c r="M23" i="6"/>
  <c r="G141" i="2"/>
  <c r="C109" i="2"/>
  <c r="C110" i="2" s="1"/>
  <c r="D100" i="2"/>
  <c r="D101" i="2" s="1"/>
  <c r="B81" i="2"/>
  <c r="E81" i="2"/>
  <c r="R109" i="2" s="1"/>
  <c r="H75" i="2"/>
  <c r="D48" i="2"/>
  <c r="D46" i="2"/>
  <c r="C46" i="2"/>
  <c r="F11" i="2"/>
  <c r="B11" i="2"/>
  <c r="F39" i="2"/>
  <c r="B39" i="2"/>
  <c r="C48" i="2" s="1"/>
  <c r="F24" i="2"/>
  <c r="D47" i="2" s="1"/>
  <c r="B24" i="2"/>
  <c r="C47" i="2" s="1"/>
  <c r="L37" i="6" l="1"/>
  <c r="M21" i="6"/>
  <c r="M25" i="6" s="1"/>
  <c r="M35" i="6" s="1"/>
  <c r="N21" i="6"/>
  <c r="N23" i="6"/>
  <c r="H141" i="2"/>
  <c r="R110" i="2"/>
  <c r="D106" i="2"/>
  <c r="E106" i="2" s="1"/>
  <c r="F106" i="2" s="1"/>
  <c r="G106" i="2" s="1"/>
  <c r="H106" i="2" s="1"/>
  <c r="I106" i="2" s="1"/>
  <c r="J106" i="2" s="1"/>
  <c r="K106" i="2" s="1"/>
  <c r="L106" i="2" s="1"/>
  <c r="M106" i="2" s="1"/>
  <c r="N106" i="2" s="1"/>
  <c r="O106" i="2" s="1"/>
  <c r="P106" i="2" s="1"/>
  <c r="Q106" i="2" s="1"/>
  <c r="D49" i="2"/>
  <c r="E52" i="2" s="1"/>
  <c r="C49" i="2"/>
  <c r="B52" i="2" s="1"/>
  <c r="C55" i="2" s="1"/>
  <c r="M37" i="6" l="1"/>
  <c r="N25" i="6"/>
  <c r="N35" i="6" s="1"/>
  <c r="D56" i="2"/>
  <c r="E56" i="2" s="1"/>
  <c r="F56" i="2" s="1"/>
  <c r="G56" i="2" s="1"/>
  <c r="H56" i="2" s="1"/>
  <c r="I56" i="2" s="1"/>
  <c r="M56" i="2" s="1"/>
  <c r="D109" i="2"/>
  <c r="N37" i="6" l="1"/>
  <c r="J38" i="6" s="1"/>
  <c r="N42" i="6" s="1"/>
  <c r="N45" i="6" s="1"/>
  <c r="N47" i="6" s="1"/>
  <c r="D55" i="2"/>
  <c r="E55" i="2" s="1"/>
  <c r="F55" i="2" s="1"/>
  <c r="G55" i="2" s="1"/>
  <c r="H55" i="2" s="1"/>
  <c r="E109" i="2"/>
  <c r="D110" i="2"/>
  <c r="N49" i="6" l="1"/>
  <c r="E110" i="2"/>
  <c r="F109" i="2"/>
  <c r="F110" i="2" l="1"/>
  <c r="G109" i="2"/>
  <c r="G110" i="2" l="1"/>
  <c r="H109" i="2"/>
  <c r="H110" i="2" l="1"/>
  <c r="I109" i="2"/>
  <c r="I110" i="2" l="1"/>
  <c r="J109" i="2"/>
  <c r="J110" i="2" l="1"/>
  <c r="K109" i="2"/>
  <c r="K110" i="2" l="1"/>
  <c r="L109" i="2"/>
  <c r="L110" i="2" l="1"/>
  <c r="M109" i="2"/>
  <c r="M110" i="2" l="1"/>
  <c r="N109" i="2"/>
  <c r="N110" i="2" l="1"/>
  <c r="O109" i="2"/>
  <c r="O110" i="2" l="1"/>
  <c r="P109" i="2"/>
  <c r="P110" i="2" l="1"/>
  <c r="Q109" i="2"/>
  <c r="Q110" i="2" s="1"/>
  <c r="C112" i="2" s="1"/>
  <c r="C114" i="2" s="1"/>
  <c r="C144" i="2" l="1"/>
  <c r="C143" i="2"/>
  <c r="D142" i="2"/>
  <c r="D143" i="2" l="1"/>
  <c r="E142" i="2"/>
  <c r="D144" i="2"/>
  <c r="D145" i="2" s="1"/>
  <c r="F142" i="2" l="1"/>
  <c r="E143" i="2"/>
  <c r="E144" i="2"/>
  <c r="E145" i="2" l="1"/>
  <c r="G142" i="2"/>
  <c r="F144" i="2"/>
  <c r="F143" i="2"/>
  <c r="F145" i="2" s="1"/>
  <c r="H142" i="2" l="1"/>
  <c r="G144" i="2"/>
  <c r="G143" i="2"/>
  <c r="G145" i="2" l="1"/>
  <c r="H143" i="2"/>
  <c r="H144" i="2"/>
  <c r="H14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<sst xmlns="http://schemas.openxmlformats.org/spreadsheetml/2006/main" count="212" uniqueCount="149">
  <si>
    <t>VIRCO Valuation</t>
  </si>
  <si>
    <t>made by roi dayan</t>
  </si>
  <si>
    <t>start date: 03/07/24</t>
  </si>
  <si>
    <t>end date:</t>
  </si>
  <si>
    <t>date format: day/month/year</t>
  </si>
  <si>
    <t>model: Discounted Cash Flow</t>
  </si>
  <si>
    <t>risk free rate</t>
  </si>
  <si>
    <t>main products</t>
  </si>
  <si>
    <t>students tables</t>
  </si>
  <si>
    <t>school tables</t>
  </si>
  <si>
    <t>computer stations</t>
  </si>
  <si>
    <t>light weight folding table</t>
  </si>
  <si>
    <t>chairs</t>
  </si>
  <si>
    <t xml:space="preserve">The principal products of the company include student desks and activity tables, school and office </t>
  </si>
  <si>
    <r>
      <t>"he </t>
    </r>
    <r>
      <rPr>
        <b/>
        <sz val="11"/>
        <color rgb="FF202122"/>
        <rFont val="Times New Roman"/>
        <family val="1"/>
      </rPr>
      <t>Virco Manufacturing Corporation</t>
    </r>
    <r>
      <rPr>
        <sz val="11"/>
        <color rgb="FF202122"/>
        <rFont val="Times New Roman"/>
        <family val="1"/>
      </rPr>
      <t>, more commonly known as </t>
    </r>
    <r>
      <rPr>
        <b/>
        <sz val="11"/>
        <color rgb="FF202122"/>
        <rFont val="Times New Roman"/>
        <family val="1"/>
      </rPr>
      <t>Virco</t>
    </r>
    <r>
      <rPr>
        <sz val="11"/>
        <color rgb="FF202122"/>
        <rFont val="Times New Roman"/>
        <family val="1"/>
      </rPr>
      <t>, is an American furniture manufacturer based in </t>
    </r>
    <r>
      <rPr>
        <sz val="11"/>
        <color theme="1"/>
        <rFont val="Times New Roman"/>
        <family val="1"/>
      </rPr>
      <t>Torrance, California</t>
    </r>
    <r>
      <rPr>
        <sz val="11"/>
        <color rgb="FF202122"/>
        <rFont val="Times New Roman"/>
        <family val="1"/>
      </rPr>
      <t xml:space="preserve"> which focuses on providing products for educational markets. </t>
    </r>
  </si>
  <si>
    <t>seating, computer stations, lightweight folding tables, and upholstered chairs"</t>
  </si>
  <si>
    <t>source from wikipedia</t>
  </si>
  <si>
    <t>EQUITY</t>
  </si>
  <si>
    <t>current us 30y bond:</t>
  </si>
  <si>
    <t>major risks from 2024 10k report:</t>
  </si>
  <si>
    <t xml:space="preserve">Our product sales are significantly affected by education funding, which is a function of tax revenues and general economic conditions. </t>
  </si>
  <si>
    <t>If the economy weakens, funding for education may fail to improve or decrease, which would adversely affect our business and results of operations</t>
  </si>
  <si>
    <t>The majority of our sales are priced through one contract, under which we are the exclusive supplier of classroom furniture</t>
  </si>
  <si>
    <t>the firm is effected by steel, plastic, and other raw materials, transportation, and energy prices</t>
  </si>
  <si>
    <t>equity risk premium</t>
  </si>
  <si>
    <t>the firm didn’t specify revenues by country/region</t>
  </si>
  <si>
    <t>but from reading the annual report, she mainly of not souly operate and sell in the us.</t>
  </si>
  <si>
    <t>current equity risk premium:</t>
  </si>
  <si>
    <t>historical average equity risk premium:</t>
  </si>
  <si>
    <t>year</t>
  </si>
  <si>
    <t>current</t>
  </si>
  <si>
    <t>terminal</t>
  </si>
  <si>
    <t>cost of equity</t>
  </si>
  <si>
    <t>Equity Risk Premium Assumption</t>
  </si>
  <si>
    <t>beta</t>
  </si>
  <si>
    <t>current 5y regression beta:</t>
  </si>
  <si>
    <t>average market industry unlevered beta:</t>
  </si>
  <si>
    <t>average us 30y bond:</t>
  </si>
  <si>
    <t>beta Assumption</t>
  </si>
  <si>
    <t>risk free rate Assumption</t>
  </si>
  <si>
    <t>cost of equity Assumption</t>
  </si>
  <si>
    <t>DEBT</t>
  </si>
  <si>
    <t>cost of debt = rf + x*country default risk + company default risk</t>
  </si>
  <si>
    <r>
      <rPr>
        <b/>
        <sz val="11"/>
        <color rgb="FF000000"/>
        <rFont val="Times New Roman"/>
        <family val="1"/>
      </rPr>
      <t xml:space="preserve">x = 0; </t>
    </r>
    <r>
      <rPr>
        <sz val="11"/>
        <color rgb="FF000000"/>
        <rFont val="Times New Roman"/>
        <family val="1"/>
      </rPr>
      <t xml:space="preserve"> the usa has a default risk of 0%</t>
    </r>
  </si>
  <si>
    <t xml:space="preserve">cost of debt = rf+company default risk </t>
  </si>
  <si>
    <t>virco has no bonds outstanding</t>
  </si>
  <si>
    <t>spread =</t>
  </si>
  <si>
    <t>cost of debt Assumption</t>
  </si>
  <si>
    <t>interest coverage ratio = operating income/interest expenses = 2971/208 =</t>
  </si>
  <si>
    <t>cost of debt</t>
  </si>
  <si>
    <t>market value of debt</t>
  </si>
  <si>
    <t>thereafter</t>
  </si>
  <si>
    <t>average year debt due:</t>
  </si>
  <si>
    <t>thereafter/average year debt due =</t>
  </si>
  <si>
    <t>we will round it to 11 years</t>
  </si>
  <si>
    <t>2025 - 2029 + 11 years = 16 years until all debt is paayed</t>
  </si>
  <si>
    <t>interest exp</t>
  </si>
  <si>
    <t>present value</t>
  </si>
  <si>
    <t>total:</t>
  </si>
  <si>
    <t>in thousands</t>
  </si>
  <si>
    <t>total debt:</t>
  </si>
  <si>
    <t>market value of debt:</t>
  </si>
  <si>
    <t>market value of equity</t>
  </si>
  <si>
    <t>price per share:</t>
  </si>
  <si>
    <t>shares outstanding:</t>
  </si>
  <si>
    <t>market value of equity:</t>
  </si>
  <si>
    <t>thousands</t>
  </si>
  <si>
    <t>WACC</t>
  </si>
  <si>
    <t>YEAR</t>
  </si>
  <si>
    <t>revenues</t>
  </si>
  <si>
    <t>growth rate</t>
  </si>
  <si>
    <t>tax rate</t>
  </si>
  <si>
    <t>period</t>
  </si>
  <si>
    <t>after tax cost of debt</t>
  </si>
  <si>
    <t>debt porion of capital</t>
  </si>
  <si>
    <t>equity portion of capital</t>
  </si>
  <si>
    <t>cost of capital (WACC)</t>
  </si>
  <si>
    <t>Tax rate</t>
  </si>
  <si>
    <t>effective tax rate</t>
  </si>
  <si>
    <t>marginal tax rate</t>
  </si>
  <si>
    <t>us coroprate marginal tax rate:</t>
  </si>
  <si>
    <t>current virco's effective tax rate:</t>
  </si>
  <si>
    <t>731/2871</t>
  </si>
  <si>
    <t>tax rate Assumption</t>
  </si>
  <si>
    <t>tax rate assumption Assumption</t>
  </si>
  <si>
    <t>Story</t>
  </si>
  <si>
    <r>
      <rPr>
        <b/>
        <sz val="11"/>
        <color theme="1"/>
        <rFont val="Times New Roman"/>
        <family val="1"/>
      </rPr>
      <t>by story 1</t>
    </r>
    <r>
      <rPr>
        <sz val="11"/>
        <color theme="1"/>
        <rFont val="Times New Roman"/>
        <family val="1"/>
      </rPr>
      <t>, the firm managed to rebound, but she is not a young company and the industry as well is a slowing one, in few years she will become mature.</t>
    </r>
  </si>
  <si>
    <t>in the upcoming years, margins will get higher torwards industry average, growth will slow down, and reinvestment as well.</t>
  </si>
  <si>
    <t>median growth rate:</t>
  </si>
  <si>
    <t>average growth rate:</t>
  </si>
  <si>
    <t>growth rates</t>
  </si>
  <si>
    <t>operating margins</t>
  </si>
  <si>
    <t>operating inc</t>
  </si>
  <si>
    <t>average</t>
  </si>
  <si>
    <t>median</t>
  </si>
  <si>
    <t>average industry</t>
  </si>
  <si>
    <t>Operating margin Assumption</t>
  </si>
  <si>
    <t>operating margin</t>
  </si>
  <si>
    <t>reinvestment</t>
  </si>
  <si>
    <t>rev</t>
  </si>
  <si>
    <t>cash</t>
  </si>
  <si>
    <t>current assets</t>
  </si>
  <si>
    <t>current liab</t>
  </si>
  <si>
    <t>non cash wc</t>
  </si>
  <si>
    <t>chg in pp&amp;e</t>
  </si>
  <si>
    <t>reinvestment rate</t>
  </si>
  <si>
    <t>reinvestment rate Assumption</t>
  </si>
  <si>
    <t>% gain (loss)</t>
  </si>
  <si>
    <t>current price</t>
  </si>
  <si>
    <t>Fair Share Price</t>
  </si>
  <si>
    <t>Shares</t>
  </si>
  <si>
    <t>Equity Value</t>
  </si>
  <si>
    <t>- Debt</t>
  </si>
  <si>
    <t>+ Cash</t>
  </si>
  <si>
    <t>Enterprise Value</t>
  </si>
  <si>
    <t>Present Value of Terminal Value</t>
  </si>
  <si>
    <t>Terminal Value</t>
  </si>
  <si>
    <t>stable growth rate =</t>
  </si>
  <si>
    <t>TOTAL =</t>
  </si>
  <si>
    <t>Present Value of FCFF</t>
  </si>
  <si>
    <t>Unlevered FCFF</t>
  </si>
  <si>
    <t>FCFF</t>
  </si>
  <si>
    <t>EBIT after tax</t>
  </si>
  <si>
    <t>EBIT</t>
  </si>
  <si>
    <t>Operating margins</t>
  </si>
  <si>
    <t>Revenues</t>
  </si>
  <si>
    <t>Growth rate</t>
  </si>
  <si>
    <t>fiscal 2024</t>
  </si>
  <si>
    <t>DCF</t>
  </si>
  <si>
    <t>x</t>
  </si>
  <si>
    <t>Date</t>
  </si>
  <si>
    <t>current year:</t>
  </si>
  <si>
    <t>Ticker</t>
  </si>
  <si>
    <t>scenerio 1</t>
  </si>
  <si>
    <t xml:space="preserve">     SBUX</t>
  </si>
  <si>
    <t>VIRC</t>
  </si>
  <si>
    <t>total equity</t>
  </si>
  <si>
    <t>total debt</t>
  </si>
  <si>
    <t>invested cap</t>
  </si>
  <si>
    <t>sales to capital ratio</t>
  </si>
  <si>
    <t>chg in rev</t>
  </si>
  <si>
    <t>stic ratio</t>
  </si>
  <si>
    <t>chg in op imc</t>
  </si>
  <si>
    <t>growth rate Assumption</t>
  </si>
  <si>
    <t>terminal growth rate Assumption</t>
  </si>
  <si>
    <t>current year growh: 16.45%</t>
  </si>
  <si>
    <t>RTIC Assumption</t>
  </si>
  <si>
    <t>RTIC</t>
  </si>
  <si>
    <t>current revenues to invested capital ratio = 3.32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</si>
</sst>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 * #,##0.00_ ;_ * \-#,##0.00_ ;_ * &quot;-&quot;??_ ;_ @_ "/>
    <numFmt numFmtId="164" formatCode="0.000%"/>
    <numFmt numFmtId="165" formatCode="0.0%"/>
    <numFmt numFmtId="166" formatCode="_-[$$-409]* #,##0.00_ ;_-[$$-409]* \-#,##0.00\ ;_-[$$-409]* &quot;-&quot;??_ ;_-@_ "/>
    <numFmt numFmtId="167" formatCode="_-[$$-409]* #,##0_ ;_-[$$-409]* \-#,##0\ ;_-[$$-409]* &quot;-&quot;??_ ;_-@_ "/>
    <numFmt numFmtId="168" formatCode="_ * #,##0_ ;_ * \-#,##0_ ;_ * &quot;-&quot;??_ ;_ @_ "/>
    <numFmt numFmtId="169" formatCode="_-[$$-409]* #,##0.0000_ ;_-[$$-409]* \-#,##0.0000\ ;_-[$$-409]* &quot;-&quot;??_ ;_-@_ "/>
    <numFmt numFmtId="170" formatCode="_-[$$-409]* #,##0.0_ ;_-[$$-409]* \-#,##0.0\ ;_-[$$-409]* &quot;-&quot;??_ ;_-@_ "/>
    <numFmt numFmtId="171" formatCode="_([$$-409]* #,##0.00_);_([$$-409]* \(#,##0.00\);_([$$-409]* &quot;-&quot;??_);_(@_)"/>
    <numFmt numFmtId="172" formatCode="&quot;$&quot;#,##0"/>
    <numFmt numFmtId="173" formatCode="0.00000%"/>
    <numFmt numFmtId="174" formatCode="&quot;$&quot;#,##0_);[Red]\(&quot;$&quot;#,##0\)"/>
    <numFmt numFmtId="175" formatCode="&quot;$&quot;#,##0.00"/>
  </numFmts>
  <fonts count="36" x14ac:knownFonts="1">
    <font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rgb="FF202122"/>
      <name val="Times New Roman"/>
      <family val="1"/>
    </font>
    <font>
      <b/>
      <sz val="11"/>
      <color rgb="FF202122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1"/>
      <color rgb="FF444444"/>
      <name val="Roboto"/>
    </font>
    <font>
      <sz val="11"/>
      <name val="Roboto"/>
    </font>
    <font>
      <b/>
      <sz val="11"/>
      <color theme="1"/>
      <name val="Times New Roman"/>
      <family val="1"/>
    </font>
    <font>
      <sz val="11"/>
      <color theme="1"/>
      <name val="Calibri Light"/>
      <family val="1"/>
      <scheme val="major"/>
    </font>
    <font>
      <b/>
      <sz val="11"/>
      <color rgb="FF00B050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11"/>
      <color rgb="FF00B050"/>
      <name val="Times New Roman"/>
      <family val="1"/>
    </font>
    <font>
      <b/>
      <sz val="11"/>
      <name val="Times New Roman"/>
      <family val="1"/>
    </font>
    <font>
      <sz val="11"/>
      <color rgb="FF00B050"/>
      <name val="Times New Roman"/>
      <family val="1"/>
    </font>
    <font>
      <sz val="11"/>
      <color rgb="FF7030A0"/>
      <name val="Times New Roman"/>
      <family val="1"/>
    </font>
    <font>
      <sz val="11"/>
      <color rgb="FFFF0000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B050"/>
      <name val="Times New Roman"/>
      <family val="1"/>
    </font>
    <font>
      <b/>
      <sz val="11"/>
      <color theme="0"/>
      <name val="Times New Roman"/>
      <family val="1"/>
    </font>
    <font>
      <sz val="11"/>
      <color rgb="FF00B050"/>
      <name val="Calibri Light"/>
      <family val="1"/>
      <scheme val="major"/>
    </font>
    <font>
      <sz val="11"/>
      <name val="Calibri Light"/>
      <family val="1"/>
      <scheme val="major"/>
    </font>
    <font>
      <sz val="11"/>
      <color rgb="FFFF0000"/>
      <name val="Calibri Light"/>
      <family val="1"/>
      <scheme val="major"/>
    </font>
    <font>
      <b/>
      <sz val="11"/>
      <color theme="0"/>
      <name val="Calibri Light"/>
      <family val="1"/>
      <scheme val="major"/>
    </font>
    <font>
      <sz val="11"/>
      <name val="Calibri"/>
      <family val="2"/>
      <scheme val="minor"/>
    </font>
    <font>
      <b/>
      <sz val="14"/>
      <color rgb="FF00B050"/>
      <name val="Times New Roman"/>
      <family val="1"/>
    </font>
    <font>
      <b/>
      <sz val="16"/>
      <color theme="1"/>
      <name val="Times New Roman"/>
      <family val="1"/>
    </font>
    <font>
      <sz val="11"/>
      <color theme="0"/>
      <name val="Calibri"/>
      <family val="2"/>
      <scheme val="minor"/>
    </font>
    <font>
      <i/>
      <sz val="11"/>
      <color theme="0"/>
      <name val="Times New Roman"/>
      <family val="1"/>
    </font>
    <font>
      <sz val="11"/>
      <color theme="0"/>
      <name val="Calibri Light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9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0" fontId="2" fillId="0" borderId="0" xfId="0" applyNumberFormat="1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10" fontId="2" fillId="0" borderId="1" xfId="0" applyNumberFormat="1" applyFont="1" applyBorder="1"/>
    <xf numFmtId="0" fontId="7" fillId="0" borderId="0" xfId="0" applyFont="1"/>
    <xf numFmtId="9" fontId="2" fillId="0" borderId="0" xfId="0" applyNumberFormat="1" applyFont="1"/>
    <xf numFmtId="9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165" fontId="2" fillId="0" borderId="4" xfId="0" applyNumberFormat="1" applyFont="1" applyBorder="1"/>
    <xf numFmtId="165" fontId="2" fillId="0" borderId="5" xfId="0" applyNumberFormat="1" applyFont="1" applyBorder="1"/>
    <xf numFmtId="0" fontId="9" fillId="0" borderId="0" xfId="0" applyFont="1"/>
    <xf numFmtId="0" fontId="8" fillId="0" borderId="0" xfId="0" applyFont="1"/>
    <xf numFmtId="166" fontId="2" fillId="0" borderId="0" xfId="0" applyNumberFormat="1" applyFont="1"/>
    <xf numFmtId="167" fontId="2" fillId="0" borderId="0" xfId="0" applyNumberFormat="1" applyFont="1"/>
    <xf numFmtId="0" fontId="7" fillId="2" borderId="0" xfId="0" applyFont="1" applyFill="1"/>
    <xf numFmtId="0" fontId="10" fillId="0" borderId="0" xfId="0" applyFont="1"/>
    <xf numFmtId="0" fontId="11" fillId="0" borderId="0" xfId="0" applyFont="1"/>
    <xf numFmtId="166" fontId="10" fillId="0" borderId="0" xfId="0" applyNumberFormat="1" applyFont="1"/>
    <xf numFmtId="43" fontId="10" fillId="0" borderId="0" xfId="1" applyFont="1"/>
    <xf numFmtId="168" fontId="10" fillId="0" borderId="0" xfId="1" applyNumberFormat="1" applyFont="1"/>
    <xf numFmtId="0" fontId="10" fillId="0" borderId="6" xfId="0" applyFont="1" applyBorder="1"/>
    <xf numFmtId="166" fontId="10" fillId="0" borderId="6" xfId="0" applyNumberFormat="1" applyFont="1" applyBorder="1"/>
    <xf numFmtId="0" fontId="2" fillId="0" borderId="6" xfId="0" applyFont="1" applyBorder="1"/>
    <xf numFmtId="0" fontId="12" fillId="3" borderId="7" xfId="0" applyFont="1" applyFill="1" applyBorder="1" applyAlignment="1">
      <alignment horizontal="center" vertical="center" wrapText="1"/>
    </xf>
    <xf numFmtId="10" fontId="13" fillId="3" borderId="0" xfId="2" applyNumberFormat="1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166" fontId="2" fillId="0" borderId="1" xfId="0" applyNumberFormat="1" applyFont="1" applyBorder="1"/>
    <xf numFmtId="164" fontId="2" fillId="0" borderId="1" xfId="2" applyNumberFormat="1" applyFont="1" applyBorder="1"/>
    <xf numFmtId="10" fontId="2" fillId="0" borderId="1" xfId="2" applyNumberFormat="1" applyFont="1" applyBorder="1"/>
    <xf numFmtId="169" fontId="2" fillId="0" borderId="1" xfId="0" applyNumberFormat="1" applyFont="1" applyBorder="1"/>
    <xf numFmtId="10" fontId="2" fillId="0" borderId="2" xfId="2" applyNumberFormat="1" applyFont="1" applyBorder="1"/>
    <xf numFmtId="0" fontId="2" fillId="5" borderId="8" xfId="0" applyFont="1" applyFill="1" applyBorder="1"/>
    <xf numFmtId="10" fontId="2" fillId="4" borderId="4" xfId="0" applyNumberFormat="1" applyFont="1" applyFill="1" applyBorder="1"/>
    <xf numFmtId="9" fontId="2" fillId="0" borderId="0" xfId="2" applyFont="1" applyBorder="1"/>
    <xf numFmtId="164" fontId="2" fillId="0" borderId="0" xfId="2" applyNumberFormat="1" applyFont="1" applyBorder="1"/>
    <xf numFmtId="169" fontId="2" fillId="0" borderId="0" xfId="0" applyNumberFormat="1" applyFont="1"/>
    <xf numFmtId="10" fontId="2" fillId="0" borderId="0" xfId="2" applyNumberFormat="1" applyFont="1" applyBorder="1"/>
    <xf numFmtId="10" fontId="2" fillId="2" borderId="0" xfId="0" applyNumberFormat="1" applyFont="1" applyFill="1"/>
    <xf numFmtId="0" fontId="2" fillId="2" borderId="0" xfId="0" applyFont="1" applyFill="1"/>
    <xf numFmtId="169" fontId="2" fillId="2" borderId="1" xfId="0" applyNumberFormat="1" applyFont="1" applyFill="1" applyBorder="1"/>
    <xf numFmtId="10" fontId="2" fillId="2" borderId="1" xfId="2" applyNumberFormat="1" applyFont="1" applyFill="1" applyBorder="1"/>
    <xf numFmtId="10" fontId="2" fillId="2" borderId="1" xfId="0" applyNumberFormat="1" applyFont="1" applyFill="1" applyBorder="1"/>
    <xf numFmtId="166" fontId="2" fillId="2" borderId="1" xfId="0" applyNumberFormat="1" applyFont="1" applyFill="1" applyBorder="1"/>
    <xf numFmtId="164" fontId="2" fillId="2" borderId="1" xfId="2" applyNumberFormat="1" applyFont="1" applyFill="1" applyBorder="1"/>
    <xf numFmtId="10" fontId="2" fillId="2" borderId="2" xfId="2" applyNumberFormat="1" applyFont="1" applyFill="1" applyBorder="1"/>
    <xf numFmtId="10" fontId="2" fillId="0" borderId="0" xfId="2" applyNumberFormat="1" applyFont="1"/>
    <xf numFmtId="9" fontId="10" fillId="0" borderId="1" xfId="2" applyFont="1" applyBorder="1"/>
    <xf numFmtId="10" fontId="2" fillId="4" borderId="5" xfId="0" applyNumberFormat="1" applyFont="1" applyFill="1" applyBorder="1"/>
    <xf numFmtId="9" fontId="2" fillId="0" borderId="0" xfId="2" applyFont="1"/>
    <xf numFmtId="10" fontId="10" fillId="3" borderId="0" xfId="2" applyNumberFormat="1" applyFont="1" applyFill="1" applyBorder="1" applyAlignment="1">
      <alignment horizontal="center" vertical="center" wrapText="1"/>
    </xf>
    <xf numFmtId="165" fontId="2" fillId="0" borderId="0" xfId="2" applyNumberFormat="1" applyFont="1"/>
    <xf numFmtId="0" fontId="2" fillId="4" borderId="0" xfId="0" applyFont="1" applyFill="1"/>
    <xf numFmtId="0" fontId="12" fillId="3" borderId="7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65" fontId="2" fillId="0" borderId="0" xfId="0" applyNumberFormat="1" applyFont="1"/>
    <xf numFmtId="0" fontId="0" fillId="2" borderId="0" xfId="0" applyFill="1"/>
    <xf numFmtId="0" fontId="15" fillId="2" borderId="0" xfId="0" applyFont="1" applyFill="1"/>
    <xf numFmtId="0" fontId="15" fillId="0" borderId="0" xfId="0" applyFont="1"/>
    <xf numFmtId="10" fontId="16" fillId="2" borderId="0" xfId="2" applyNumberFormat="1" applyFont="1" applyFill="1" applyBorder="1"/>
    <xf numFmtId="166" fontId="20" fillId="2" borderId="0" xfId="0" applyNumberFormat="1" applyFont="1" applyFill="1"/>
    <xf numFmtId="0" fontId="25" fillId="2" borderId="0" xfId="0" applyFont="1" applyFill="1" applyAlignment="1">
      <alignment horizontal="center" vertical="center"/>
    </xf>
    <xf numFmtId="0" fontId="25" fillId="2" borderId="0" xfId="0" applyFont="1" applyFill="1"/>
    <xf numFmtId="0" fontId="14" fillId="0" borderId="0" xfId="0" applyFont="1"/>
    <xf numFmtId="171" fontId="18" fillId="0" borderId="0" xfId="0" applyNumberFormat="1" applyFont="1"/>
    <xf numFmtId="4" fontId="2" fillId="0" borderId="0" xfId="0" applyNumberFormat="1" applyFont="1"/>
    <xf numFmtId="0" fontId="2" fillId="0" borderId="10" xfId="0" applyFont="1" applyBorder="1"/>
    <xf numFmtId="37" fontId="19" fillId="0" borderId="0" xfId="0" applyNumberFormat="1" applyFont="1"/>
    <xf numFmtId="0" fontId="2" fillId="0" borderId="10" xfId="0" quotePrefix="1" applyFont="1" applyBorder="1"/>
    <xf numFmtId="0" fontId="2" fillId="0" borderId="0" xfId="0" quotePrefix="1" applyFont="1"/>
    <xf numFmtId="166" fontId="19" fillId="0" borderId="0" xfId="0" applyNumberFormat="1" applyFont="1"/>
    <xf numFmtId="166" fontId="10" fillId="0" borderId="10" xfId="0" applyNumberFormat="1" applyFont="1" applyBorder="1"/>
    <xf numFmtId="14" fontId="2" fillId="0" borderId="0" xfId="0" applyNumberFormat="1" applyFont="1"/>
    <xf numFmtId="10" fontId="18" fillId="0" borderId="0" xfId="0" applyNumberFormat="1" applyFont="1"/>
    <xf numFmtId="166" fontId="2" fillId="0" borderId="11" xfId="0" applyNumberFormat="1" applyFont="1" applyBorder="1"/>
    <xf numFmtId="0" fontId="14" fillId="0" borderId="12" xfId="0" applyFont="1" applyBorder="1"/>
    <xf numFmtId="166" fontId="20" fillId="0" borderId="1" xfId="0" applyNumberFormat="1" applyFont="1" applyBorder="1"/>
    <xf numFmtId="0" fontId="14" fillId="0" borderId="1" xfId="0" applyFont="1" applyBorder="1"/>
    <xf numFmtId="164" fontId="14" fillId="2" borderId="1" xfId="2" applyNumberFormat="1" applyFont="1" applyFill="1" applyBorder="1" applyAlignment="1"/>
    <xf numFmtId="166" fontId="21" fillId="0" borderId="0" xfId="0" applyNumberFormat="1" applyFont="1"/>
    <xf numFmtId="166" fontId="20" fillId="0" borderId="0" xfId="0" applyNumberFormat="1" applyFont="1"/>
    <xf numFmtId="0" fontId="10" fillId="0" borderId="0" xfId="0" applyFont="1" applyAlignment="1">
      <alignment horizontal="center" vertical="center"/>
    </xf>
    <xf numFmtId="166" fontId="21" fillId="0" borderId="15" xfId="0" applyNumberFormat="1" applyFont="1" applyBorder="1"/>
    <xf numFmtId="166" fontId="22" fillId="0" borderId="0" xfId="0" applyNumberFormat="1" applyFont="1"/>
    <xf numFmtId="2" fontId="2" fillId="0" borderId="0" xfId="0" applyNumberFormat="1" applyFont="1"/>
    <xf numFmtId="166" fontId="20" fillId="0" borderId="15" xfId="0" applyNumberFormat="1" applyFont="1" applyBorder="1"/>
    <xf numFmtId="166" fontId="14" fillId="0" borderId="0" xfId="0" applyNumberFormat="1" applyFont="1"/>
    <xf numFmtId="0" fontId="2" fillId="0" borderId="15" xfId="0" applyFont="1" applyBorder="1"/>
    <xf numFmtId="9" fontId="2" fillId="0" borderId="15" xfId="0" applyNumberFormat="1" applyFont="1" applyBorder="1"/>
    <xf numFmtId="166" fontId="24" fillId="0" borderId="0" xfId="2" applyNumberFormat="1" applyFont="1" applyFill="1" applyBorder="1"/>
    <xf numFmtId="166" fontId="24" fillId="0" borderId="15" xfId="2" applyNumberFormat="1" applyFont="1" applyBorder="1"/>
    <xf numFmtId="165" fontId="23" fillId="0" borderId="0" xfId="2" applyNumberFormat="1" applyFont="1"/>
    <xf numFmtId="0" fontId="23" fillId="0" borderId="0" xfId="0" applyFont="1"/>
    <xf numFmtId="166" fontId="20" fillId="0" borderId="16" xfId="0" applyNumberFormat="1" applyFont="1" applyBorder="1"/>
    <xf numFmtId="3" fontId="21" fillId="0" borderId="0" xfId="0" applyNumberFormat="1" applyFont="1"/>
    <xf numFmtId="0" fontId="20" fillId="0" borderId="0" xfId="0" applyFont="1"/>
    <xf numFmtId="10" fontId="20" fillId="0" borderId="0" xfId="2" applyNumberFormat="1" applyFont="1"/>
    <xf numFmtId="10" fontId="20" fillId="0" borderId="15" xfId="2" applyNumberFormat="1" applyFont="1" applyBorder="1"/>
    <xf numFmtId="170" fontId="20" fillId="0" borderId="0" xfId="0" applyNumberFormat="1" applyFont="1"/>
    <xf numFmtId="10" fontId="23" fillId="0" borderId="0" xfId="2" applyNumberFormat="1" applyFont="1" applyFill="1" applyBorder="1"/>
    <xf numFmtId="10" fontId="23" fillId="0" borderId="15" xfId="2" applyNumberFormat="1" applyFont="1" applyBorder="1"/>
    <xf numFmtId="3" fontId="10" fillId="0" borderId="0" xfId="0" applyNumberFormat="1" applyFont="1"/>
    <xf numFmtId="3" fontId="21" fillId="0" borderId="15" xfId="0" applyNumberFormat="1" applyFont="1" applyBorder="1"/>
    <xf numFmtId="0" fontId="2" fillId="6" borderId="0" xfId="0" applyFont="1" applyFill="1"/>
    <xf numFmtId="0" fontId="25" fillId="7" borderId="0" xfId="0" applyFont="1" applyFill="1" applyAlignment="1">
      <alignment horizontal="center" vertical="center"/>
    </xf>
    <xf numFmtId="0" fontId="25" fillId="7" borderId="0" xfId="0" applyFont="1" applyFill="1"/>
    <xf numFmtId="0" fontId="2" fillId="7" borderId="0" xfId="0" applyFont="1" applyFill="1"/>
    <xf numFmtId="0" fontId="2" fillId="8" borderId="0" xfId="0" applyFont="1" applyFill="1"/>
    <xf numFmtId="0" fontId="14" fillId="8" borderId="0" xfId="0" applyFont="1" applyFill="1"/>
    <xf numFmtId="166" fontId="26" fillId="0" borderId="0" xfId="0" applyNumberFormat="1" applyFont="1"/>
    <xf numFmtId="9" fontId="17" fillId="2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166" fontId="28" fillId="0" borderId="0" xfId="0" applyNumberFormat="1" applyFont="1"/>
    <xf numFmtId="10" fontId="15" fillId="2" borderId="0" xfId="0" applyNumberFormat="1" applyFont="1" applyFill="1"/>
    <xf numFmtId="10" fontId="26" fillId="0" borderId="0" xfId="2" applyNumberFormat="1" applyFont="1" applyBorder="1"/>
    <xf numFmtId="9" fontId="15" fillId="2" borderId="0" xfId="2" applyFont="1" applyFill="1"/>
    <xf numFmtId="0" fontId="29" fillId="2" borderId="0" xfId="0" applyFont="1" applyFill="1" applyAlignment="1">
      <alignment horizontal="center" vertical="center"/>
    </xf>
    <xf numFmtId="173" fontId="2" fillId="2" borderId="0" xfId="0" applyNumberFormat="1" applyFont="1" applyFill="1"/>
    <xf numFmtId="165" fontId="0" fillId="0" borderId="0" xfId="0" applyNumberFormat="1"/>
    <xf numFmtId="0" fontId="10" fillId="2" borderId="0" xfId="0" applyFont="1" applyFill="1"/>
    <xf numFmtId="0" fontId="30" fillId="2" borderId="0" xfId="0" applyFont="1" applyFill="1"/>
    <xf numFmtId="165" fontId="30" fillId="2" borderId="0" xfId="2" applyNumberFormat="1" applyFont="1" applyFill="1"/>
    <xf numFmtId="174" fontId="30" fillId="2" borderId="0" xfId="0" applyNumberFormat="1" applyFont="1" applyFill="1"/>
    <xf numFmtId="3" fontId="30" fillId="2" borderId="0" xfId="0" applyNumberFormat="1" applyFont="1" applyFill="1"/>
    <xf numFmtId="164" fontId="2" fillId="0" borderId="0" xfId="2" applyNumberFormat="1" applyFont="1"/>
    <xf numFmtId="165" fontId="0" fillId="0" borderId="0" xfId="2" applyNumberFormat="1" applyFont="1"/>
    <xf numFmtId="3" fontId="0" fillId="0" borderId="0" xfId="0" applyNumberFormat="1"/>
    <xf numFmtId="3" fontId="2" fillId="0" borderId="0" xfId="0" applyNumberFormat="1" applyFont="1"/>
    <xf numFmtId="1" fontId="0" fillId="0" borderId="0" xfId="0" applyNumberFormat="1"/>
    <xf numFmtId="165" fontId="2" fillId="2" borderId="0" xfId="0" applyNumberFormat="1" applyFont="1" applyFill="1" applyAlignment="1">
      <alignment horizontal="center"/>
    </xf>
    <xf numFmtId="0" fontId="31" fillId="0" borderId="0" xfId="0" applyFont="1" applyAlignment="1">
      <alignment vertical="center"/>
    </xf>
    <xf numFmtId="171" fontId="2" fillId="0" borderId="0" xfId="0" applyNumberFormat="1" applyFont="1"/>
    <xf numFmtId="0" fontId="2" fillId="2" borderId="17" xfId="0" applyFont="1" applyFill="1" applyBorder="1" applyAlignment="1">
      <alignment horizontal="center"/>
    </xf>
    <xf numFmtId="175" fontId="2" fillId="0" borderId="0" xfId="0" applyNumberFormat="1" applyFont="1" applyAlignment="1">
      <alignment horizontal="center"/>
    </xf>
    <xf numFmtId="14" fontId="2" fillId="9" borderId="18" xfId="0" applyNumberFormat="1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9" borderId="18" xfId="0" applyFont="1" applyFill="1" applyBorder="1" applyAlignment="1">
      <alignment horizontal="center"/>
    </xf>
    <xf numFmtId="0" fontId="0" fillId="0" borderId="10" xfId="0" applyBorder="1"/>
    <xf numFmtId="0" fontId="32" fillId="0" borderId="10" xfId="0" applyFont="1" applyBorder="1"/>
    <xf numFmtId="10" fontId="18" fillId="0" borderId="9" xfId="2" applyNumberFormat="1" applyFont="1" applyBorder="1"/>
    <xf numFmtId="0" fontId="33" fillId="2" borderId="0" xfId="0" applyFont="1" applyFill="1"/>
    <xf numFmtId="9" fontId="7" fillId="2" borderId="0" xfId="2" applyFont="1" applyFill="1"/>
    <xf numFmtId="9" fontId="35" fillId="2" borderId="0" xfId="2" applyFont="1" applyFill="1"/>
    <xf numFmtId="166" fontId="7" fillId="2" borderId="0" xfId="0" applyNumberFormat="1" applyFont="1" applyFill="1"/>
    <xf numFmtId="10" fontId="7" fillId="2" borderId="0" xfId="0" applyNumberFormat="1" applyFont="1" applyFill="1"/>
    <xf numFmtId="10" fontId="35" fillId="2" borderId="0" xfId="0" applyNumberFormat="1" applyFont="1" applyFill="1"/>
    <xf numFmtId="9" fontId="25" fillId="2" borderId="0" xfId="0" applyNumberFormat="1" applyFont="1" applyFill="1" applyAlignment="1">
      <alignment horizontal="center"/>
    </xf>
    <xf numFmtId="9" fontId="29" fillId="2" borderId="0" xfId="0" applyNumberFormat="1" applyFont="1" applyFill="1" applyAlignment="1">
      <alignment horizontal="center"/>
    </xf>
    <xf numFmtId="0" fontId="34" fillId="2" borderId="0" xfId="0" applyFont="1" applyFill="1"/>
    <xf numFmtId="165" fontId="34" fillId="2" borderId="0" xfId="2" applyNumberFormat="1" applyFont="1" applyFill="1" applyBorder="1"/>
    <xf numFmtId="10" fontId="34" fillId="2" borderId="0" xfId="2" applyNumberFormat="1" applyFont="1" applyFill="1" applyBorder="1"/>
    <xf numFmtId="166" fontId="34" fillId="2" borderId="0" xfId="2" applyNumberFormat="1" applyFont="1" applyFill="1" applyBorder="1"/>
    <xf numFmtId="10" fontId="7" fillId="2" borderId="0" xfId="2" applyNumberFormat="1" applyFont="1" applyFill="1" applyBorder="1"/>
    <xf numFmtId="166" fontId="25" fillId="2" borderId="0" xfId="0" applyNumberFormat="1" applyFont="1" applyFill="1"/>
    <xf numFmtId="166" fontId="34" fillId="2" borderId="0" xfId="0" applyNumberFormat="1" applyFont="1" applyFill="1"/>
    <xf numFmtId="0" fontId="7" fillId="2" borderId="0" xfId="0" applyFont="1" applyFill="1" applyAlignment="1">
      <alignment horizontal="center" vertical="center"/>
    </xf>
    <xf numFmtId="10" fontId="25" fillId="2" borderId="0" xfId="2" applyNumberFormat="1" applyFont="1" applyFill="1" applyBorder="1" applyAlignment="1"/>
    <xf numFmtId="10" fontId="25" fillId="2" borderId="0" xfId="0" applyNumberFormat="1" applyFont="1" applyFill="1"/>
    <xf numFmtId="166" fontId="35" fillId="2" borderId="0" xfId="0" applyNumberFormat="1" applyFont="1" applyFill="1"/>
    <xf numFmtId="10" fontId="35" fillId="2" borderId="0" xfId="2" applyNumberFormat="1" applyFont="1" applyFill="1" applyBorder="1"/>
    <xf numFmtId="0" fontId="35" fillId="2" borderId="0" xfId="0" applyFont="1" applyFill="1"/>
    <xf numFmtId="0" fontId="35" fillId="2" borderId="0" xfId="0" applyFont="1" applyFill="1" applyAlignment="1">
      <alignment horizontal="center" vertical="center"/>
    </xf>
    <xf numFmtId="3" fontId="7" fillId="2" borderId="0" xfId="0" applyNumberFormat="1" applyFont="1" applyFill="1"/>
    <xf numFmtId="9" fontId="7" fillId="2" borderId="0" xfId="2" applyFont="1" applyFill="1" applyBorder="1"/>
    <xf numFmtId="170" fontId="7" fillId="2" borderId="0" xfId="0" applyNumberFormat="1" applyFont="1" applyFill="1"/>
    <xf numFmtId="9" fontId="7" fillId="2" borderId="0" xfId="0" applyNumberFormat="1" applyFont="1" applyFill="1"/>
    <xf numFmtId="2" fontId="7" fillId="2" borderId="0" xfId="0" applyNumberFormat="1" applyFont="1" applyFill="1"/>
    <xf numFmtId="165" fontId="7" fillId="2" borderId="0" xfId="2" applyNumberFormat="1" applyFont="1" applyFill="1" applyBorder="1"/>
    <xf numFmtId="164" fontId="25" fillId="2" borderId="0" xfId="2" applyNumberFormat="1" applyFont="1" applyFill="1" applyBorder="1" applyAlignment="1"/>
    <xf numFmtId="14" fontId="7" fillId="2" borderId="0" xfId="0" applyNumberFormat="1" applyFont="1" applyFill="1"/>
    <xf numFmtId="167" fontId="7" fillId="2" borderId="0" xfId="0" applyNumberFormat="1" applyFont="1" applyFill="1"/>
    <xf numFmtId="37" fontId="25" fillId="2" borderId="0" xfId="0" applyNumberFormat="1" applyFont="1" applyFill="1"/>
    <xf numFmtId="4" fontId="7" fillId="2" borderId="0" xfId="0" applyNumberFormat="1" applyFont="1" applyFill="1"/>
    <xf numFmtId="171" fontId="25" fillId="2" borderId="0" xfId="0" applyNumberFormat="1" applyFont="1" applyFill="1"/>
    <xf numFmtId="10" fontId="25" fillId="2" borderId="0" xfId="2" applyNumberFormat="1" applyFont="1" applyFill="1" applyBorder="1"/>
    <xf numFmtId="172" fontId="7" fillId="2" borderId="0" xfId="0" applyNumberFormat="1" applyFont="1" applyFill="1" applyAlignment="1">
      <alignment horizontal="right"/>
    </xf>
    <xf numFmtId="3" fontId="7" fillId="2" borderId="0" xfId="0" applyNumberFormat="1" applyFont="1" applyFill="1" applyAlignment="1">
      <alignment horizontal="right"/>
    </xf>
    <xf numFmtId="0" fontId="7" fillId="2" borderId="0" xfId="0" quotePrefix="1" applyFont="1" applyFill="1"/>
    <xf numFmtId="0" fontId="17" fillId="2" borderId="0" xfId="0" applyFont="1" applyFill="1"/>
    <xf numFmtId="166" fontId="2" fillId="4" borderId="0" xfId="0" applyNumberFormat="1" applyFont="1" applyFill="1"/>
    <xf numFmtId="0" fontId="10" fillId="0" borderId="15" xfId="0" applyFont="1" applyBorder="1"/>
    <xf numFmtId="0" fontId="25" fillId="2" borderId="0" xfId="0" applyFont="1" applyFill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2" fillId="0" borderId="0" xfId="0" applyFont="1" applyBorder="1"/>
    <xf numFmtId="10" fontId="2" fillId="0" borderId="0" xfId="0" applyNumberFormat="1" applyFont="1" applyBorder="1"/>
    <xf numFmtId="0" fontId="2" fillId="0" borderId="0" xfId="0" applyNumberFormat="1" applyFont="1"/>
    <xf numFmtId="2" fontId="2" fillId="0" borderId="1" xfId="0" applyNumberFormat="1" applyFont="1" applyBorder="1"/>
    <xf numFmtId="2" fontId="10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WACC!$B$145</c:f>
              <c:strCache>
                <c:ptCount val="1"/>
                <c:pt idx="0">
                  <c:v>cost of capital (WACC)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j-lt"/>
                    <a:ea typeface="+mn-ea"/>
                    <a:cs typeface="Arabic Typesetting" panose="020F0502020204030204" pitchFamily="66" charset="-78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WACC!$C$145:$H$145</c:f>
              <c:numCache>
                <c:formatCode>0.00%</c:formatCode>
                <c:ptCount val="6"/>
                <c:pt idx="0">
                  <c:v>6.4872347323105317E-2</c:v>
                </c:pt>
                <c:pt idx="1">
                  <c:v>6.3871117318931706E-2</c:v>
                </c:pt>
                <c:pt idx="2">
                  <c:v>6.2863556081969113E-2</c:v>
                </c:pt>
                <c:pt idx="3">
                  <c:v>6.1849663612217574E-2</c:v>
                </c:pt>
                <c:pt idx="4">
                  <c:v>6.0829439909677062E-2</c:v>
                </c:pt>
                <c:pt idx="5">
                  <c:v>5.9802884974347617E-2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66-4607-B412-0E80CCB4E8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9"/>
        <c:overlap val="-27"/>
        <c:axId val="1205346832"/>
        <c:axId val="1205342032"/>
      </c:barChart>
      <c:catAx>
        <c:axId val="120534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342032"/>
        <c:crosses val="autoZero"/>
        <c:auto val="1"/>
        <c:lblAlgn val="ctr"/>
        <c:lblOffset val="100"/>
        <c:noMultiLvlLbl val="0"/>
      </c:catAx>
      <c:valAx>
        <c:axId val="120534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534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847863611643142E-2"/>
          <c:y val="0.16245370370370371"/>
          <c:w val="0.9005305147667352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'Story&amp;Estimates'!$D$38</c:f>
              <c:strCache>
                <c:ptCount val="1"/>
                <c:pt idx="0">
                  <c:v>growth rate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'Story&amp;Estimates'!$B$39:$B$54</c:f>
              <c:numCache>
                <c:formatCode>General</c:formatCode>
                <c:ptCount val="1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</c:numCache>
            </c:numRef>
          </c:cat>
          <c:val>
            <c:numRef>
              <c:f>'Story&amp;Estimates'!$D$39:$D$54</c:f>
              <c:numCache>
                <c:formatCode>0.00%</c:formatCode>
                <c:ptCount val="16"/>
                <c:pt idx="0" formatCode="0%">
                  <c:v>0</c:v>
                </c:pt>
                <c:pt idx="1">
                  <c:v>-9.9056603773584911E-2</c:v>
                </c:pt>
                <c:pt idx="2">
                  <c:v>-5.2356020942408377E-2</c:v>
                </c:pt>
                <c:pt idx="3">
                  <c:v>-8.2872928176795577E-2</c:v>
                </c:pt>
                <c:pt idx="4">
                  <c:v>-4.8192771084337352E-2</c:v>
                </c:pt>
                <c:pt idx="5">
                  <c:v>-1.8987341772151899E-2</c:v>
                </c:pt>
                <c:pt idx="6">
                  <c:v>5.8064516129032261E-2</c:v>
                </c:pt>
                <c:pt idx="7">
                  <c:v>3.048780487804878E-2</c:v>
                </c:pt>
                <c:pt idx="8">
                  <c:v>2.3668639053254437E-2</c:v>
                </c:pt>
                <c:pt idx="9">
                  <c:v>9.2485549132947972E-2</c:v>
                </c:pt>
                <c:pt idx="10">
                  <c:v>6.3492063492063489E-2</c:v>
                </c:pt>
                <c:pt idx="11">
                  <c:v>-3.9800995024875621E-2</c:v>
                </c:pt>
                <c:pt idx="12">
                  <c:v>-0.20725388601036268</c:v>
                </c:pt>
                <c:pt idx="13">
                  <c:v>0.20915032679738563</c:v>
                </c:pt>
                <c:pt idx="14">
                  <c:v>0.24864864864864866</c:v>
                </c:pt>
                <c:pt idx="15">
                  <c:v>0.16450216450216451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FE-4895-9299-C357D4D45BF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0"/>
        <c:overlap val="-27"/>
        <c:axId val="594469679"/>
        <c:axId val="594468239"/>
      </c:barChart>
      <c:catAx>
        <c:axId val="59446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68239"/>
        <c:crosses val="autoZero"/>
        <c:auto val="1"/>
        <c:lblAlgn val="ctr"/>
        <c:lblOffset val="100"/>
        <c:noMultiLvlLbl val="0"/>
      </c:catAx>
      <c:valAx>
        <c:axId val="59446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69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56736657917762"/>
          <c:y val="0.16708333333333336"/>
          <c:w val="0.821988188976377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'Story&amp;Estimates'!$C$38</c:f>
              <c:strCache>
                <c:ptCount val="1"/>
                <c:pt idx="0">
                  <c:v>rev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'Story&amp;Estimates'!$B$39:$B$53</c:f>
              <c:numCache>
                <c:formatCode>General</c:formatCode>
                <c:ptCount val="1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'Story&amp;Estimates'!$C$39:$C$53</c:f>
              <c:numCache>
                <c:formatCode>_-[$$-409]* #,##0_ ;_-[$$-409]* \-#,##0\ ;_-[$$-409]* "-"??_ ;_-@_ </c:formatCode>
                <c:ptCount val="15"/>
                <c:pt idx="0">
                  <c:v>212</c:v>
                </c:pt>
                <c:pt idx="1">
                  <c:v>191</c:v>
                </c:pt>
                <c:pt idx="2">
                  <c:v>181</c:v>
                </c:pt>
                <c:pt idx="3">
                  <c:v>166</c:v>
                </c:pt>
                <c:pt idx="4">
                  <c:v>158</c:v>
                </c:pt>
                <c:pt idx="5">
                  <c:v>155</c:v>
                </c:pt>
                <c:pt idx="6">
                  <c:v>164</c:v>
                </c:pt>
                <c:pt idx="7">
                  <c:v>169</c:v>
                </c:pt>
                <c:pt idx="8">
                  <c:v>173</c:v>
                </c:pt>
                <c:pt idx="9">
                  <c:v>189</c:v>
                </c:pt>
                <c:pt idx="10">
                  <c:v>201</c:v>
                </c:pt>
                <c:pt idx="11">
                  <c:v>193</c:v>
                </c:pt>
                <c:pt idx="12">
                  <c:v>153</c:v>
                </c:pt>
                <c:pt idx="13">
                  <c:v>185</c:v>
                </c:pt>
                <c:pt idx="14">
                  <c:v>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4D-42CD-8D9B-EFA2BD29A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469199"/>
        <c:axId val="594472079"/>
      </c:barChart>
      <c:catAx>
        <c:axId val="594469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72079"/>
        <c:crosses val="autoZero"/>
        <c:auto val="1"/>
        <c:lblAlgn val="ctr"/>
        <c:lblOffset val="100"/>
        <c:noMultiLvlLbl val="0"/>
      </c:catAx>
      <c:valAx>
        <c:axId val="594472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46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052008402079391E-2"/>
          <c:y val="0.17171296296296298"/>
          <c:w val="0.9041546483291674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'Story&amp;Estimates'!$E$70</c:f>
              <c:strCache>
                <c:ptCount val="1"/>
                <c:pt idx="0">
                  <c:v>operating margins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'Story&amp;Estimates'!$B$71:$B$85</c:f>
              <c:numCache>
                <c:formatCode>General</c:formatCode>
                <c:ptCount val="1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'Story&amp;Estimates'!$E$71:$E$85</c:f>
              <c:numCache>
                <c:formatCode>0.00%</c:formatCode>
                <c:ptCount val="15"/>
                <c:pt idx="0">
                  <c:v>2.358490566037736E-2</c:v>
                </c:pt>
                <c:pt idx="1">
                  <c:v>0</c:v>
                </c:pt>
                <c:pt idx="2">
                  <c:v>-4.4198895027624308E-2</c:v>
                </c:pt>
                <c:pt idx="3">
                  <c:v>-7.8313253012048195E-2</c:v>
                </c:pt>
                <c:pt idx="4">
                  <c:v>-1.2658227848101266E-2</c:v>
                </c:pt>
                <c:pt idx="5">
                  <c:v>-6.4516129032258064E-3</c:v>
                </c:pt>
                <c:pt idx="6">
                  <c:v>1.2195121951219513E-2</c:v>
                </c:pt>
                <c:pt idx="7">
                  <c:v>3.5502958579881658E-2</c:v>
                </c:pt>
                <c:pt idx="8">
                  <c:v>3.4682080924855488E-2</c:v>
                </c:pt>
                <c:pt idx="9">
                  <c:v>2.6455026455026454E-2</c:v>
                </c:pt>
                <c:pt idx="10">
                  <c:v>9.9502487562189053E-3</c:v>
                </c:pt>
                <c:pt idx="11">
                  <c:v>3.1088082901554404E-2</c:v>
                </c:pt>
                <c:pt idx="12">
                  <c:v>6.5359477124183009E-3</c:v>
                </c:pt>
                <c:pt idx="13">
                  <c:v>0</c:v>
                </c:pt>
                <c:pt idx="14">
                  <c:v>4.7619047619047616E-2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AD-4835-A961-9A8F004E1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9417631"/>
        <c:axId val="1819418591"/>
      </c:barChart>
      <c:catAx>
        <c:axId val="181941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418591"/>
        <c:crosses val="autoZero"/>
        <c:auto val="1"/>
        <c:lblAlgn val="ctr"/>
        <c:lblOffset val="100"/>
        <c:noMultiLvlLbl val="0"/>
      </c:catAx>
      <c:valAx>
        <c:axId val="181941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417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'Story&amp;Estimates'!$J$97</c:f>
              <c:strCache>
                <c:ptCount val="1"/>
                <c:pt idx="0">
                  <c:v>reinvestment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'Story&amp;Estimates'!$B$98:$B$113</c:f>
              <c:numCache>
                <c:formatCode>General</c:formatCode>
                <c:ptCount val="1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</c:numCache>
            </c:numRef>
          </c:cat>
          <c:val>
            <c:numRef>
              <c:f>'Story&amp;Estimates'!$J$98:$J$113</c:f>
              <c:numCache>
                <c:formatCode>0.0%</c:formatCode>
                <c:ptCount val="16"/>
                <c:pt idx="1">
                  <c:v>0.15183246073298429</c:v>
                </c:pt>
                <c:pt idx="2">
                  <c:v>0.23204419889502761</c:v>
                </c:pt>
                <c:pt idx="3">
                  <c:v>0.18674698795180722</c:v>
                </c:pt>
                <c:pt idx="4">
                  <c:v>0.11392405063291139</c:v>
                </c:pt>
                <c:pt idx="5">
                  <c:v>9.0322580645161285E-2</c:v>
                </c:pt>
                <c:pt idx="6">
                  <c:v>0.12195121951219512</c:v>
                </c:pt>
                <c:pt idx="7">
                  <c:v>0.1242603550295858</c:v>
                </c:pt>
                <c:pt idx="8">
                  <c:v>0.15606936416184972</c:v>
                </c:pt>
                <c:pt idx="9">
                  <c:v>0.15343915343915343</c:v>
                </c:pt>
                <c:pt idx="10">
                  <c:v>0.16417910447761194</c:v>
                </c:pt>
                <c:pt idx="11">
                  <c:v>0.18134715025906736</c:v>
                </c:pt>
                <c:pt idx="12">
                  <c:v>0.23529411764705882</c:v>
                </c:pt>
                <c:pt idx="13">
                  <c:v>0.16756756756756758</c:v>
                </c:pt>
                <c:pt idx="14">
                  <c:v>0.15151515151515152</c:v>
                </c:pt>
                <c:pt idx="15">
                  <c:v>0.15613382899628253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3-404D-81C8-A830E4E7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2884479"/>
        <c:axId val="1822876799"/>
      </c:barChart>
      <c:catAx>
        <c:axId val="182288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876799"/>
        <c:crosses val="autoZero"/>
        <c:auto val="1"/>
        <c:lblAlgn val="ctr"/>
        <c:lblOffset val="100"/>
        <c:noMultiLvlLbl val="0"/>
      </c:catAx>
      <c:valAx>
        <c:axId val="182287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884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to invested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'Story&amp;Estimates'!$B$124:$B$139</c:f>
              <c:numCache>
                <c:formatCode>General</c:formatCode>
                <c:ptCount val="1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</c:numCache>
            </c:numRef>
          </c:cat>
          <c:val>
            <c:numRef>
              <c:f>'Story&amp;Estimates'!$H$124:$H$139</c:f>
              <c:numCache>
                <c:formatCode>0.00</c:formatCode>
                <c:ptCount val="16"/>
                <c:pt idx="1">
                  <c:v>3.0806451612903225</c:v>
                </c:pt>
                <c:pt idx="2">
                  <c:v>2.4133333333333336</c:v>
                </c:pt>
                <c:pt idx="3">
                  <c:v>3.0181818181818181</c:v>
                </c:pt>
                <c:pt idx="4">
                  <c:v>4.7878787878787881</c:v>
                </c:pt>
                <c:pt idx="5">
                  <c:v>5.9615384615384617</c:v>
                </c:pt>
                <c:pt idx="6">
                  <c:v>4.9696969696969697</c:v>
                </c:pt>
                <c:pt idx="7">
                  <c:v>5.8275862068965516</c:v>
                </c:pt>
                <c:pt idx="8">
                  <c:v>4.5526315789473681</c:v>
                </c:pt>
                <c:pt idx="9">
                  <c:v>3</c:v>
                </c:pt>
                <c:pt idx="10">
                  <c:v>2.8714285714285714</c:v>
                </c:pt>
                <c:pt idx="11">
                  <c:v>2.7183098591549295</c:v>
                </c:pt>
                <c:pt idx="12">
                  <c:v>2.1857142857142855</c:v>
                </c:pt>
                <c:pt idx="13">
                  <c:v>2.890625</c:v>
                </c:pt>
                <c:pt idx="14">
                  <c:v>3.85</c:v>
                </c:pt>
                <c:pt idx="15">
                  <c:v>3.3209876543209877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F1-4E25-B0E3-0A7EB1D8D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9"/>
        <c:overlap val="-27"/>
        <c:axId val="1115498896"/>
        <c:axId val="1115502256"/>
      </c:barChart>
      <c:catAx>
        <c:axId val="111549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502256"/>
        <c:crosses val="autoZero"/>
        <c:auto val="1"/>
        <c:lblAlgn val="ctr"/>
        <c:lblOffset val="100"/>
        <c:noMultiLvlLbl val="0"/>
      </c:catAx>
      <c:valAx>
        <c:axId val="11155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549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chart" Target="../charts/chart1.xml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image" Target="../media/image8.png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266700</xdr:colOff>
      <xdr:row>0</xdr:row>
      <xdr:rowOff>180975</xdr:rowOff>
    </xdr:from>
    <xdr:to>
      <xdr:col>7</xdr:col>
      <xdr:colOff>266700</xdr:colOff>
      <xdr:row>8</xdr:row>
      <xdr:rowOff>120015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06EBEF-CCE8-817A-8F27-2C45874C6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180975"/>
          <a:ext cx="1828800" cy="1463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161925</xdr:colOff>
      <xdr:row>0</xdr:row>
      <xdr:rowOff>104776</xdr:rowOff>
    </xdr:from>
    <xdr:to>
      <xdr:col>10</xdr:col>
      <xdr:colOff>428625</xdr:colOff>
      <xdr:row>8</xdr:row>
      <xdr:rowOff>66676</xdr:rowOff>
    </xdr:to>
    <xdr:pic>
      <xdr:nvPicPr>
        <xdr:cNvPr id="3" name="Picture 2" descr="U.S. Securities and Exchange Commission - Wikipedia">
          <a:extLst>
            <a:ext uri="{FF2B5EF4-FFF2-40B4-BE49-F238E27FC236}">
              <a16:creationId xmlns:a16="http://schemas.microsoft.com/office/drawing/2014/main" id="{B1A87A68-9469-73D8-5F40-AAE1FD83D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8725" y="104776"/>
          <a:ext cx="14859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409575</xdr:colOff>
      <xdr:row>14</xdr:row>
      <xdr:rowOff>57150</xdr:rowOff>
    </xdr:from>
    <xdr:to>
      <xdr:col>3</xdr:col>
      <xdr:colOff>685800</xdr:colOff>
      <xdr:row>25</xdr:row>
      <xdr:rowOff>104775</xdr:rowOff>
    </xdr:to>
    <xdr:pic>
      <xdr:nvPicPr>
        <xdr:cNvPr id="4" name="Picture 3" descr="Shop Classroom Desks &amp; Workstations for ...">
          <a:extLst>
            <a:ext uri="{FF2B5EF4-FFF2-40B4-BE49-F238E27FC236}">
              <a16:creationId xmlns:a16="http://schemas.microsoft.com/office/drawing/2014/main" id="{10691E16-5870-BF65-1BDA-3468ED31F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2724150"/>
          <a:ext cx="2143125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</xdr:row>
      <xdr:rowOff>95250</xdr:rowOff>
    </xdr:from>
    <xdr:to>
      <xdr:col>8</xdr:col>
      <xdr:colOff>314325</xdr:colOff>
      <xdr:row>23</xdr:row>
      <xdr:rowOff>142875</xdr:rowOff>
    </xdr:to>
    <xdr:pic>
      <xdr:nvPicPr>
        <xdr:cNvPr id="5" name="Picture 4" descr="Aptitude Large Student Desk by USA Capitol - 420SE | Worthington Direct">
          <a:extLst>
            <a:ext uri="{FF2B5EF4-FFF2-40B4-BE49-F238E27FC236}">
              <a16:creationId xmlns:a16="http://schemas.microsoft.com/office/drawing/2014/main" id="{F0FDD93E-01B2-EB31-405E-C22709A8D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"/>
          <a:ext cx="2143125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552450</xdr:colOff>
      <xdr:row>11</xdr:row>
      <xdr:rowOff>76200</xdr:rowOff>
    </xdr:from>
    <xdr:to>
      <xdr:col>14</xdr:col>
      <xdr:colOff>0</xdr:colOff>
      <xdr:row>24</xdr:row>
      <xdr:rowOff>95250</xdr:rowOff>
    </xdr:to>
    <xdr:pic>
      <xdr:nvPicPr>
        <xdr:cNvPr id="6" name="Picture 5" descr="Single &amp; Group Computer Workstation Desks">
          <a:extLst>
            <a:ext uri="{FF2B5EF4-FFF2-40B4-BE49-F238E27FC236}">
              <a16:creationId xmlns:a16="http://schemas.microsoft.com/office/drawing/2014/main" id="{B8625E87-F2B2-454D-2DC3-D46B29211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8850" y="2171700"/>
          <a:ext cx="249555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57150</xdr:colOff>
      <xdr:row>12</xdr:row>
      <xdr:rowOff>95250</xdr:rowOff>
    </xdr:from>
    <xdr:to>
      <xdr:col>18</xdr:col>
      <xdr:colOff>504825</xdr:colOff>
      <xdr:row>24</xdr:row>
      <xdr:rowOff>85725</xdr:rowOff>
    </xdr:to>
    <xdr:pic>
      <xdr:nvPicPr>
        <xdr:cNvPr id="7" name="Picture 6" descr="Virco 613096 – SchoolOutlet">
          <a:extLst>
            <a:ext uri="{FF2B5EF4-FFF2-40B4-BE49-F238E27FC236}">
              <a16:creationId xmlns:a16="http://schemas.microsoft.com/office/drawing/2014/main" id="{1B9751D6-62C8-65D7-8B3B-97C937939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1150" y="2381250"/>
          <a:ext cx="2276475" cy="2276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523875</xdr:colOff>
      <xdr:row>12</xdr:row>
      <xdr:rowOff>38100</xdr:rowOff>
    </xdr:from>
    <xdr:to>
      <xdr:col>23</xdr:col>
      <xdr:colOff>228600</xdr:colOff>
      <xdr:row>23</xdr:row>
      <xdr:rowOff>85725</xdr:rowOff>
    </xdr:to>
    <xdr:pic>
      <xdr:nvPicPr>
        <xdr:cNvPr id="8" name="Picture 7" descr="Virco 8917 – SchoolOutlet">
          <a:extLst>
            <a:ext uri="{FF2B5EF4-FFF2-40B4-BE49-F238E27FC236}">
              <a16:creationId xmlns:a16="http://schemas.microsoft.com/office/drawing/2014/main" id="{2E335DA3-EDC4-BCED-6803-12F809327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06275" y="2324100"/>
          <a:ext cx="2143125" cy="2143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190499</xdr:colOff>
      <xdr:row>45</xdr:row>
      <xdr:rowOff>114300</xdr:rowOff>
    </xdr:from>
    <xdr:to>
      <xdr:col>25</xdr:col>
      <xdr:colOff>436090</xdr:colOff>
      <xdr:row>63</xdr:row>
      <xdr:rowOff>91787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5D3AF9-A04A-3C77-729C-A5C6A460F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0499" y="8686800"/>
          <a:ext cx="15790391" cy="34064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90</xdr:row>
      <xdr:rowOff>133350</xdr:rowOff>
    </xdr:from>
    <xdr:to>
      <xdr:col>16</xdr:col>
      <xdr:colOff>342068</xdr:colOff>
      <xdr:row>104</xdr:row>
      <xdr:rowOff>18731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F108A1-4AB6-DE73-6DF5-A12BA0756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6154400"/>
          <a:ext cx="6657143" cy="2552381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23</xdr:row>
      <xdr:rowOff>28575</xdr:rowOff>
    </xdr:from>
    <xdr:to>
      <xdr:col>5</xdr:col>
      <xdr:colOff>28575</xdr:colOff>
      <xdr:row>24</xdr:row>
      <xdr:rowOff>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107D4DD0-49FE-4244-87E9-E6E7B452E943}"/>
            </a:ext>
          </a:extLst>
        </xdr:cNvPr>
        <xdr:cNvSpPr/>
      </xdr:nvSpPr>
      <xdr:spPr>
        <a:xfrm>
          <a:off x="1343025" y="4410075"/>
          <a:ext cx="1733550" cy="1619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533400</xdr:colOff>
      <xdr:row>36</xdr:row>
      <xdr:rowOff>142875</xdr:rowOff>
    </xdr:from>
    <xdr:to>
      <xdr:col>26</xdr:col>
      <xdr:colOff>303228</xdr:colOff>
      <xdr:row>37</xdr:row>
      <xdr:rowOff>190470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1D1760-C208-49A3-F41B-6E53AE023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9675" y="7000875"/>
          <a:ext cx="12571428" cy="238095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32</xdr:row>
      <xdr:rowOff>142875</xdr:rowOff>
    </xdr:from>
    <xdr:to>
      <xdr:col>26</xdr:col>
      <xdr:colOff>284178</xdr:colOff>
      <xdr:row>36</xdr:row>
      <xdr:rowOff>152304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BA49D7-C15F-C0CA-45A8-E888B546B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5" y="6238875"/>
          <a:ext cx="12571428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789394</xdr:colOff>
      <xdr:row>28</xdr:row>
      <xdr:rowOff>152400</xdr:rowOff>
    </xdr:from>
    <xdr:to>
      <xdr:col>23</xdr:col>
      <xdr:colOff>388673</xdr:colOff>
      <xdr:row>31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30BDFC-7C14-AF9C-6706-9AE175B4E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8994" y="5486400"/>
          <a:ext cx="16144204" cy="581025"/>
        </a:xfrm>
        <a:prstGeom prst="rect">
          <a:avLst/>
        </a:prstGeom>
      </xdr:spPr>
    </xdr:pic>
    <xdr:clientData/>
  </xdr:twoCellAnchor>
  <xdr:twoCellAnchor>
    <xdr:from>
      <xdr:col>2</xdr:col>
      <xdr:colOff>180975</xdr:colOff>
      <xdr:row>38</xdr:row>
      <xdr:rowOff>9525</xdr:rowOff>
    </xdr:from>
    <xdr:to>
      <xdr:col>5</xdr:col>
      <xdr:colOff>85725</xdr:colOff>
      <xdr:row>38</xdr:row>
      <xdr:rowOff>171450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id="{4E00A7E7-8438-4619-B808-0E72DE496DB3}"/>
            </a:ext>
          </a:extLst>
        </xdr:cNvPr>
        <xdr:cNvSpPr/>
      </xdr:nvSpPr>
      <xdr:spPr>
        <a:xfrm>
          <a:off x="1981200" y="7248525"/>
          <a:ext cx="1981200" cy="1619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123825</xdr:colOff>
      <xdr:row>10</xdr:row>
      <xdr:rowOff>28575</xdr:rowOff>
    </xdr:from>
    <xdr:to>
      <xdr:col>5</xdr:col>
      <xdr:colOff>28575</xdr:colOff>
      <xdr:row>11</xdr:row>
      <xdr:rowOff>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D3A58E91-AC18-40F5-A586-EA15686F80BA}"/>
            </a:ext>
          </a:extLst>
        </xdr:cNvPr>
        <xdr:cNvSpPr/>
      </xdr:nvSpPr>
      <xdr:spPr>
        <a:xfrm>
          <a:off x="1581150" y="4410075"/>
          <a:ext cx="1733550" cy="1619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123825</xdr:colOff>
      <xdr:row>51</xdr:row>
      <xdr:rowOff>28576</xdr:rowOff>
    </xdr:from>
    <xdr:to>
      <xdr:col>3</xdr:col>
      <xdr:colOff>762000</xdr:colOff>
      <xdr:row>51</xdr:row>
      <xdr:rowOff>180976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771E4EA-831E-49C1-8B5F-2C1DEC7FB263}"/>
            </a:ext>
          </a:extLst>
        </xdr:cNvPr>
        <xdr:cNvSpPr/>
      </xdr:nvSpPr>
      <xdr:spPr>
        <a:xfrm>
          <a:off x="1924050" y="9763126"/>
          <a:ext cx="1333500" cy="1524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10</xdr:col>
      <xdr:colOff>134531</xdr:colOff>
      <xdr:row>67</xdr:row>
      <xdr:rowOff>133350</xdr:rowOff>
    </xdr:from>
    <xdr:to>
      <xdr:col>16</xdr:col>
      <xdr:colOff>247094</xdr:colOff>
      <xdr:row>86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C0A7AD-CFA1-6D31-9A9E-B335B7E19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49756" y="12915900"/>
          <a:ext cx="3770163" cy="3495675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80</xdr:row>
      <xdr:rowOff>28576</xdr:rowOff>
    </xdr:from>
    <xdr:to>
      <xdr:col>3</xdr:col>
      <xdr:colOff>752475</xdr:colOff>
      <xdr:row>80</xdr:row>
      <xdr:rowOff>180976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ADC814A3-B865-4D3C-A562-56ECC142A42E}"/>
            </a:ext>
          </a:extLst>
        </xdr:cNvPr>
        <xdr:cNvSpPr/>
      </xdr:nvSpPr>
      <xdr:spPr>
        <a:xfrm>
          <a:off x="1914525" y="13763626"/>
          <a:ext cx="1333500" cy="1524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1190626</xdr:colOff>
      <xdr:row>119</xdr:row>
      <xdr:rowOff>19050</xdr:rowOff>
    </xdr:from>
    <xdr:to>
      <xdr:col>3</xdr:col>
      <xdr:colOff>781051</xdr:colOff>
      <xdr:row>120</xdr:row>
      <xdr:rowOff>28575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49DFD4F5-27A5-46A6-910F-CE727DB40097}"/>
            </a:ext>
          </a:extLst>
        </xdr:cNvPr>
        <xdr:cNvSpPr/>
      </xdr:nvSpPr>
      <xdr:spPr>
        <a:xfrm>
          <a:off x="1800226" y="22707600"/>
          <a:ext cx="2419350" cy="2000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114300</xdr:colOff>
      <xdr:row>125</xdr:row>
      <xdr:rowOff>28576</xdr:rowOff>
    </xdr:from>
    <xdr:to>
      <xdr:col>3</xdr:col>
      <xdr:colOff>752475</xdr:colOff>
      <xdr:row>125</xdr:row>
      <xdr:rowOff>180976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1E0C2A9E-F75C-4718-B3FD-8A20EE66523E}"/>
            </a:ext>
          </a:extLst>
        </xdr:cNvPr>
        <xdr:cNvSpPr/>
      </xdr:nvSpPr>
      <xdr:spPr>
        <a:xfrm>
          <a:off x="2686050" y="15287626"/>
          <a:ext cx="1504950" cy="1524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47624</xdr:colOff>
      <xdr:row>145</xdr:row>
      <xdr:rowOff>133350</xdr:rowOff>
    </xdr:from>
    <xdr:to>
      <xdr:col>8</xdr:col>
      <xdr:colOff>47624</xdr:colOff>
      <xdr:row>160</xdr:row>
      <xdr:rowOff>19049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ECDB7E4-1352-C618-B82D-4CBD43D394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12</xdr:row>
      <xdr:rowOff>76200</xdr:rowOff>
    </xdr:from>
    <xdr:to>
      <xdr:col>21</xdr:col>
      <xdr:colOff>293216</xdr:colOff>
      <xdr:row>30</xdr:row>
      <xdr:rowOff>53687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1B35AA-195B-4730-BAC6-856DFAB00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362200"/>
          <a:ext cx="15790391" cy="3406487"/>
        </a:xfrm>
        <a:prstGeom prst="rect">
          <a:avLst/>
        </a:prstGeom>
      </xdr:spPr>
    </xdr:pic>
    <xdr:clientData/>
  </xdr:twoCellAnchor>
  <xdr:twoCellAnchor>
    <xdr:from>
      <xdr:col>11</xdr:col>
      <xdr:colOff>495298</xdr:colOff>
      <xdr:row>39</xdr:row>
      <xdr:rowOff>28575</xdr:rowOff>
    </xdr:from>
    <xdr:to>
      <xdr:col>23</xdr:col>
      <xdr:colOff>190500</xdr:colOff>
      <xdr:row>55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1756D8-E209-2C93-BD25-C4E04A470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47625</xdr:colOff>
      <xdr:row>39</xdr:row>
      <xdr:rowOff>38100</xdr:rowOff>
    </xdr:from>
    <xdr:to>
      <xdr:col>11</xdr:col>
      <xdr:colOff>352425</xdr:colOff>
      <xdr:row>55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4E85813-BD89-5428-A9D5-18B7F8CBB7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209550</xdr:colOff>
      <xdr:row>71</xdr:row>
      <xdr:rowOff>66675</xdr:rowOff>
    </xdr:from>
    <xdr:to>
      <xdr:col>20</xdr:col>
      <xdr:colOff>19049</xdr:colOff>
      <xdr:row>85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3ECBB5-BA16-CC40-8077-3677861D3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123825</xdr:colOff>
      <xdr:row>88</xdr:row>
      <xdr:rowOff>28576</xdr:rowOff>
    </xdr:from>
    <xdr:to>
      <xdr:col>3</xdr:col>
      <xdr:colOff>762000</xdr:colOff>
      <xdr:row>88</xdr:row>
      <xdr:rowOff>180976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BAB1C429-8433-42D8-AB4D-DD8D0501EF05}"/>
            </a:ext>
          </a:extLst>
        </xdr:cNvPr>
        <xdr:cNvSpPr/>
      </xdr:nvSpPr>
      <xdr:spPr>
        <a:xfrm>
          <a:off x="2695575" y="9763126"/>
          <a:ext cx="1504950" cy="1524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38099</xdr:colOff>
      <xdr:row>93</xdr:row>
      <xdr:rowOff>85725</xdr:rowOff>
    </xdr:from>
    <xdr:to>
      <xdr:col>20</xdr:col>
      <xdr:colOff>200024</xdr:colOff>
      <xdr:row>108</xdr:row>
      <xdr:rowOff>85725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0A641F-84B9-9E0B-1F66-767D0E2A77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123825</xdr:colOff>
      <xdr:row>116</xdr:row>
      <xdr:rowOff>28576</xdr:rowOff>
    </xdr:from>
    <xdr:to>
      <xdr:col>3</xdr:col>
      <xdr:colOff>762000</xdr:colOff>
      <xdr:row>116</xdr:row>
      <xdr:rowOff>180976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94F320E2-D780-4045-8AC0-7B820053068C}"/>
            </a:ext>
          </a:extLst>
        </xdr:cNvPr>
        <xdr:cNvSpPr/>
      </xdr:nvSpPr>
      <xdr:spPr>
        <a:xfrm>
          <a:off x="1866900" y="14506576"/>
          <a:ext cx="1285875" cy="1524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676275</xdr:colOff>
      <xdr:row>123</xdr:row>
      <xdr:rowOff>28575</xdr:rowOff>
    </xdr:from>
    <xdr:to>
      <xdr:col>17</xdr:col>
      <xdr:colOff>361950</xdr:colOff>
      <xdr:row>137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44F5D09-32E7-BCEE-F3AE-3EA75F552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123825</xdr:colOff>
      <xdr:row>57</xdr:row>
      <xdr:rowOff>28576</xdr:rowOff>
    </xdr:from>
    <xdr:to>
      <xdr:col>4</xdr:col>
      <xdr:colOff>447675</xdr:colOff>
      <xdr:row>58</xdr:row>
      <xdr:rowOff>19050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EA7246FC-1491-4A42-B6CB-3B103166E3A6}"/>
            </a:ext>
          </a:extLst>
        </xdr:cNvPr>
        <xdr:cNvSpPr/>
      </xdr:nvSpPr>
      <xdr:spPr>
        <a:xfrm>
          <a:off x="1866900" y="10887076"/>
          <a:ext cx="1990725" cy="18097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76200</xdr:colOff>
      <xdr:row>64</xdr:row>
      <xdr:rowOff>38100</xdr:rowOff>
    </xdr:from>
    <xdr:to>
      <xdr:col>3</xdr:col>
      <xdr:colOff>342900</xdr:colOff>
      <xdr:row>64</xdr:row>
      <xdr:rowOff>161925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5C76ACA7-2585-44F1-BA88-DD810B2F88B7}"/>
            </a:ext>
          </a:extLst>
        </xdr:cNvPr>
        <xdr:cNvSpPr/>
      </xdr:nvSpPr>
      <xdr:spPr>
        <a:xfrm>
          <a:off x="685800" y="12230100"/>
          <a:ext cx="2047875" cy="1238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123825</xdr:colOff>
      <xdr:row>161</xdr:row>
      <xdr:rowOff>28576</xdr:rowOff>
    </xdr:from>
    <xdr:to>
      <xdr:col>4</xdr:col>
      <xdr:colOff>695325</xdr:colOff>
      <xdr:row>161</xdr:row>
      <xdr:rowOff>180975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7551B328-3104-4889-BC43-3630B5197C1E}"/>
            </a:ext>
          </a:extLst>
        </xdr:cNvPr>
        <xdr:cNvSpPr/>
      </xdr:nvSpPr>
      <xdr:spPr>
        <a:xfrm>
          <a:off x="1866900" y="30880051"/>
          <a:ext cx="2238375" cy="15239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</xdr:row>
      <xdr:rowOff>123825</xdr:rowOff>
    </xdr:from>
    <xdr:to>
      <xdr:col>14</xdr:col>
      <xdr:colOff>46724</xdr:colOff>
      <xdr:row>33</xdr:row>
      <xdr:rowOff>65968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2A9675-913D-844D-43BF-506E0003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695325"/>
          <a:ext cx="7209524" cy="5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86"/>
  <sheetViews>
    <sheetView showGridLines="0" showRowColHeaders="0" tabSelected="1" workbookViewId="0">
      <selection activeCell="P71" sqref="P71"/>
    </sheetView>
  </sheetViews>
  <sheetFormatPr defaultRowHeight="15" x14ac:dyDescent="0.25"/>
  <cols>
    <col min="1" max="2" width="9.140625" style="2"/>
    <col min="3" max="3" width="9.7109375" style="2" bestFit="1" customWidth="1"/>
    <col min="4" max="4" width="13.140625" style="2" bestFit="1" customWidth="1"/>
    <col min="5" max="16384" width="9.140625" style="2"/>
  </cols>
  <sheetData>
    <row r="3" spans="2:3" x14ac:dyDescent="0.25">
      <c r="B3" s="1" t="s">
        <v>0</v>
      </c>
    </row>
    <row r="4" spans="2:3" x14ac:dyDescent="0.25">
      <c r="B4" s="2" t="s">
        <v>1</v>
      </c>
    </row>
    <row r="5" spans="2:3" x14ac:dyDescent="0.25">
      <c r="B5" s="2" t="s">
        <v>2</v>
      </c>
    </row>
    <row r="6" spans="2:3" x14ac:dyDescent="0.25">
      <c r="B6" s="2" t="s">
        <v>3</v>
      </c>
    </row>
    <row r="7" spans="2:3" x14ac:dyDescent="0.25">
      <c r="B7" s="2" t="s">
        <v>4</v>
      </c>
    </row>
    <row r="8" spans="2:3" x14ac:dyDescent="0.25">
      <c r="B8" s="2" t="s">
        <v>5</v>
      </c>
    </row>
    <row r="12" spans="2:3" x14ac:dyDescent="0.25">
      <c r="B12" s="3" t="s">
        <v>7</v>
      </c>
    </row>
    <row r="15" spans="2:3" x14ac:dyDescent="0.25">
      <c r="C15"/>
    </row>
    <row r="17" spans="2:22" x14ac:dyDescent="0.25">
      <c r="N17"/>
      <c r="S17"/>
    </row>
    <row r="19" spans="2:22" x14ac:dyDescent="0.25">
      <c r="I19"/>
      <c r="U19"/>
    </row>
    <row r="22" spans="2:22" x14ac:dyDescent="0.25">
      <c r="J22"/>
    </row>
    <row r="26" spans="2:22" x14ac:dyDescent="0.25">
      <c r="G26" s="2" t="s">
        <v>9</v>
      </c>
      <c r="L26" s="2" t="s">
        <v>10</v>
      </c>
      <c r="Q26" s="2" t="s">
        <v>11</v>
      </c>
      <c r="V26" s="2" t="s">
        <v>12</v>
      </c>
    </row>
    <row r="27" spans="2:22" x14ac:dyDescent="0.25">
      <c r="B27" s="2" t="s">
        <v>8</v>
      </c>
    </row>
    <row r="30" spans="2:22" x14ac:dyDescent="0.25">
      <c r="B30" s="4" t="s">
        <v>14</v>
      </c>
    </row>
    <row r="31" spans="2:22" x14ac:dyDescent="0.25">
      <c r="B31" s="2" t="s">
        <v>13</v>
      </c>
    </row>
    <row r="32" spans="2:22" x14ac:dyDescent="0.25">
      <c r="B32" s="2" t="s">
        <v>15</v>
      </c>
    </row>
    <row r="33" spans="2:2" x14ac:dyDescent="0.25">
      <c r="B33" s="2" t="s">
        <v>16</v>
      </c>
    </row>
    <row r="37" spans="2:2" x14ac:dyDescent="0.25">
      <c r="B37" s="2" t="s">
        <v>19</v>
      </c>
    </row>
    <row r="39" spans="2:2" x14ac:dyDescent="0.25">
      <c r="B39" s="2" t="s">
        <v>20</v>
      </c>
    </row>
    <row r="40" spans="2:2" x14ac:dyDescent="0.25">
      <c r="B40" s="2" t="s">
        <v>21</v>
      </c>
    </row>
    <row r="42" spans="2:2" x14ac:dyDescent="0.25">
      <c r="B42" s="2" t="s">
        <v>22</v>
      </c>
    </row>
    <row r="45" spans="2:2" x14ac:dyDescent="0.25">
      <c r="B45" s="2" t="s">
        <v>23</v>
      </c>
    </row>
    <row r="70" spans="2:16" x14ac:dyDescent="0.25">
      <c r="P70" s="2" cm="1">
        <f t="array" ref="P70:P84">_xlfn.SORTBY(G72:G86,_xlfn.SEQUENCE(ROWS(G72:G86)),-1)</f>
        <v>0</v>
      </c>
    </row>
    <row r="71" spans="2:16" ht="15.75" thickBot="1" x14ac:dyDescent="0.3">
      <c r="B71" s="2" t="s">
        <v>68</v>
      </c>
      <c r="C71" s="2" t="s">
        <v>69</v>
      </c>
      <c r="D71" s="2" t="s">
        <v>70</v>
      </c>
      <c r="P71" s="2">
        <v>0</v>
      </c>
    </row>
    <row r="72" spans="2:16" ht="15.75" customHeight="1" thickBot="1" x14ac:dyDescent="0.3">
      <c r="B72" s="2">
        <v>2009</v>
      </c>
      <c r="C72" s="19">
        <v>24509</v>
      </c>
      <c r="D72" s="2">
        <v>0</v>
      </c>
      <c r="G72" s="29"/>
      <c r="P72" s="2">
        <v>0</v>
      </c>
    </row>
    <row r="73" spans="2:16" ht="15.75" customHeight="1" thickBot="1" x14ac:dyDescent="0.3">
      <c r="B73" s="2">
        <v>2010</v>
      </c>
      <c r="C73" s="19">
        <v>34204</v>
      </c>
      <c r="D73" s="30">
        <f>(C73-C72)/C72</f>
        <v>0.3955689746623689</v>
      </c>
      <c r="G73" s="29"/>
      <c r="P73" s="2">
        <v>0</v>
      </c>
    </row>
    <row r="74" spans="2:16" ht="15.75" customHeight="1" thickBot="1" x14ac:dyDescent="0.3">
      <c r="B74" s="2">
        <v>2011</v>
      </c>
      <c r="C74" s="19">
        <v>48077</v>
      </c>
      <c r="D74" s="30">
        <f t="shared" ref="D74:D85" si="0">(C74-C73)/C73</f>
        <v>0.40559583674424043</v>
      </c>
      <c r="G74" s="29"/>
      <c r="P74" s="2">
        <v>0</v>
      </c>
    </row>
    <row r="75" spans="2:16" ht="15.75" customHeight="1" thickBot="1" x14ac:dyDescent="0.3">
      <c r="B75" s="2">
        <v>2012</v>
      </c>
      <c r="C75" s="19">
        <v>61093</v>
      </c>
      <c r="D75" s="30">
        <f t="shared" si="0"/>
        <v>0.27073236682821306</v>
      </c>
      <c r="G75" s="29"/>
      <c r="P75" s="2">
        <v>0</v>
      </c>
    </row>
    <row r="76" spans="2:16" ht="15.75" customHeight="1" thickBot="1" x14ac:dyDescent="0.3">
      <c r="B76" s="2">
        <v>2013</v>
      </c>
      <c r="C76" s="19">
        <v>74452</v>
      </c>
      <c r="D76" s="30">
        <f t="shared" si="0"/>
        <v>0.21866662301736697</v>
      </c>
      <c r="G76" s="29"/>
      <c r="P76" s="2">
        <v>0</v>
      </c>
    </row>
    <row r="77" spans="2:16" ht="15.75" customHeight="1" thickBot="1" x14ac:dyDescent="0.3">
      <c r="B77" s="2">
        <v>2014</v>
      </c>
      <c r="C77" s="19">
        <v>88988</v>
      </c>
      <c r="D77" s="30">
        <f t="shared" si="0"/>
        <v>0.19523988610111212</v>
      </c>
      <c r="G77" s="29"/>
      <c r="P77" s="2">
        <v>0</v>
      </c>
    </row>
    <row r="78" spans="2:16" ht="15.75" customHeight="1" thickBot="1" x14ac:dyDescent="0.3">
      <c r="B78" s="2">
        <v>2015</v>
      </c>
      <c r="C78" s="19">
        <v>107006</v>
      </c>
      <c r="D78" s="30">
        <f t="shared" si="0"/>
        <v>0.20247673843664316</v>
      </c>
      <c r="G78" s="29"/>
      <c r="P78" s="2">
        <v>0</v>
      </c>
    </row>
    <row r="79" spans="2:16" ht="15.75" customHeight="1" thickBot="1" x14ac:dyDescent="0.3">
      <c r="B79" s="2">
        <v>2016</v>
      </c>
      <c r="C79" s="19">
        <v>135987</v>
      </c>
      <c r="D79" s="30">
        <f t="shared" si="0"/>
        <v>0.27083528026465803</v>
      </c>
      <c r="G79" s="29"/>
      <c r="P79" s="2">
        <v>0</v>
      </c>
    </row>
    <row r="80" spans="2:16" ht="15.75" customHeight="1" thickBot="1" x14ac:dyDescent="0.3">
      <c r="B80" s="2">
        <v>2017</v>
      </c>
      <c r="C80" s="19">
        <v>177866</v>
      </c>
      <c r="D80" s="30">
        <f t="shared" si="0"/>
        <v>0.30796326119408474</v>
      </c>
      <c r="G80" s="29"/>
      <c r="P80" s="2">
        <v>0</v>
      </c>
    </row>
    <row r="81" spans="2:16" ht="15.75" thickBot="1" x14ac:dyDescent="0.3">
      <c r="B81" s="2">
        <v>2018</v>
      </c>
      <c r="C81" s="19">
        <v>232887</v>
      </c>
      <c r="D81" s="30">
        <f t="shared" si="0"/>
        <v>0.3093396152159491</v>
      </c>
      <c r="G81" s="29"/>
      <c r="P81" s="2">
        <v>0</v>
      </c>
    </row>
    <row r="82" spans="2:16" ht="15.75" thickBot="1" x14ac:dyDescent="0.3">
      <c r="B82" s="2">
        <v>2019</v>
      </c>
      <c r="C82" s="19">
        <v>280522</v>
      </c>
      <c r="D82" s="30">
        <f t="shared" si="0"/>
        <v>0.2045412582067698</v>
      </c>
      <c r="G82" s="29"/>
      <c r="P82" s="2">
        <v>0</v>
      </c>
    </row>
    <row r="83" spans="2:16" ht="15.75" thickBot="1" x14ac:dyDescent="0.3">
      <c r="B83" s="2">
        <v>2020</v>
      </c>
      <c r="C83" s="19">
        <v>386064</v>
      </c>
      <c r="D83" s="30">
        <f t="shared" si="0"/>
        <v>0.37623430604373276</v>
      </c>
      <c r="G83" s="29"/>
      <c r="P83" s="2">
        <v>0</v>
      </c>
    </row>
    <row r="84" spans="2:16" ht="15.75" thickBot="1" x14ac:dyDescent="0.3">
      <c r="B84" s="2">
        <v>2021</v>
      </c>
      <c r="C84" s="19">
        <v>469822</v>
      </c>
      <c r="D84" s="30">
        <f t="shared" si="0"/>
        <v>0.21695366571345684</v>
      </c>
      <c r="G84" s="29"/>
      <c r="P84" s="2">
        <v>0</v>
      </c>
    </row>
    <row r="85" spans="2:16" ht="15.75" thickBot="1" x14ac:dyDescent="0.3">
      <c r="B85" s="2">
        <v>2022</v>
      </c>
      <c r="C85" s="19">
        <v>513983</v>
      </c>
      <c r="D85" s="30">
        <f t="shared" si="0"/>
        <v>9.3995172639850841E-2</v>
      </c>
      <c r="G85" s="29"/>
    </row>
    <row r="86" spans="2:16" x14ac:dyDescent="0.25">
      <c r="B86" s="2">
        <v>2023</v>
      </c>
      <c r="C86" s="19">
        <v>574785</v>
      </c>
      <c r="D86" s="31"/>
      <c r="G86" s="2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3A6C-FEFA-409A-B2A1-5D61F52EA24A}">
  <dimension ref="A3:U145"/>
  <sheetViews>
    <sheetView showGridLines="0" showRowColHeaders="0" topLeftCell="A114" workbookViewId="0">
      <selection activeCell="C146" sqref="C146"/>
    </sheetView>
  </sheetViews>
  <sheetFormatPr defaultRowHeight="15" x14ac:dyDescent="0.25"/>
  <cols>
    <col min="1" max="1" width="9.140625" style="2"/>
    <col min="2" max="2" width="29.42578125" style="2" customWidth="1"/>
    <col min="3" max="3" width="13" style="2" customWidth="1"/>
    <col min="4" max="8" width="13.7109375" style="2" customWidth="1"/>
    <col min="9" max="16384" width="9.140625" style="2"/>
  </cols>
  <sheetData>
    <row r="3" spans="1:6" x14ac:dyDescent="0.25">
      <c r="A3" s="1" t="s">
        <v>17</v>
      </c>
    </row>
    <row r="5" spans="1:6" x14ac:dyDescent="0.25">
      <c r="B5" s="3" t="s">
        <v>6</v>
      </c>
    </row>
    <row r="7" spans="1:6" x14ac:dyDescent="0.25">
      <c r="B7" s="2" t="s">
        <v>18</v>
      </c>
      <c r="D7" s="5">
        <v>4.4999999999999998E-2</v>
      </c>
    </row>
    <row r="8" spans="1:6" x14ac:dyDescent="0.25">
      <c r="B8" s="2" t="s">
        <v>37</v>
      </c>
      <c r="D8" s="10">
        <v>0.03</v>
      </c>
    </row>
    <row r="10" spans="1:6" x14ac:dyDescent="0.25">
      <c r="B10" s="2" t="s">
        <v>39</v>
      </c>
      <c r="D10"/>
    </row>
    <row r="11" spans="1:6" x14ac:dyDescent="0.25">
      <c r="B11" s="5">
        <f>D7</f>
        <v>4.4999999999999998E-2</v>
      </c>
      <c r="F11" s="5">
        <f>D8</f>
        <v>0.03</v>
      </c>
    </row>
    <row r="14" spans="1:6" x14ac:dyDescent="0.25">
      <c r="B14" s="3" t="s">
        <v>24</v>
      </c>
    </row>
    <row r="16" spans="1:6" x14ac:dyDescent="0.25">
      <c r="B16" s="2" t="s">
        <v>25</v>
      </c>
    </row>
    <row r="17" spans="1:13" x14ac:dyDescent="0.25">
      <c r="B17" s="2" t="s">
        <v>26</v>
      </c>
    </row>
    <row r="19" spans="1:13" x14ac:dyDescent="0.25">
      <c r="B19" s="2" t="s">
        <v>27</v>
      </c>
      <c r="F19" s="5">
        <v>3.9699999999999999E-2</v>
      </c>
    </row>
    <row r="20" spans="1:13" x14ac:dyDescent="0.25">
      <c r="B20" s="2" t="s">
        <v>28</v>
      </c>
      <c r="F20" s="5">
        <v>4.1200000000000001E-2</v>
      </c>
    </row>
    <row r="23" spans="1:13" x14ac:dyDescent="0.25">
      <c r="B23" s="2" t="s">
        <v>33</v>
      </c>
      <c r="D23"/>
    </row>
    <row r="24" spans="1:13" x14ac:dyDescent="0.25">
      <c r="B24" s="5">
        <f>F19</f>
        <v>3.9699999999999999E-2</v>
      </c>
      <c r="F24" s="5">
        <f>F20</f>
        <v>4.1200000000000001E-2</v>
      </c>
    </row>
    <row r="26" spans="1:13" x14ac:dyDescent="0.25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B27" s="3" t="s">
        <v>34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35" spans="2:6" x14ac:dyDescent="0.25">
      <c r="B35" s="2" t="s">
        <v>35</v>
      </c>
      <c r="F35" s="2">
        <v>0.67</v>
      </c>
    </row>
    <row r="36" spans="2:6" x14ac:dyDescent="0.25">
      <c r="B36" s="2" t="s">
        <v>36</v>
      </c>
      <c r="F36" s="2">
        <v>0.88</v>
      </c>
    </row>
    <row r="38" spans="2:6" x14ac:dyDescent="0.25">
      <c r="B38" s="2" t="s">
        <v>38</v>
      </c>
      <c r="D38"/>
    </row>
    <row r="39" spans="2:6" x14ac:dyDescent="0.25">
      <c r="B39" s="2">
        <f>F35</f>
        <v>0.67</v>
      </c>
      <c r="F39" s="2">
        <f>F36</f>
        <v>0.88</v>
      </c>
    </row>
    <row r="43" spans="2:6" x14ac:dyDescent="0.25">
      <c r="B43" s="3" t="s">
        <v>32</v>
      </c>
    </row>
    <row r="45" spans="2:6" x14ac:dyDescent="0.25">
      <c r="C45" s="2" t="s">
        <v>30</v>
      </c>
      <c r="D45" s="2" t="s">
        <v>31</v>
      </c>
    </row>
    <row r="46" spans="2:6" x14ac:dyDescent="0.25">
      <c r="B46" s="2" t="s">
        <v>6</v>
      </c>
      <c r="C46" s="8">
        <f>D7</f>
        <v>4.4999999999999998E-2</v>
      </c>
      <c r="D46" s="11">
        <f>D8</f>
        <v>0.03</v>
      </c>
    </row>
    <row r="47" spans="2:6" x14ac:dyDescent="0.25">
      <c r="B47" s="2" t="s">
        <v>24</v>
      </c>
      <c r="C47" s="8">
        <f>B24</f>
        <v>3.9699999999999999E-2</v>
      </c>
      <c r="D47" s="8">
        <f>F24</f>
        <v>4.1200000000000001E-2</v>
      </c>
    </row>
    <row r="48" spans="2:6" ht="15.75" thickBot="1" x14ac:dyDescent="0.3">
      <c r="B48" s="2" t="s">
        <v>34</v>
      </c>
      <c r="C48" s="12">
        <f>B39</f>
        <v>0.67</v>
      </c>
      <c r="D48" s="12">
        <f>F36</f>
        <v>0.88</v>
      </c>
    </row>
    <row r="49" spans="1:21" ht="15.75" thickBot="1" x14ac:dyDescent="0.3">
      <c r="B49" s="13" t="s">
        <v>32</v>
      </c>
      <c r="C49" s="14">
        <f>C46+(C47*C48)</f>
        <v>7.1598999999999996E-2</v>
      </c>
      <c r="D49" s="15">
        <f>D46+(D47*D48)</f>
        <v>6.6256000000000009E-2</v>
      </c>
    </row>
    <row r="51" spans="1:21" x14ac:dyDescent="0.25">
      <c r="B51" s="3" t="s">
        <v>40</v>
      </c>
      <c r="D51"/>
    </row>
    <row r="52" spans="1:21" x14ac:dyDescent="0.25">
      <c r="B52" s="5">
        <f>C49</f>
        <v>7.1598999999999996E-2</v>
      </c>
      <c r="E52" s="5">
        <f>D49</f>
        <v>6.6256000000000009E-2</v>
      </c>
    </row>
    <row r="54" spans="1:21" x14ac:dyDescent="0.25">
      <c r="B54" s="2" t="s">
        <v>29</v>
      </c>
      <c r="C54" s="6" t="s">
        <v>30</v>
      </c>
      <c r="D54" s="6">
        <v>1</v>
      </c>
      <c r="E54" s="6">
        <v>2</v>
      </c>
      <c r="F54" s="6">
        <v>3</v>
      </c>
      <c r="G54" s="6">
        <v>4</v>
      </c>
      <c r="H54" s="6">
        <v>5</v>
      </c>
      <c r="I54" s="6" t="s">
        <v>31</v>
      </c>
      <c r="J54" s="6"/>
      <c r="K54" s="6"/>
      <c r="L54" s="6"/>
    </row>
    <row r="55" spans="1:21" x14ac:dyDescent="0.25">
      <c r="B55" s="7" t="s">
        <v>32</v>
      </c>
      <c r="C55" s="8">
        <f>B52</f>
        <v>7.1598999999999996E-2</v>
      </c>
      <c r="D55" s="8">
        <f>C55+D56</f>
        <v>7.0708499999999994E-2</v>
      </c>
      <c r="E55" s="8">
        <f>D55+E56</f>
        <v>6.9817999999999991E-2</v>
      </c>
      <c r="F55" s="8">
        <f t="shared" ref="F55:H55" si="0">E55+F56</f>
        <v>6.8927499999999989E-2</v>
      </c>
      <c r="G55" s="8">
        <f t="shared" si="0"/>
        <v>6.8036999999999986E-2</v>
      </c>
      <c r="H55" s="8">
        <f t="shared" si="0"/>
        <v>6.7146499999999984E-2</v>
      </c>
      <c r="I55" s="8">
        <f>E52</f>
        <v>6.6256000000000009E-2</v>
      </c>
      <c r="J55" s="5"/>
      <c r="K55" s="5"/>
      <c r="L55" s="5"/>
    </row>
    <row r="56" spans="1:21" s="9" customFormat="1" x14ac:dyDescent="0.25">
      <c r="C56" s="9">
        <f>(I55-C55)/6</f>
        <v>-8.9049999999999774E-4</v>
      </c>
      <c r="D56" s="9">
        <f>C56</f>
        <v>-8.9049999999999774E-4</v>
      </c>
      <c r="E56" s="9">
        <f t="shared" ref="E56:M56" si="1">D56</f>
        <v>-8.9049999999999774E-4</v>
      </c>
      <c r="F56" s="9">
        <f t="shared" si="1"/>
        <v>-8.9049999999999774E-4</v>
      </c>
      <c r="G56" s="9">
        <f t="shared" si="1"/>
        <v>-8.9049999999999774E-4</v>
      </c>
      <c r="H56" s="9">
        <f t="shared" si="1"/>
        <v>-8.9049999999999774E-4</v>
      </c>
      <c r="I56" s="9">
        <f t="shared" si="1"/>
        <v>-8.9049999999999774E-4</v>
      </c>
      <c r="M56" s="9">
        <f t="shared" si="1"/>
        <v>0</v>
      </c>
    </row>
    <row r="57" spans="1:21" s="21" customFormat="1" x14ac:dyDescent="0.25">
      <c r="B57" s="22" t="s">
        <v>62</v>
      </c>
    </row>
    <row r="58" spans="1:21" s="21" customFormat="1" x14ac:dyDescent="0.25">
      <c r="B58" s="21" t="s">
        <v>63</v>
      </c>
      <c r="C58" s="23">
        <v>13.3</v>
      </c>
    </row>
    <row r="59" spans="1:21" s="21" customFormat="1" x14ac:dyDescent="0.25">
      <c r="B59" s="21" t="s">
        <v>64</v>
      </c>
      <c r="C59" s="24">
        <f>16.21*1000</f>
        <v>16210</v>
      </c>
      <c r="D59" s="21" t="s">
        <v>66</v>
      </c>
      <c r="E59" s="25"/>
    </row>
    <row r="60" spans="1:21" s="21" customFormat="1" x14ac:dyDescent="0.25"/>
    <row r="61" spans="1:21" s="21" customFormat="1" x14ac:dyDescent="0.25">
      <c r="B61" s="21" t="s">
        <v>65</v>
      </c>
      <c r="C61" s="23">
        <f>C58*C59</f>
        <v>215593</v>
      </c>
      <c r="D61" s="21" t="s">
        <v>66</v>
      </c>
    </row>
    <row r="62" spans="1:21" s="21" customFormat="1" x14ac:dyDescent="0.25">
      <c r="C62" s="23"/>
    </row>
    <row r="63" spans="1:21" s="21" customFormat="1" x14ac:dyDescent="0.25">
      <c r="A63" s="26"/>
      <c r="B63" s="26"/>
      <c r="C63" s="27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 spans="1:21" s="21" customFormat="1" x14ac:dyDescent="0.25"/>
    <row r="65" spans="1:8" x14ac:dyDescent="0.25">
      <c r="A65" s="1" t="s">
        <v>41</v>
      </c>
    </row>
    <row r="66" spans="1:8" x14ac:dyDescent="0.25">
      <c r="A66" s="1"/>
    </row>
    <row r="67" spans="1:8" x14ac:dyDescent="0.25">
      <c r="A67" s="1"/>
      <c r="B67" s="3" t="s">
        <v>49</v>
      </c>
    </row>
    <row r="69" spans="1:8" x14ac:dyDescent="0.25">
      <c r="B69" s="16" t="s">
        <v>42</v>
      </c>
      <c r="C69" s="16"/>
      <c r="D69" s="16"/>
      <c r="E69" s="16"/>
    </row>
    <row r="70" spans="1:8" x14ac:dyDescent="0.25">
      <c r="B70" s="16" t="s">
        <v>43</v>
      </c>
      <c r="C70" s="16"/>
      <c r="D70" s="16"/>
      <c r="E70" s="16"/>
    </row>
    <row r="71" spans="1:8" x14ac:dyDescent="0.25">
      <c r="B71" s="16" t="s">
        <v>44</v>
      </c>
      <c r="C71" s="16"/>
      <c r="D71" s="16"/>
      <c r="E71" s="16"/>
    </row>
    <row r="72" spans="1:8" x14ac:dyDescent="0.25">
      <c r="C72" s="17"/>
      <c r="D72" s="17"/>
      <c r="E72" s="17"/>
    </row>
    <row r="73" spans="1:8" x14ac:dyDescent="0.25">
      <c r="B73" s="2" t="s">
        <v>45</v>
      </c>
    </row>
    <row r="75" spans="1:8" x14ac:dyDescent="0.25">
      <c r="B75" s="2" t="s">
        <v>48</v>
      </c>
      <c r="H75" s="6">
        <f>2971/208</f>
        <v>14.283653846153847</v>
      </c>
    </row>
    <row r="77" spans="1:8" x14ac:dyDescent="0.25">
      <c r="B77" s="2" t="s">
        <v>46</v>
      </c>
      <c r="C77" s="5">
        <v>5.8999999999999999E-3</v>
      </c>
    </row>
    <row r="80" spans="1:8" x14ac:dyDescent="0.25">
      <c r="B80" s="3" t="s">
        <v>47</v>
      </c>
      <c r="D80"/>
    </row>
    <row r="81" spans="2:9" x14ac:dyDescent="0.25">
      <c r="B81" s="5">
        <f>D7+WACC!C77</f>
        <v>5.0900000000000001E-2</v>
      </c>
      <c r="E81" s="5">
        <f>D8+C77</f>
        <v>3.5900000000000001E-2</v>
      </c>
    </row>
    <row r="83" spans="2:9" x14ac:dyDescent="0.25">
      <c r="B83" s="2" t="s">
        <v>29</v>
      </c>
      <c r="C83" s="6" t="s">
        <v>30</v>
      </c>
      <c r="D83" s="6">
        <v>1</v>
      </c>
      <c r="E83" s="6">
        <v>2</v>
      </c>
      <c r="F83" s="6">
        <v>3</v>
      </c>
      <c r="G83" s="6">
        <v>4</v>
      </c>
      <c r="H83" s="6">
        <v>5</v>
      </c>
      <c r="I83" s="6" t="s">
        <v>31</v>
      </c>
    </row>
    <row r="84" spans="2:9" x14ac:dyDescent="0.25">
      <c r="B84" s="7" t="s">
        <v>49</v>
      </c>
      <c r="C84" s="8">
        <f>B81</f>
        <v>5.0900000000000001E-2</v>
      </c>
      <c r="D84" s="8">
        <f>C84+D85</f>
        <v>4.8399999999999999E-2</v>
      </c>
      <c r="E84" s="8">
        <f>D84+E85</f>
        <v>4.5899999999999996E-2</v>
      </c>
      <c r="F84" s="8">
        <f t="shared" ref="F84" si="2">E84+F85</f>
        <v>4.3399999999999994E-2</v>
      </c>
      <c r="G84" s="8">
        <f t="shared" ref="G84" si="3">F84+G85</f>
        <v>4.0899999999999992E-2</v>
      </c>
      <c r="H84" s="8">
        <f t="shared" ref="H84" si="4">G84+H85</f>
        <v>3.839999999999999E-2</v>
      </c>
      <c r="I84" s="8">
        <f>E81</f>
        <v>3.5900000000000001E-2</v>
      </c>
    </row>
    <row r="85" spans="2:9" x14ac:dyDescent="0.25">
      <c r="B85" s="9"/>
      <c r="C85" s="9">
        <f>(I84-C84)/6</f>
        <v>-2.5000000000000001E-3</v>
      </c>
      <c r="D85" s="9">
        <f>C85</f>
        <v>-2.5000000000000001E-3</v>
      </c>
      <c r="E85" s="9">
        <f t="shared" ref="E85" si="5">D85</f>
        <v>-2.5000000000000001E-3</v>
      </c>
      <c r="F85" s="9">
        <f t="shared" ref="F85" si="6">E85</f>
        <v>-2.5000000000000001E-3</v>
      </c>
      <c r="G85" s="9">
        <f t="shared" ref="G85" si="7">F85</f>
        <v>-2.5000000000000001E-3</v>
      </c>
      <c r="H85" s="9">
        <f t="shared" ref="H85" si="8">G85</f>
        <v>-2.5000000000000001E-3</v>
      </c>
      <c r="I85" s="9">
        <f t="shared" ref="I85" si="9">H85</f>
        <v>-2.5000000000000001E-3</v>
      </c>
    </row>
    <row r="89" spans="2:9" x14ac:dyDescent="0.25">
      <c r="B89" s="3" t="s">
        <v>50</v>
      </c>
    </row>
    <row r="92" spans="2:9" x14ac:dyDescent="0.25">
      <c r="B92" s="2" t="s">
        <v>29</v>
      </c>
    </row>
    <row r="93" spans="2:9" x14ac:dyDescent="0.25">
      <c r="B93" s="2">
        <v>2025</v>
      </c>
      <c r="C93" s="19">
        <v>248</v>
      </c>
    </row>
    <row r="94" spans="2:9" x14ac:dyDescent="0.25">
      <c r="B94" s="2">
        <v>2026</v>
      </c>
      <c r="C94" s="19">
        <v>258</v>
      </c>
    </row>
    <row r="95" spans="2:9" x14ac:dyDescent="0.25">
      <c r="B95" s="2">
        <v>2027</v>
      </c>
      <c r="C95" s="19">
        <v>269</v>
      </c>
    </row>
    <row r="96" spans="2:9" x14ac:dyDescent="0.25">
      <c r="B96" s="2">
        <v>2028</v>
      </c>
      <c r="C96" s="19">
        <v>280</v>
      </c>
    </row>
    <row r="97" spans="2:18" x14ac:dyDescent="0.25">
      <c r="B97" s="2">
        <v>2029</v>
      </c>
      <c r="C97" s="19">
        <v>291</v>
      </c>
    </row>
    <row r="98" spans="2:18" x14ac:dyDescent="0.25">
      <c r="B98" s="2" t="s">
        <v>51</v>
      </c>
      <c r="C98" s="19">
        <v>3038</v>
      </c>
    </row>
    <row r="100" spans="2:18" x14ac:dyDescent="0.25">
      <c r="B100" s="2" t="s">
        <v>52</v>
      </c>
      <c r="D100" s="19">
        <f>AVERAGE(C93:C97)</f>
        <v>269.2</v>
      </c>
    </row>
    <row r="101" spans="2:18" x14ac:dyDescent="0.25">
      <c r="B101" s="2" t="s">
        <v>53</v>
      </c>
      <c r="D101" s="2">
        <f>C98/D100</f>
        <v>11.285289747399704</v>
      </c>
    </row>
    <row r="103" spans="2:18" x14ac:dyDescent="0.25">
      <c r="B103" s="2" t="s">
        <v>54</v>
      </c>
    </row>
    <row r="105" spans="2:18" x14ac:dyDescent="0.25">
      <c r="B105" s="2" t="s">
        <v>55</v>
      </c>
    </row>
    <row r="106" spans="2:18" x14ac:dyDescent="0.25">
      <c r="D106" s="20">
        <f>(R109-C109)/15</f>
        <v>-1E-3</v>
      </c>
      <c r="E106" s="20">
        <f>D106</f>
        <v>-1E-3</v>
      </c>
      <c r="F106" s="20">
        <f t="shared" ref="F106:Q106" si="10">E106</f>
        <v>-1E-3</v>
      </c>
      <c r="G106" s="20">
        <f t="shared" si="10"/>
        <v>-1E-3</v>
      </c>
      <c r="H106" s="20">
        <f t="shared" si="10"/>
        <v>-1E-3</v>
      </c>
      <c r="I106" s="20">
        <f t="shared" si="10"/>
        <v>-1E-3</v>
      </c>
      <c r="J106" s="20">
        <f t="shared" si="10"/>
        <v>-1E-3</v>
      </c>
      <c r="K106" s="20">
        <f t="shared" si="10"/>
        <v>-1E-3</v>
      </c>
      <c r="L106" s="20">
        <f t="shared" si="10"/>
        <v>-1E-3</v>
      </c>
      <c r="M106" s="20">
        <f t="shared" si="10"/>
        <v>-1E-3</v>
      </c>
      <c r="N106" s="20">
        <f t="shared" si="10"/>
        <v>-1E-3</v>
      </c>
      <c r="O106" s="20">
        <f t="shared" si="10"/>
        <v>-1E-3</v>
      </c>
      <c r="P106" s="20">
        <f t="shared" si="10"/>
        <v>-1E-3</v>
      </c>
      <c r="Q106" s="20">
        <f t="shared" si="10"/>
        <v>-1E-3</v>
      </c>
    </row>
    <row r="107" spans="2:18" x14ac:dyDescent="0.25">
      <c r="B107" s="2" t="s">
        <v>29</v>
      </c>
      <c r="C107" s="2">
        <v>1</v>
      </c>
      <c r="D107" s="2">
        <v>2</v>
      </c>
      <c r="E107" s="2">
        <v>3</v>
      </c>
      <c r="F107" s="2">
        <v>4</v>
      </c>
      <c r="G107" s="2">
        <v>5</v>
      </c>
      <c r="H107" s="2">
        <v>6</v>
      </c>
      <c r="I107" s="2">
        <v>7</v>
      </c>
      <c r="J107" s="2">
        <v>8</v>
      </c>
      <c r="K107" s="2">
        <v>9</v>
      </c>
      <c r="L107" s="2">
        <v>10</v>
      </c>
      <c r="M107" s="2">
        <v>11</v>
      </c>
      <c r="N107" s="2">
        <v>12</v>
      </c>
      <c r="O107" s="2">
        <v>13</v>
      </c>
      <c r="P107" s="2">
        <v>14</v>
      </c>
      <c r="Q107" s="2">
        <v>15</v>
      </c>
      <c r="R107" s="2">
        <v>16</v>
      </c>
    </row>
    <row r="108" spans="2:18" x14ac:dyDescent="0.25">
      <c r="B108" s="7" t="s">
        <v>56</v>
      </c>
      <c r="C108" s="7">
        <v>2175</v>
      </c>
      <c r="D108" s="7">
        <v>2175</v>
      </c>
      <c r="E108" s="7">
        <v>2175</v>
      </c>
      <c r="F108" s="7">
        <v>2175</v>
      </c>
      <c r="G108" s="7">
        <v>2175</v>
      </c>
      <c r="H108" s="7">
        <v>2175</v>
      </c>
      <c r="I108" s="7">
        <v>2175</v>
      </c>
      <c r="J108" s="7">
        <v>2175</v>
      </c>
      <c r="K108" s="7">
        <v>2175</v>
      </c>
      <c r="L108" s="7">
        <v>2175</v>
      </c>
      <c r="M108" s="7">
        <v>2175</v>
      </c>
      <c r="N108" s="7">
        <v>2175</v>
      </c>
      <c r="O108" s="7">
        <v>2175</v>
      </c>
      <c r="P108" s="7">
        <v>2175</v>
      </c>
      <c r="Q108" s="7">
        <v>2175</v>
      </c>
      <c r="R108" s="7">
        <v>2175</v>
      </c>
    </row>
    <row r="109" spans="2:18" x14ac:dyDescent="0.25">
      <c r="B109" s="7" t="s">
        <v>49</v>
      </c>
      <c r="C109" s="8">
        <f>B81</f>
        <v>5.0900000000000001E-2</v>
      </c>
      <c r="D109" s="8">
        <f t="shared" ref="D109:Q109" si="11">C109+D106</f>
        <v>4.99E-2</v>
      </c>
      <c r="E109" s="8">
        <f t="shared" si="11"/>
        <v>4.8899999999999999E-2</v>
      </c>
      <c r="F109" s="8">
        <f t="shared" si="11"/>
        <v>4.7899999999999998E-2</v>
      </c>
      <c r="G109" s="8">
        <f t="shared" si="11"/>
        <v>4.6899999999999997E-2</v>
      </c>
      <c r="H109" s="8">
        <f t="shared" si="11"/>
        <v>4.5899999999999996E-2</v>
      </c>
      <c r="I109" s="8">
        <f t="shared" si="11"/>
        <v>4.4899999999999995E-2</v>
      </c>
      <c r="J109" s="8">
        <f t="shared" si="11"/>
        <v>4.3899999999999995E-2</v>
      </c>
      <c r="K109" s="8">
        <f t="shared" si="11"/>
        <v>4.2899999999999994E-2</v>
      </c>
      <c r="L109" s="8">
        <f t="shared" si="11"/>
        <v>4.1899999999999993E-2</v>
      </c>
      <c r="M109" s="8">
        <f t="shared" si="11"/>
        <v>4.0899999999999992E-2</v>
      </c>
      <c r="N109" s="8">
        <f t="shared" si="11"/>
        <v>3.9899999999999991E-2</v>
      </c>
      <c r="O109" s="8">
        <f t="shared" si="11"/>
        <v>3.889999999999999E-2</v>
      </c>
      <c r="P109" s="8">
        <f t="shared" si="11"/>
        <v>3.7899999999999989E-2</v>
      </c>
      <c r="Q109" s="8">
        <f t="shared" si="11"/>
        <v>3.6899999999999988E-2</v>
      </c>
      <c r="R109" s="8">
        <f>E81</f>
        <v>3.5900000000000001E-2</v>
      </c>
    </row>
    <row r="110" spans="2:18" x14ac:dyDescent="0.25">
      <c r="B110" s="7" t="s">
        <v>57</v>
      </c>
      <c r="C110" s="7">
        <f>C108/((1+C109)^C107)</f>
        <v>2069.6545817870397</v>
      </c>
      <c r="D110" s="7">
        <f t="shared" ref="D110:R110" si="12">D108/((1+D109)^D107)</f>
        <v>1973.1649386897734</v>
      </c>
      <c r="E110" s="7">
        <f t="shared" si="12"/>
        <v>1884.7641177250835</v>
      </c>
      <c r="F110" s="7">
        <f t="shared" si="12"/>
        <v>1803.7647681547578</v>
      </c>
      <c r="G110" s="7">
        <f t="shared" si="12"/>
        <v>1729.5505599556839</v>
      </c>
      <c r="H110" s="7">
        <f t="shared" si="12"/>
        <v>1661.5686264507945</v>
      </c>
      <c r="I110" s="7">
        <f t="shared" si="12"/>
        <v>1599.3229047316224</v>
      </c>
      <c r="J110" s="7">
        <f t="shared" si="12"/>
        <v>1542.3682642273473</v>
      </c>
      <c r="K110" s="7">
        <f t="shared" si="12"/>
        <v>1490.3053282236262</v>
      </c>
      <c r="L110" s="7">
        <f t="shared" si="12"/>
        <v>1442.7759056336424</v>
      </c>
      <c r="M110" s="7">
        <f t="shared" si="12"/>
        <v>1399.4589611530928</v>
      </c>
      <c r="N110" s="7">
        <f t="shared" si="12"/>
        <v>1360.0670613276927</v>
      </c>
      <c r="O110" s="7">
        <f t="shared" si="12"/>
        <v>1324.3432422307362</v>
      </c>
      <c r="P110" s="7">
        <f t="shared" si="12"/>
        <v>1292.0582515630479</v>
      </c>
      <c r="Q110" s="7">
        <f t="shared" si="12"/>
        <v>1263.0081241989387</v>
      </c>
      <c r="R110" s="7">
        <f t="shared" si="12"/>
        <v>1237.0120556375762</v>
      </c>
    </row>
    <row r="112" spans="2:18" x14ac:dyDescent="0.25">
      <c r="B112" s="2" t="s">
        <v>58</v>
      </c>
      <c r="C112" s="18">
        <f>SUM(C110:R110)</f>
        <v>25073.187691690462</v>
      </c>
      <c r="D112" s="2" t="s">
        <v>59</v>
      </c>
    </row>
    <row r="113" spans="1:21" x14ac:dyDescent="0.25">
      <c r="B113" s="2" t="s">
        <v>60</v>
      </c>
      <c r="C113" s="18">
        <v>19175</v>
      </c>
    </row>
    <row r="114" spans="1:21" x14ac:dyDescent="0.25">
      <c r="B114" s="2" t="s">
        <v>61</v>
      </c>
      <c r="C114" s="18">
        <f>SUM(C112:C113)</f>
        <v>44248.187691690458</v>
      </c>
    </row>
    <row r="116" spans="1:21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</row>
    <row r="117" spans="1:21" x14ac:dyDescent="0.25">
      <c r="A117" s="1" t="s">
        <v>77</v>
      </c>
    </row>
    <row r="119" spans="1:21" x14ac:dyDescent="0.25">
      <c r="B119" s="3" t="s">
        <v>83</v>
      </c>
      <c r="D119"/>
    </row>
    <row r="120" spans="1:21" x14ac:dyDescent="0.25">
      <c r="B120" s="5" t="s">
        <v>78</v>
      </c>
      <c r="E120" s="5" t="s">
        <v>79</v>
      </c>
      <c r="I120" s="6"/>
      <c r="J120" s="6"/>
      <c r="K120" s="6"/>
    </row>
    <row r="121" spans="1:21" x14ac:dyDescent="0.25">
      <c r="I121" s="5"/>
      <c r="J121" s="5"/>
      <c r="K121" s="5"/>
    </row>
    <row r="122" spans="1:21" x14ac:dyDescent="0.25">
      <c r="B122" s="2" t="s">
        <v>80</v>
      </c>
      <c r="C122" s="10">
        <v>0.21</v>
      </c>
      <c r="I122" s="18"/>
      <c r="J122" s="18"/>
      <c r="K122" s="18"/>
    </row>
    <row r="123" spans="1:21" x14ac:dyDescent="0.25">
      <c r="B123" s="2" t="s">
        <v>81</v>
      </c>
      <c r="C123" s="51">
        <f>731/2871</f>
        <v>0.25461511668408221</v>
      </c>
      <c r="I123" s="5"/>
      <c r="J123" s="5"/>
      <c r="K123" s="5"/>
    </row>
    <row r="124" spans="1:21" x14ac:dyDescent="0.25">
      <c r="I124" s="39"/>
      <c r="J124" s="39"/>
      <c r="K124" s="39"/>
    </row>
    <row r="125" spans="1:21" x14ac:dyDescent="0.25">
      <c r="B125" s="3" t="s">
        <v>84</v>
      </c>
      <c r="D125"/>
      <c r="J125" s="40"/>
      <c r="K125" s="40"/>
    </row>
    <row r="126" spans="1:21" x14ac:dyDescent="0.25">
      <c r="B126" s="5">
        <f>C123</f>
        <v>0.25461511668408221</v>
      </c>
      <c r="E126" s="5">
        <f>C122</f>
        <v>0.21</v>
      </c>
      <c r="J126" s="41"/>
      <c r="K126" s="41"/>
    </row>
    <row r="127" spans="1:21" x14ac:dyDescent="0.25">
      <c r="J127" s="42"/>
      <c r="K127" s="42"/>
    </row>
    <row r="128" spans="1:21" x14ac:dyDescent="0.25">
      <c r="B128" s="2" t="s">
        <v>29</v>
      </c>
      <c r="C128" s="6" t="s">
        <v>30</v>
      </c>
      <c r="D128" s="6">
        <v>1</v>
      </c>
      <c r="E128" s="6">
        <v>2</v>
      </c>
      <c r="F128" s="6">
        <v>3</v>
      </c>
      <c r="G128" s="6">
        <v>4</v>
      </c>
      <c r="H128" s="6">
        <v>5</v>
      </c>
      <c r="I128" s="6" t="s">
        <v>31</v>
      </c>
      <c r="J128" s="42"/>
      <c r="K128" s="42"/>
    </row>
    <row r="129" spans="1:21" x14ac:dyDescent="0.25">
      <c r="B129" s="7" t="s">
        <v>71</v>
      </c>
      <c r="C129" s="8">
        <f>B126</f>
        <v>0.25461511668408221</v>
      </c>
      <c r="D129" s="8">
        <f>C129+D130</f>
        <v>0.24717926390340184</v>
      </c>
      <c r="E129" s="8">
        <f>D129+E130</f>
        <v>0.23974341112272146</v>
      </c>
      <c r="F129" s="8">
        <f t="shared" ref="F129" si="13">E129+F130</f>
        <v>0.23230755834204109</v>
      </c>
      <c r="G129" s="8">
        <f t="shared" ref="G129" si="14">F129+G130</f>
        <v>0.22487170556136071</v>
      </c>
      <c r="H129" s="8">
        <f t="shared" ref="H129" si="15">G129+H130</f>
        <v>0.21743585278068034</v>
      </c>
      <c r="I129" s="8">
        <f>E126</f>
        <v>0.21</v>
      </c>
      <c r="J129" s="43"/>
      <c r="K129" s="43"/>
    </row>
    <row r="130" spans="1:21" x14ac:dyDescent="0.25">
      <c r="B130" s="9"/>
      <c r="C130" s="9">
        <f>(I129-C129)/6</f>
        <v>-7.4358527806803699E-3</v>
      </c>
      <c r="D130" s="9">
        <f>C130</f>
        <v>-7.4358527806803699E-3</v>
      </c>
      <c r="E130" s="9">
        <f t="shared" ref="E130" si="16">D130</f>
        <v>-7.4358527806803699E-3</v>
      </c>
      <c r="F130" s="9">
        <f t="shared" ref="F130" si="17">E130</f>
        <v>-7.4358527806803699E-3</v>
      </c>
      <c r="G130" s="9">
        <f t="shared" ref="G130" si="18">F130</f>
        <v>-7.4358527806803699E-3</v>
      </c>
      <c r="H130" s="9">
        <f t="shared" ref="H130" si="19">G130</f>
        <v>-7.4358527806803699E-3</v>
      </c>
      <c r="I130" s="9">
        <f t="shared" ref="I130" si="20">H130</f>
        <v>-7.4358527806803699E-3</v>
      </c>
      <c r="J130" s="44"/>
      <c r="K130" s="44"/>
    </row>
    <row r="132" spans="1:21" x14ac:dyDescent="0.25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</row>
    <row r="134" spans="1:21" x14ac:dyDescent="0.25">
      <c r="A134" s="1" t="s">
        <v>67</v>
      </c>
    </row>
    <row r="136" spans="1:21" x14ac:dyDescent="0.25">
      <c r="B136" s="2" t="s">
        <v>72</v>
      </c>
      <c r="C136" s="2">
        <v>1</v>
      </c>
      <c r="D136" s="6">
        <v>2</v>
      </c>
      <c r="E136" s="6">
        <v>3</v>
      </c>
      <c r="F136" s="6">
        <v>4</v>
      </c>
      <c r="G136" s="6">
        <v>5</v>
      </c>
      <c r="H136" s="6" t="s">
        <v>31</v>
      </c>
    </row>
    <row r="137" spans="1:21" x14ac:dyDescent="0.25">
      <c r="B137" s="7" t="s">
        <v>32</v>
      </c>
      <c r="C137" s="8">
        <f>D55</f>
        <v>7.0708499999999994E-2</v>
      </c>
      <c r="D137" s="8">
        <f t="shared" ref="D137:H137" si="21">E55</f>
        <v>6.9817999999999991E-2</v>
      </c>
      <c r="E137" s="8">
        <f t="shared" si="21"/>
        <v>6.8927499999999989E-2</v>
      </c>
      <c r="F137" s="8">
        <f t="shared" si="21"/>
        <v>6.8036999999999986E-2</v>
      </c>
      <c r="G137" s="8">
        <f t="shared" si="21"/>
        <v>6.7146499999999984E-2</v>
      </c>
      <c r="H137" s="47">
        <f t="shared" si="21"/>
        <v>6.6256000000000009E-2</v>
      </c>
    </row>
    <row r="138" spans="1:21" x14ac:dyDescent="0.25">
      <c r="B138" s="7" t="s">
        <v>62</v>
      </c>
      <c r="C138" s="32">
        <f>C61</f>
        <v>215593</v>
      </c>
      <c r="D138" s="32">
        <f>C138</f>
        <v>215593</v>
      </c>
      <c r="E138" s="32">
        <f t="shared" ref="E138:H138" si="22">D138</f>
        <v>215593</v>
      </c>
      <c r="F138" s="32">
        <f t="shared" si="22"/>
        <v>215593</v>
      </c>
      <c r="G138" s="32">
        <f t="shared" si="22"/>
        <v>215593</v>
      </c>
      <c r="H138" s="48">
        <f t="shared" si="22"/>
        <v>215593</v>
      </c>
    </row>
    <row r="139" spans="1:21" x14ac:dyDescent="0.25">
      <c r="B139" s="7" t="s">
        <v>49</v>
      </c>
      <c r="C139" s="8">
        <f t="shared" ref="C139:H139" si="23">D84</f>
        <v>4.8399999999999999E-2</v>
      </c>
      <c r="D139" s="8">
        <f t="shared" si="23"/>
        <v>4.5899999999999996E-2</v>
      </c>
      <c r="E139" s="8">
        <f t="shared" si="23"/>
        <v>4.3399999999999994E-2</v>
      </c>
      <c r="F139" s="8">
        <f t="shared" si="23"/>
        <v>4.0899999999999992E-2</v>
      </c>
      <c r="G139" s="8">
        <f t="shared" si="23"/>
        <v>3.839999999999999E-2</v>
      </c>
      <c r="H139" s="47">
        <f t="shared" si="23"/>
        <v>3.5900000000000001E-2</v>
      </c>
    </row>
    <row r="140" spans="1:21" x14ac:dyDescent="0.25">
      <c r="B140" s="7" t="s">
        <v>71</v>
      </c>
      <c r="C140" s="52">
        <f>D129</f>
        <v>0.24717926390340184</v>
      </c>
      <c r="D140" s="52">
        <f t="shared" ref="D140:H140" si="24">E129</f>
        <v>0.23974341112272146</v>
      </c>
      <c r="E140" s="52">
        <f t="shared" si="24"/>
        <v>0.23230755834204109</v>
      </c>
      <c r="F140" s="52">
        <f t="shared" si="24"/>
        <v>0.22487170556136071</v>
      </c>
      <c r="G140" s="52">
        <f t="shared" si="24"/>
        <v>0.21743585278068034</v>
      </c>
      <c r="H140" s="52">
        <f t="shared" si="24"/>
        <v>0.21</v>
      </c>
    </row>
    <row r="141" spans="1:21" x14ac:dyDescent="0.25">
      <c r="B141" s="7" t="s">
        <v>73</v>
      </c>
      <c r="C141" s="33">
        <f t="shared" ref="C141:H141" si="25">C139*(1-C140)</f>
        <v>3.6436523627075348E-2</v>
      </c>
      <c r="D141" s="33">
        <f t="shared" si="25"/>
        <v>3.4895777429467083E-2</v>
      </c>
      <c r="E141" s="33">
        <f t="shared" si="25"/>
        <v>3.3317851967955413E-2</v>
      </c>
      <c r="F141" s="33">
        <f t="shared" si="25"/>
        <v>3.1702747242540338E-2</v>
      </c>
      <c r="G141" s="33">
        <f t="shared" si="25"/>
        <v>3.0050463253221867E-2</v>
      </c>
      <c r="H141" s="49">
        <f t="shared" si="25"/>
        <v>2.8361000000000001E-2</v>
      </c>
    </row>
    <row r="142" spans="1:21" x14ac:dyDescent="0.25">
      <c r="B142" s="7" t="s">
        <v>50</v>
      </c>
      <c r="C142" s="35">
        <f>C114</f>
        <v>44248.187691690458</v>
      </c>
      <c r="D142" s="35">
        <f>C142</f>
        <v>44248.187691690458</v>
      </c>
      <c r="E142" s="35">
        <f>D142</f>
        <v>44248.187691690458</v>
      </c>
      <c r="F142" s="35">
        <f>E142</f>
        <v>44248.187691690458</v>
      </c>
      <c r="G142" s="35">
        <f>F142</f>
        <v>44248.187691690458</v>
      </c>
      <c r="H142" s="45">
        <f>G142</f>
        <v>44248.187691690458</v>
      </c>
    </row>
    <row r="143" spans="1:21" x14ac:dyDescent="0.25">
      <c r="B143" s="7" t="s">
        <v>74</v>
      </c>
      <c r="C143" s="34">
        <f t="shared" ref="C143:H143" si="26">C142/(C138+C142)</f>
        <v>0.17028935283420998</v>
      </c>
      <c r="D143" s="34">
        <f t="shared" si="26"/>
        <v>0.17028935283420998</v>
      </c>
      <c r="E143" s="34">
        <f t="shared" si="26"/>
        <v>0.17028935283420998</v>
      </c>
      <c r="F143" s="34">
        <f t="shared" si="26"/>
        <v>0.17028935283420998</v>
      </c>
      <c r="G143" s="34">
        <f t="shared" si="26"/>
        <v>0.17028935283420998</v>
      </c>
      <c r="H143" s="46">
        <f t="shared" si="26"/>
        <v>0.17028935283420998</v>
      </c>
    </row>
    <row r="144" spans="1:21" ht="15.75" thickBot="1" x14ac:dyDescent="0.3">
      <c r="B144" s="12" t="s">
        <v>75</v>
      </c>
      <c r="C144" s="36">
        <f t="shared" ref="C144:H144" si="27">C138/(C138+C142)</f>
        <v>0.82971064716579002</v>
      </c>
      <c r="D144" s="36">
        <f t="shared" si="27"/>
        <v>0.82971064716579002</v>
      </c>
      <c r="E144" s="36">
        <f t="shared" si="27"/>
        <v>0.82971064716579002</v>
      </c>
      <c r="F144" s="36">
        <f t="shared" si="27"/>
        <v>0.82971064716579002</v>
      </c>
      <c r="G144" s="36">
        <f t="shared" si="27"/>
        <v>0.82971064716579002</v>
      </c>
      <c r="H144" s="50">
        <f t="shared" si="27"/>
        <v>0.82971064716579002</v>
      </c>
    </row>
    <row r="145" spans="2:8" ht="15.75" thickBot="1" x14ac:dyDescent="0.3">
      <c r="B145" s="37" t="s">
        <v>76</v>
      </c>
      <c r="C145" s="38">
        <f>(C137*C144)+(C141*C143)</f>
        <v>6.4872347323105317E-2</v>
      </c>
      <c r="D145" s="38">
        <f t="shared" ref="D145:H145" si="28">(D137*D144)+(D141*D143)</f>
        <v>6.3871117318931706E-2</v>
      </c>
      <c r="E145" s="38">
        <f t="shared" si="28"/>
        <v>6.2863556081969113E-2</v>
      </c>
      <c r="F145" s="38">
        <f t="shared" si="28"/>
        <v>6.1849663612217574E-2</v>
      </c>
      <c r="G145" s="38">
        <f t="shared" si="28"/>
        <v>6.0829439909677062E-2</v>
      </c>
      <c r="H145" s="53">
        <f t="shared" si="28"/>
        <v>5.9802884974347617E-2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F08A-F6D3-4C43-8FCC-77B954586B6B}">
  <dimension ref="A3:V166"/>
  <sheetViews>
    <sheetView showGridLines="0" topLeftCell="A70" workbookViewId="0">
      <selection activeCell="E150" sqref="E150"/>
    </sheetView>
  </sheetViews>
  <sheetFormatPr defaultRowHeight="15" x14ac:dyDescent="0.25"/>
  <cols>
    <col min="1" max="1" width="9.140625" style="2"/>
    <col min="2" max="2" width="17" style="2" customWidth="1"/>
    <col min="3" max="3" width="9.7109375" style="2" bestFit="1" customWidth="1"/>
    <col min="4" max="4" width="15.28515625" style="2" customWidth="1"/>
    <col min="5" max="5" width="16.5703125" style="2" customWidth="1"/>
    <col min="6" max="6" width="11.28515625" style="2" customWidth="1"/>
    <col min="7" max="7" width="12.85546875" style="2" customWidth="1"/>
    <col min="8" max="8" width="15.28515625" style="2" customWidth="1"/>
    <col min="9" max="9" width="12.140625" style="2" customWidth="1"/>
    <col min="10" max="10" width="15.7109375" style="2" bestFit="1" customWidth="1"/>
    <col min="11" max="16384" width="9.140625" style="2"/>
  </cols>
  <sheetData>
    <row r="3" spans="1:2" x14ac:dyDescent="0.25">
      <c r="A3" s="1" t="s">
        <v>85</v>
      </c>
    </row>
    <row r="4" spans="1:2" x14ac:dyDescent="0.25">
      <c r="B4" s="2" t="s">
        <v>19</v>
      </c>
    </row>
    <row r="6" spans="1:2" x14ac:dyDescent="0.25">
      <c r="B6" s="2" t="s">
        <v>20</v>
      </c>
    </row>
    <row r="7" spans="1:2" x14ac:dyDescent="0.25">
      <c r="B7" s="2" t="s">
        <v>21</v>
      </c>
    </row>
    <row r="9" spans="1:2" x14ac:dyDescent="0.25">
      <c r="B9" s="2" t="s">
        <v>22</v>
      </c>
    </row>
    <row r="12" spans="1:2" x14ac:dyDescent="0.25">
      <c r="B12" s="2" t="s">
        <v>23</v>
      </c>
    </row>
    <row r="33" spans="2:8" x14ac:dyDescent="0.25">
      <c r="B33" s="2" t="s">
        <v>86</v>
      </c>
    </row>
    <row r="34" spans="2:8" x14ac:dyDescent="0.25">
      <c r="B34" s="2" t="s">
        <v>87</v>
      </c>
    </row>
    <row r="36" spans="2:8" x14ac:dyDescent="0.25">
      <c r="B36" s="3" t="s">
        <v>90</v>
      </c>
    </row>
    <row r="37" spans="2:8" x14ac:dyDescent="0.25">
      <c r="B37" s="3"/>
    </row>
    <row r="38" spans="2:8" x14ac:dyDescent="0.25">
      <c r="B38" s="2" t="s">
        <v>68</v>
      </c>
      <c r="C38" s="2" t="s">
        <v>99</v>
      </c>
      <c r="D38" s="2" t="s">
        <v>70</v>
      </c>
      <c r="F38" s="2" t="s">
        <v>89</v>
      </c>
      <c r="H38" s="5">
        <f>AVERAGE(D45:D49)</f>
        <v>5.3639714537069394E-2</v>
      </c>
    </row>
    <row r="39" spans="2:8" x14ac:dyDescent="0.25">
      <c r="B39" s="2">
        <v>2009</v>
      </c>
      <c r="C39" s="19">
        <v>212</v>
      </c>
      <c r="D39" s="54">
        <v>0</v>
      </c>
      <c r="F39" s="2" t="s">
        <v>88</v>
      </c>
      <c r="H39" s="5">
        <f>MEDIAN(D45:D49)</f>
        <v>5.8064516129032261E-2</v>
      </c>
    </row>
    <row r="40" spans="2:8" x14ac:dyDescent="0.25">
      <c r="B40" s="2">
        <v>2010</v>
      </c>
      <c r="C40" s="19">
        <v>191</v>
      </c>
      <c r="D40" s="55">
        <f>(C40-C39)/C39</f>
        <v>-9.9056603773584911E-2</v>
      </c>
    </row>
    <row r="41" spans="2:8" x14ac:dyDescent="0.25">
      <c r="B41" s="57">
        <v>2011</v>
      </c>
      <c r="C41" s="19">
        <v>181</v>
      </c>
      <c r="D41" s="55">
        <f t="shared" ref="D41:D54" si="0">(C41-C40)/C40</f>
        <v>-5.2356020942408377E-2</v>
      </c>
    </row>
    <row r="42" spans="2:8" x14ac:dyDescent="0.25">
      <c r="B42" s="57">
        <v>2012</v>
      </c>
      <c r="C42" s="19">
        <v>166</v>
      </c>
      <c r="D42" s="55">
        <f t="shared" si="0"/>
        <v>-8.2872928176795577E-2</v>
      </c>
    </row>
    <row r="43" spans="2:8" x14ac:dyDescent="0.25">
      <c r="B43" s="57">
        <v>2013</v>
      </c>
      <c r="C43" s="19">
        <v>158</v>
      </c>
      <c r="D43" s="55">
        <f t="shared" si="0"/>
        <v>-4.8192771084337352E-2</v>
      </c>
    </row>
    <row r="44" spans="2:8" x14ac:dyDescent="0.25">
      <c r="B44" s="57">
        <v>2014</v>
      </c>
      <c r="C44" s="19">
        <v>155</v>
      </c>
      <c r="D44" s="55">
        <f t="shared" si="0"/>
        <v>-1.8987341772151899E-2</v>
      </c>
    </row>
    <row r="45" spans="2:8" x14ac:dyDescent="0.25">
      <c r="B45" s="2">
        <v>2015</v>
      </c>
      <c r="C45" s="19">
        <v>164</v>
      </c>
      <c r="D45" s="55">
        <f t="shared" si="0"/>
        <v>5.8064516129032261E-2</v>
      </c>
    </row>
    <row r="46" spans="2:8" x14ac:dyDescent="0.25">
      <c r="B46" s="2">
        <v>2016</v>
      </c>
      <c r="C46" s="19">
        <v>169</v>
      </c>
      <c r="D46" s="55">
        <f t="shared" si="0"/>
        <v>3.048780487804878E-2</v>
      </c>
    </row>
    <row r="47" spans="2:8" x14ac:dyDescent="0.25">
      <c r="B47" s="2">
        <v>2017</v>
      </c>
      <c r="C47" s="19">
        <v>173</v>
      </c>
      <c r="D47" s="55">
        <f t="shared" si="0"/>
        <v>2.3668639053254437E-2</v>
      </c>
    </row>
    <row r="48" spans="2:8" x14ac:dyDescent="0.25">
      <c r="B48" s="2">
        <v>2018</v>
      </c>
      <c r="C48" s="19">
        <v>189</v>
      </c>
      <c r="D48" s="55">
        <f t="shared" si="0"/>
        <v>9.2485549132947972E-2</v>
      </c>
    </row>
    <row r="49" spans="2:9" x14ac:dyDescent="0.25">
      <c r="B49" s="2">
        <v>2019</v>
      </c>
      <c r="C49" s="19">
        <v>201</v>
      </c>
      <c r="D49" s="55">
        <f t="shared" si="0"/>
        <v>6.3492063492063489E-2</v>
      </c>
    </row>
    <row r="50" spans="2:9" x14ac:dyDescent="0.25">
      <c r="B50" s="2">
        <v>2020</v>
      </c>
      <c r="C50" s="19">
        <v>193</v>
      </c>
      <c r="D50" s="55">
        <f>(C50-C49)/C49</f>
        <v>-3.9800995024875621E-2</v>
      </c>
    </row>
    <row r="51" spans="2:9" x14ac:dyDescent="0.25">
      <c r="B51" s="2">
        <v>2021</v>
      </c>
      <c r="C51" s="19">
        <v>153</v>
      </c>
      <c r="D51" s="55">
        <f t="shared" si="0"/>
        <v>-0.20725388601036268</v>
      </c>
    </row>
    <row r="52" spans="2:9" x14ac:dyDescent="0.25">
      <c r="B52" s="2">
        <v>2022</v>
      </c>
      <c r="C52" s="19">
        <v>185</v>
      </c>
      <c r="D52" s="55">
        <f t="shared" si="0"/>
        <v>0.20915032679738563</v>
      </c>
    </row>
    <row r="53" spans="2:9" x14ac:dyDescent="0.25">
      <c r="B53" s="2">
        <v>2023</v>
      </c>
      <c r="C53" s="19">
        <v>231</v>
      </c>
      <c r="D53" s="55">
        <f>(C53-C52)/C52</f>
        <v>0.24864864864864866</v>
      </c>
    </row>
    <row r="54" spans="2:9" x14ac:dyDescent="0.25">
      <c r="B54" s="2">
        <v>2024</v>
      </c>
      <c r="C54" s="19">
        <v>269</v>
      </c>
      <c r="D54" s="55">
        <f t="shared" si="0"/>
        <v>0.16450216450216451</v>
      </c>
    </row>
    <row r="55" spans="2:9" x14ac:dyDescent="0.25">
      <c r="C55" s="19"/>
      <c r="D55" s="55"/>
    </row>
    <row r="56" spans="2:9" x14ac:dyDescent="0.25">
      <c r="B56" s="2" t="s">
        <v>145</v>
      </c>
      <c r="C56" s="19"/>
      <c r="D56" s="55"/>
    </row>
    <row r="57" spans="2:9" x14ac:dyDescent="0.25">
      <c r="B57" s="3" t="s">
        <v>143</v>
      </c>
      <c r="D57"/>
    </row>
    <row r="58" spans="2:9" x14ac:dyDescent="0.25">
      <c r="B58" s="5">
        <f>D54</f>
        <v>0.16450216450216451</v>
      </c>
      <c r="E58" s="5">
        <f>5%</f>
        <v>0.05</v>
      </c>
    </row>
    <row r="60" spans="2:9" x14ac:dyDescent="0.25">
      <c r="B60" s="2" t="s">
        <v>29</v>
      </c>
      <c r="C60" s="6" t="s">
        <v>30</v>
      </c>
      <c r="D60" s="6">
        <v>1</v>
      </c>
      <c r="E60" s="6">
        <v>2</v>
      </c>
      <c r="F60" s="6">
        <v>3</v>
      </c>
      <c r="G60" s="6">
        <v>4</v>
      </c>
      <c r="H60" s="6">
        <v>5</v>
      </c>
      <c r="I60" s="6" t="s">
        <v>31</v>
      </c>
    </row>
    <row r="61" spans="2:9" x14ac:dyDescent="0.25">
      <c r="B61" s="7" t="s">
        <v>70</v>
      </c>
      <c r="C61" s="8">
        <f>B58</f>
        <v>0.16450216450216451</v>
      </c>
      <c r="D61" s="8">
        <f>C61+D67</f>
        <v>0.14541847041847042</v>
      </c>
      <c r="E61" s="8">
        <f>D61+E67</f>
        <v>0.12633477633477633</v>
      </c>
      <c r="F61" s="8">
        <f t="shared" ref="F61" si="1">E61+F67</f>
        <v>0.10725108225108224</v>
      </c>
      <c r="G61" s="8">
        <f t="shared" ref="G61" si="2">F61+G67</f>
        <v>8.8167388167388144E-2</v>
      </c>
      <c r="H61" s="8">
        <f t="shared" ref="H61" si="3">G61+H67</f>
        <v>6.9083694083694053E-2</v>
      </c>
      <c r="I61" s="8">
        <f>E58</f>
        <v>0.05</v>
      </c>
    </row>
    <row r="62" spans="2:9" x14ac:dyDescent="0.25">
      <c r="B62" s="189"/>
      <c r="C62" s="190"/>
      <c r="D62" s="190"/>
      <c r="E62" s="190"/>
      <c r="F62" s="190"/>
      <c r="G62" s="190"/>
      <c r="H62" s="190"/>
      <c r="I62" s="190"/>
    </row>
    <row r="63" spans="2:9" x14ac:dyDescent="0.25">
      <c r="B63" s="189"/>
      <c r="C63" s="190"/>
      <c r="D63" s="190"/>
      <c r="E63" s="190"/>
      <c r="F63" s="190"/>
      <c r="G63" s="190"/>
      <c r="H63" s="190"/>
      <c r="I63" s="190"/>
    </row>
    <row r="64" spans="2:9" x14ac:dyDescent="0.25">
      <c r="B64" s="3" t="s">
        <v>144</v>
      </c>
      <c r="D64"/>
      <c r="F64" s="190"/>
      <c r="G64" s="190"/>
      <c r="H64" s="190"/>
      <c r="I64" s="190"/>
    </row>
    <row r="65" spans="2:12" x14ac:dyDescent="0.25">
      <c r="B65" s="5"/>
      <c r="D65" s="5">
        <v>0.03</v>
      </c>
      <c r="F65" s="190"/>
      <c r="G65" s="190"/>
      <c r="H65" s="190"/>
      <c r="I65" s="190"/>
    </row>
    <row r="66" spans="2:12" x14ac:dyDescent="0.25">
      <c r="B66" s="189"/>
      <c r="C66" s="190"/>
      <c r="D66" s="190"/>
      <c r="E66" s="190"/>
      <c r="F66" s="190"/>
      <c r="G66" s="190"/>
      <c r="H66" s="190"/>
      <c r="I66" s="190"/>
    </row>
    <row r="67" spans="2:12" x14ac:dyDescent="0.25">
      <c r="B67" s="9"/>
      <c r="C67" s="9">
        <f>(I61-C61)/6</f>
        <v>-1.9083694083694085E-2</v>
      </c>
      <c r="D67" s="9">
        <f>C67</f>
        <v>-1.9083694083694085E-2</v>
      </c>
      <c r="E67" s="9">
        <f t="shared" ref="E67" si="4">D67</f>
        <v>-1.9083694083694085E-2</v>
      </c>
      <c r="F67" s="9">
        <f t="shared" ref="F67" si="5">E67</f>
        <v>-1.9083694083694085E-2</v>
      </c>
      <c r="G67" s="9">
        <f t="shared" ref="G67" si="6">F67</f>
        <v>-1.9083694083694085E-2</v>
      </c>
      <c r="H67" s="9">
        <f t="shared" ref="H67" si="7">G67</f>
        <v>-1.9083694083694085E-2</v>
      </c>
      <c r="I67" s="9">
        <f t="shared" ref="I67" si="8">H67</f>
        <v>-1.9083694083694085E-2</v>
      </c>
    </row>
    <row r="68" spans="2:12" x14ac:dyDescent="0.25">
      <c r="B68" s="3" t="s">
        <v>91</v>
      </c>
    </row>
    <row r="70" spans="2:12" x14ac:dyDescent="0.25">
      <c r="B70" s="2" t="s">
        <v>68</v>
      </c>
      <c r="C70" s="2" t="s">
        <v>99</v>
      </c>
      <c r="D70" s="2" t="s">
        <v>92</v>
      </c>
      <c r="E70" s="2" t="s">
        <v>91</v>
      </c>
    </row>
    <row r="71" spans="2:12" x14ac:dyDescent="0.25">
      <c r="B71" s="2">
        <v>2009</v>
      </c>
      <c r="C71" s="19">
        <v>212</v>
      </c>
      <c r="D71" s="19">
        <v>5</v>
      </c>
      <c r="E71" s="51">
        <f>D71/C71</f>
        <v>2.358490566037736E-2</v>
      </c>
    </row>
    <row r="72" spans="2:12" x14ac:dyDescent="0.25">
      <c r="B72" s="2">
        <v>2010</v>
      </c>
      <c r="C72" s="19">
        <v>191</v>
      </c>
      <c r="D72" s="19">
        <v>0</v>
      </c>
      <c r="E72" s="51">
        <f t="shared" ref="E72:E85" si="9">D72/C72</f>
        <v>0</v>
      </c>
      <c r="K72" s="31"/>
      <c r="L72" s="31"/>
    </row>
    <row r="73" spans="2:12" x14ac:dyDescent="0.25">
      <c r="B73" s="57">
        <v>2011</v>
      </c>
      <c r="C73" s="19">
        <v>181</v>
      </c>
      <c r="D73" s="19">
        <v>-8</v>
      </c>
      <c r="E73" s="51">
        <f t="shared" si="9"/>
        <v>-4.4198895027624308E-2</v>
      </c>
      <c r="G73" s="2" t="s">
        <v>93</v>
      </c>
      <c r="I73" s="5">
        <f>AVERAGE(E71:E85)</f>
        <v>5.7327621179733409E-3</v>
      </c>
      <c r="K73" s="31"/>
      <c r="L73" s="31"/>
    </row>
    <row r="74" spans="2:12" x14ac:dyDescent="0.25">
      <c r="B74" s="57">
        <v>2012</v>
      </c>
      <c r="C74" s="19">
        <v>166</v>
      </c>
      <c r="D74" s="19">
        <v>-13</v>
      </c>
      <c r="E74" s="51">
        <f t="shared" si="9"/>
        <v>-7.8313253012048195E-2</v>
      </c>
      <c r="G74" s="2" t="s">
        <v>94</v>
      </c>
      <c r="I74" s="5">
        <f>MEDIAN(E71:E85)</f>
        <v>9.9502487562189053E-3</v>
      </c>
      <c r="K74" s="31"/>
      <c r="L74" s="31"/>
    </row>
    <row r="75" spans="2:12" x14ac:dyDescent="0.25">
      <c r="B75" s="57">
        <v>2013</v>
      </c>
      <c r="C75" s="19">
        <v>158</v>
      </c>
      <c r="D75" s="19">
        <v>-2</v>
      </c>
      <c r="E75" s="51">
        <f t="shared" si="9"/>
        <v>-1.2658227848101266E-2</v>
      </c>
      <c r="G75" s="2" t="s">
        <v>95</v>
      </c>
      <c r="I75" s="5">
        <v>5.8400000000000001E-2</v>
      </c>
      <c r="K75" s="31"/>
      <c r="L75" s="31"/>
    </row>
    <row r="76" spans="2:12" x14ac:dyDescent="0.25">
      <c r="B76" s="57">
        <v>2014</v>
      </c>
      <c r="C76" s="19">
        <v>155</v>
      </c>
      <c r="D76" s="19">
        <v>-1</v>
      </c>
      <c r="E76" s="51">
        <f t="shared" si="9"/>
        <v>-6.4516129032258064E-3</v>
      </c>
      <c r="K76" s="31"/>
      <c r="L76" s="31"/>
    </row>
    <row r="77" spans="2:12" x14ac:dyDescent="0.25">
      <c r="B77" s="2">
        <v>2015</v>
      </c>
      <c r="C77" s="19">
        <v>164</v>
      </c>
      <c r="D77" s="19">
        <v>2</v>
      </c>
      <c r="E77" s="51">
        <f t="shared" si="9"/>
        <v>1.2195121951219513E-2</v>
      </c>
      <c r="G77" s="51"/>
      <c r="H77" s="5"/>
      <c r="K77" s="31"/>
      <c r="L77" s="31"/>
    </row>
    <row r="78" spans="2:12" x14ac:dyDescent="0.25">
      <c r="B78" s="2">
        <v>2016</v>
      </c>
      <c r="C78" s="19">
        <v>169</v>
      </c>
      <c r="D78" s="19">
        <v>6</v>
      </c>
      <c r="E78" s="51">
        <f t="shared" si="9"/>
        <v>3.5502958579881658E-2</v>
      </c>
      <c r="G78" s="51"/>
      <c r="H78" s="5"/>
      <c r="K78" s="31"/>
      <c r="L78" s="31"/>
    </row>
    <row r="79" spans="2:12" x14ac:dyDescent="0.25">
      <c r="B79" s="2">
        <v>2017</v>
      </c>
      <c r="C79" s="19">
        <v>173</v>
      </c>
      <c r="D79" s="19">
        <v>6</v>
      </c>
      <c r="E79" s="51">
        <f t="shared" si="9"/>
        <v>3.4682080924855488E-2</v>
      </c>
      <c r="G79" s="51"/>
      <c r="K79" s="31"/>
      <c r="L79" s="31"/>
    </row>
    <row r="80" spans="2:12" x14ac:dyDescent="0.25">
      <c r="B80" s="2">
        <v>2018</v>
      </c>
      <c r="C80" s="19">
        <v>189</v>
      </c>
      <c r="D80" s="19">
        <v>5</v>
      </c>
      <c r="E80" s="51">
        <f t="shared" si="9"/>
        <v>2.6455026455026454E-2</v>
      </c>
      <c r="G80" s="51"/>
      <c r="K80" s="31"/>
      <c r="L80" s="31"/>
    </row>
    <row r="81" spans="2:17" x14ac:dyDescent="0.25">
      <c r="B81" s="2">
        <v>2019</v>
      </c>
      <c r="C81" s="19">
        <v>201</v>
      </c>
      <c r="D81" s="19">
        <v>2</v>
      </c>
      <c r="E81" s="51">
        <f t="shared" si="9"/>
        <v>9.9502487562189053E-3</v>
      </c>
      <c r="G81" s="51"/>
      <c r="K81" s="31"/>
      <c r="L81" s="31"/>
    </row>
    <row r="82" spans="2:17" x14ac:dyDescent="0.25">
      <c r="B82" s="2">
        <v>2020</v>
      </c>
      <c r="C82" s="19">
        <v>193</v>
      </c>
      <c r="D82" s="19">
        <v>6</v>
      </c>
      <c r="E82" s="51">
        <f t="shared" si="9"/>
        <v>3.1088082901554404E-2</v>
      </c>
      <c r="G82" s="51"/>
      <c r="K82" s="31"/>
      <c r="L82" s="31"/>
    </row>
    <row r="83" spans="2:17" x14ac:dyDescent="0.25">
      <c r="B83" s="2">
        <v>2021</v>
      </c>
      <c r="C83" s="19">
        <v>153</v>
      </c>
      <c r="D83" s="19">
        <v>1</v>
      </c>
      <c r="E83" s="51">
        <f t="shared" si="9"/>
        <v>6.5359477124183009E-3</v>
      </c>
      <c r="G83" s="51"/>
      <c r="K83" s="31"/>
      <c r="L83" s="31"/>
    </row>
    <row r="84" spans="2:17" x14ac:dyDescent="0.25">
      <c r="B84" s="2">
        <v>2022</v>
      </c>
      <c r="C84" s="19">
        <v>185</v>
      </c>
      <c r="D84" s="19">
        <v>0</v>
      </c>
      <c r="E84" s="51">
        <f t="shared" si="9"/>
        <v>0</v>
      </c>
      <c r="G84" s="51"/>
      <c r="K84" s="31"/>
      <c r="L84" s="31"/>
    </row>
    <row r="85" spans="2:17" x14ac:dyDescent="0.25">
      <c r="B85" s="2">
        <v>2023</v>
      </c>
      <c r="C85" s="19">
        <v>231</v>
      </c>
      <c r="D85" s="19">
        <v>11</v>
      </c>
      <c r="E85" s="51">
        <f t="shared" si="9"/>
        <v>4.7619047619047616E-2</v>
      </c>
      <c r="G85" s="51"/>
      <c r="K85" s="31"/>
      <c r="L85" s="31"/>
    </row>
    <row r="86" spans="2:17" x14ac:dyDescent="0.25">
      <c r="B86" s="2">
        <v>2024</v>
      </c>
      <c r="C86" s="19">
        <v>269</v>
      </c>
      <c r="D86" s="19">
        <v>32</v>
      </c>
      <c r="E86" s="51">
        <f>D86/C86</f>
        <v>0.11895910780669144</v>
      </c>
      <c r="G86" s="51"/>
      <c r="K86" s="31"/>
      <c r="L86" s="31"/>
    </row>
    <row r="87" spans="2:17" x14ac:dyDescent="0.25">
      <c r="G87" s="51"/>
    </row>
    <row r="88" spans="2:17" x14ac:dyDescent="0.25">
      <c r="B88" s="3" t="s">
        <v>96</v>
      </c>
      <c r="D88"/>
    </row>
    <row r="89" spans="2:17" x14ac:dyDescent="0.25">
      <c r="B89" s="5">
        <f>6.4%</f>
        <v>6.4000000000000001E-2</v>
      </c>
      <c r="E89" s="5">
        <f>I75</f>
        <v>5.8400000000000001E-2</v>
      </c>
    </row>
    <row r="91" spans="2:17" ht="15.75" thickBot="1" x14ac:dyDescent="0.3">
      <c r="B91" s="2" t="s">
        <v>29</v>
      </c>
      <c r="C91" s="6" t="s">
        <v>30</v>
      </c>
      <c r="D91" s="6">
        <v>1</v>
      </c>
      <c r="E91" s="6">
        <v>2</v>
      </c>
      <c r="F91" s="6">
        <v>3</v>
      </c>
      <c r="G91" s="6">
        <v>4</v>
      </c>
      <c r="H91" s="6">
        <v>5</v>
      </c>
      <c r="I91" s="6" t="s">
        <v>31</v>
      </c>
      <c r="J91" s="6"/>
    </row>
    <row r="92" spans="2:17" ht="15.75" thickBot="1" x14ac:dyDescent="0.3">
      <c r="B92" s="7" t="s">
        <v>97</v>
      </c>
      <c r="C92" s="8">
        <f>B89</f>
        <v>6.4000000000000001E-2</v>
      </c>
      <c r="D92" s="8">
        <f>C92+D93</f>
        <v>6.3066666666666674E-2</v>
      </c>
      <c r="E92" s="8">
        <f>D92+E93</f>
        <v>6.2133333333333339E-2</v>
      </c>
      <c r="F92" s="8">
        <f t="shared" ref="F92:H92" si="10">E92+F93</f>
        <v>6.1200000000000004E-2</v>
      </c>
      <c r="G92" s="8">
        <f t="shared" si="10"/>
        <v>6.026666666666667E-2</v>
      </c>
      <c r="H92" s="8">
        <f t="shared" si="10"/>
        <v>5.9333333333333335E-2</v>
      </c>
      <c r="I92" s="8">
        <f>E89</f>
        <v>5.8400000000000001E-2</v>
      </c>
      <c r="J92" s="5"/>
      <c r="P92" s="29"/>
      <c r="Q92" s="58"/>
    </row>
    <row r="93" spans="2:17" ht="15.75" thickBot="1" x14ac:dyDescent="0.3">
      <c r="B93" s="9"/>
      <c r="C93" s="9">
        <f>(I92-C92)/6</f>
        <v>-9.3333333333333343E-4</v>
      </c>
      <c r="D93" s="9">
        <f>C93</f>
        <v>-9.3333333333333343E-4</v>
      </c>
      <c r="E93" s="9">
        <f t="shared" ref="E93:I93" si="11">D93</f>
        <v>-9.3333333333333343E-4</v>
      </c>
      <c r="F93" s="9">
        <f t="shared" si="11"/>
        <v>-9.3333333333333343E-4</v>
      </c>
      <c r="G93" s="9">
        <f t="shared" si="11"/>
        <v>-9.3333333333333343E-4</v>
      </c>
      <c r="H93" s="9">
        <f t="shared" si="11"/>
        <v>-9.3333333333333343E-4</v>
      </c>
      <c r="I93" s="9">
        <f t="shared" si="11"/>
        <v>-9.3333333333333343E-4</v>
      </c>
      <c r="J93" s="9"/>
      <c r="P93" s="29"/>
      <c r="Q93" s="58"/>
    </row>
    <row r="94" spans="2:17" ht="15.75" thickBot="1" x14ac:dyDescent="0.3">
      <c r="P94" s="29"/>
      <c r="Q94" s="58"/>
    </row>
    <row r="95" spans="2:17" ht="15.75" thickBot="1" x14ac:dyDescent="0.3">
      <c r="B95" s="3" t="s">
        <v>98</v>
      </c>
      <c r="P95" s="29"/>
      <c r="Q95" s="58"/>
    </row>
    <row r="96" spans="2:17" ht="15.75" thickBot="1" x14ac:dyDescent="0.3">
      <c r="P96" s="29"/>
      <c r="Q96" s="58"/>
    </row>
    <row r="97" spans="2:17" ht="18" customHeight="1" thickBot="1" x14ac:dyDescent="0.3">
      <c r="B97" s="2" t="s">
        <v>68</v>
      </c>
      <c r="C97" s="2" t="s">
        <v>99</v>
      </c>
      <c r="D97" s="2" t="s">
        <v>101</v>
      </c>
      <c r="E97" s="2" t="s">
        <v>100</v>
      </c>
      <c r="F97" s="19" t="s">
        <v>102</v>
      </c>
      <c r="G97" s="2" t="s">
        <v>103</v>
      </c>
      <c r="H97" s="59" t="s">
        <v>104</v>
      </c>
      <c r="I97" s="2" t="s">
        <v>98</v>
      </c>
      <c r="J97" s="2" t="s">
        <v>105</v>
      </c>
      <c r="P97" s="29"/>
      <c r="Q97" s="58"/>
    </row>
    <row r="98" spans="2:17" ht="15.75" thickBot="1" x14ac:dyDescent="0.3">
      <c r="B98" s="2">
        <v>2009</v>
      </c>
      <c r="C98" s="19">
        <v>212</v>
      </c>
      <c r="D98" s="19">
        <v>58</v>
      </c>
      <c r="E98" s="2">
        <v>4</v>
      </c>
      <c r="F98" s="2">
        <v>28</v>
      </c>
      <c r="G98" s="19">
        <f t="shared" ref="G98:G113" si="12">(D98-E98)-F98</f>
        <v>26</v>
      </c>
      <c r="H98" s="59">
        <v>3</v>
      </c>
      <c r="I98" s="19">
        <f>G98+H98</f>
        <v>29</v>
      </c>
      <c r="J98" s="56"/>
      <c r="P98" s="29"/>
      <c r="Q98" s="58"/>
    </row>
    <row r="99" spans="2:17" ht="15.75" thickBot="1" x14ac:dyDescent="0.3">
      <c r="B99" s="2">
        <v>2010</v>
      </c>
      <c r="C99" s="19">
        <v>191</v>
      </c>
      <c r="D99" s="19">
        <v>61</v>
      </c>
      <c r="E99" s="2">
        <v>1</v>
      </c>
      <c r="F99" s="2">
        <v>23</v>
      </c>
      <c r="G99" s="19">
        <f t="shared" si="12"/>
        <v>37</v>
      </c>
      <c r="H99" s="59">
        <v>5</v>
      </c>
      <c r="I99" s="19">
        <f t="shared" ref="I99:I113" si="13">G99+H99</f>
        <v>42</v>
      </c>
      <c r="J99" s="56">
        <f>I98/C99</f>
        <v>0.15183246073298429</v>
      </c>
      <c r="P99" s="29"/>
      <c r="Q99" s="58"/>
    </row>
    <row r="100" spans="2:17" ht="15.75" thickBot="1" x14ac:dyDescent="0.3">
      <c r="B100" s="57">
        <v>2011</v>
      </c>
      <c r="C100" s="19">
        <v>181</v>
      </c>
      <c r="D100" s="19">
        <v>50</v>
      </c>
      <c r="E100" s="57">
        <v>2</v>
      </c>
      <c r="F100" s="2">
        <v>20</v>
      </c>
      <c r="G100" s="19">
        <f t="shared" si="12"/>
        <v>28</v>
      </c>
      <c r="H100" s="59">
        <v>3</v>
      </c>
      <c r="I100" s="19">
        <f t="shared" si="13"/>
        <v>31</v>
      </c>
      <c r="J100" s="56">
        <f t="shared" ref="J100:J113" si="14">I99/C100</f>
        <v>0.23204419889502761</v>
      </c>
      <c r="P100" s="29"/>
      <c r="Q100" s="58"/>
    </row>
    <row r="101" spans="2:17" ht="15.75" thickBot="1" x14ac:dyDescent="0.3">
      <c r="B101" s="57">
        <v>2012</v>
      </c>
      <c r="C101" s="19">
        <v>166</v>
      </c>
      <c r="D101" s="19">
        <v>46</v>
      </c>
      <c r="E101" s="57">
        <v>3</v>
      </c>
      <c r="F101" s="2">
        <v>27</v>
      </c>
      <c r="G101" s="19">
        <f t="shared" si="12"/>
        <v>16</v>
      </c>
      <c r="H101" s="59">
        <v>2</v>
      </c>
      <c r="I101" s="19">
        <f t="shared" si="13"/>
        <v>18</v>
      </c>
      <c r="J101" s="56">
        <f t="shared" si="14"/>
        <v>0.18674698795180722</v>
      </c>
      <c r="P101" s="29"/>
      <c r="Q101" s="58"/>
    </row>
    <row r="102" spans="2:17" ht="15.75" thickBot="1" x14ac:dyDescent="0.3">
      <c r="B102" s="57">
        <v>2013</v>
      </c>
      <c r="C102" s="19">
        <v>158</v>
      </c>
      <c r="D102" s="19">
        <v>37</v>
      </c>
      <c r="E102" s="57">
        <v>1</v>
      </c>
      <c r="F102" s="2">
        <v>24</v>
      </c>
      <c r="G102" s="19">
        <f t="shared" si="12"/>
        <v>12</v>
      </c>
      <c r="H102" s="59">
        <v>2</v>
      </c>
      <c r="I102" s="19">
        <f t="shared" si="13"/>
        <v>14</v>
      </c>
      <c r="J102" s="56">
        <f t="shared" si="14"/>
        <v>0.11392405063291139</v>
      </c>
      <c r="P102" s="29"/>
      <c r="Q102" s="58"/>
    </row>
    <row r="103" spans="2:17" ht="15.75" thickBot="1" x14ac:dyDescent="0.3">
      <c r="B103" s="57">
        <v>2014</v>
      </c>
      <c r="C103" s="19">
        <v>155</v>
      </c>
      <c r="D103" s="19">
        <v>40</v>
      </c>
      <c r="E103" s="57">
        <v>1</v>
      </c>
      <c r="F103" s="2">
        <v>23</v>
      </c>
      <c r="G103" s="19">
        <f t="shared" si="12"/>
        <v>16</v>
      </c>
      <c r="H103" s="59">
        <v>4</v>
      </c>
      <c r="I103" s="19">
        <f t="shared" si="13"/>
        <v>20</v>
      </c>
      <c r="J103" s="56">
        <f t="shared" si="14"/>
        <v>9.0322580645161285E-2</v>
      </c>
      <c r="P103" s="29"/>
      <c r="Q103" s="58"/>
    </row>
    <row r="104" spans="2:17" ht="15.75" thickBot="1" x14ac:dyDescent="0.3">
      <c r="B104" s="2">
        <v>2015</v>
      </c>
      <c r="C104" s="19">
        <v>164</v>
      </c>
      <c r="D104" s="19">
        <v>39</v>
      </c>
      <c r="E104" s="2">
        <v>0</v>
      </c>
      <c r="F104" s="2">
        <v>21</v>
      </c>
      <c r="G104" s="19">
        <f t="shared" si="12"/>
        <v>18</v>
      </c>
      <c r="H104" s="59">
        <v>3</v>
      </c>
      <c r="I104" s="19">
        <f t="shared" si="13"/>
        <v>21</v>
      </c>
      <c r="J104" s="56">
        <f t="shared" si="14"/>
        <v>0.12195121951219512</v>
      </c>
      <c r="P104" s="29"/>
      <c r="Q104" s="58"/>
    </row>
    <row r="105" spans="2:17" ht="15.75" thickBot="1" x14ac:dyDescent="0.3">
      <c r="B105" s="2">
        <v>2016</v>
      </c>
      <c r="C105" s="19">
        <v>169</v>
      </c>
      <c r="D105" s="19">
        <v>47</v>
      </c>
      <c r="E105" s="2">
        <v>1</v>
      </c>
      <c r="F105" s="2">
        <v>23</v>
      </c>
      <c r="G105" s="19">
        <f t="shared" si="12"/>
        <v>23</v>
      </c>
      <c r="H105" s="59">
        <v>4</v>
      </c>
      <c r="I105" s="19">
        <f t="shared" si="13"/>
        <v>27</v>
      </c>
      <c r="J105" s="56">
        <f t="shared" si="14"/>
        <v>0.1242603550295858</v>
      </c>
      <c r="P105" s="29"/>
      <c r="Q105" s="58"/>
    </row>
    <row r="106" spans="2:17" ht="15.75" thickBot="1" x14ac:dyDescent="0.3">
      <c r="B106" s="2">
        <v>2017</v>
      </c>
      <c r="C106" s="19">
        <v>173</v>
      </c>
      <c r="D106" s="19">
        <v>48</v>
      </c>
      <c r="E106" s="2">
        <v>1</v>
      </c>
      <c r="F106" s="2">
        <v>22</v>
      </c>
      <c r="G106" s="19">
        <f t="shared" si="12"/>
        <v>25</v>
      </c>
      <c r="H106" s="59">
        <v>4</v>
      </c>
      <c r="I106" s="19">
        <f t="shared" si="13"/>
        <v>29</v>
      </c>
      <c r="J106" s="56">
        <f t="shared" si="14"/>
        <v>0.15606936416184972</v>
      </c>
      <c r="P106" s="29"/>
      <c r="Q106" s="58"/>
    </row>
    <row r="107" spans="2:17" x14ac:dyDescent="0.25">
      <c r="B107" s="2">
        <v>2018</v>
      </c>
      <c r="C107" s="19">
        <v>189</v>
      </c>
      <c r="D107" s="19">
        <v>56</v>
      </c>
      <c r="E107" s="2">
        <v>1</v>
      </c>
      <c r="F107" s="2">
        <v>28</v>
      </c>
      <c r="G107" s="19">
        <f t="shared" si="12"/>
        <v>27</v>
      </c>
      <c r="H107" s="59">
        <v>6</v>
      </c>
      <c r="I107" s="19">
        <f t="shared" si="13"/>
        <v>33</v>
      </c>
      <c r="J107" s="56">
        <f t="shared" si="14"/>
        <v>0.15343915343915343</v>
      </c>
      <c r="P107" s="29"/>
      <c r="Q107" s="58"/>
    </row>
    <row r="108" spans="2:17" x14ac:dyDescent="0.25">
      <c r="B108" s="2">
        <v>2019</v>
      </c>
      <c r="C108" s="19">
        <v>201</v>
      </c>
      <c r="D108" s="19">
        <v>63</v>
      </c>
      <c r="E108" s="2">
        <v>1</v>
      </c>
      <c r="F108" s="2">
        <v>32</v>
      </c>
      <c r="G108" s="19">
        <f t="shared" si="12"/>
        <v>30</v>
      </c>
      <c r="H108" s="59">
        <v>5</v>
      </c>
      <c r="I108" s="19">
        <f t="shared" si="13"/>
        <v>35</v>
      </c>
      <c r="J108" s="56">
        <f t="shared" si="14"/>
        <v>0.16417910447761194</v>
      </c>
    </row>
    <row r="109" spans="2:17" x14ac:dyDescent="0.25">
      <c r="B109" s="2">
        <v>2020</v>
      </c>
      <c r="C109" s="19">
        <v>193</v>
      </c>
      <c r="D109" s="19">
        <v>58</v>
      </c>
      <c r="E109" s="2">
        <v>1</v>
      </c>
      <c r="F109" s="2">
        <v>25</v>
      </c>
      <c r="G109" s="19">
        <f t="shared" si="12"/>
        <v>32</v>
      </c>
      <c r="H109" s="59">
        <v>4</v>
      </c>
      <c r="I109" s="19">
        <f t="shared" si="13"/>
        <v>36</v>
      </c>
      <c r="J109" s="56">
        <f t="shared" si="14"/>
        <v>0.18134715025906736</v>
      </c>
    </row>
    <row r="110" spans="2:17" x14ac:dyDescent="0.25">
      <c r="B110" s="2">
        <v>2021</v>
      </c>
      <c r="C110" s="19">
        <v>153</v>
      </c>
      <c r="D110" s="19">
        <v>51</v>
      </c>
      <c r="E110" s="2">
        <v>0</v>
      </c>
      <c r="F110" s="2">
        <v>22</v>
      </c>
      <c r="G110" s="19">
        <f t="shared" si="12"/>
        <v>29</v>
      </c>
      <c r="H110" s="59">
        <v>2</v>
      </c>
      <c r="I110" s="19">
        <f t="shared" si="13"/>
        <v>31</v>
      </c>
      <c r="J110" s="56">
        <f t="shared" si="14"/>
        <v>0.23529411764705882</v>
      </c>
      <c r="L110" s="60">
        <f>AVERAGE(J105:J113)</f>
        <v>0.16553397701036987</v>
      </c>
    </row>
    <row r="111" spans="2:17" x14ac:dyDescent="0.25">
      <c r="B111" s="2">
        <v>2022</v>
      </c>
      <c r="C111" s="19">
        <v>185</v>
      </c>
      <c r="D111" s="19">
        <v>69</v>
      </c>
      <c r="E111" s="2">
        <v>1</v>
      </c>
      <c r="F111" s="2">
        <v>36</v>
      </c>
      <c r="G111" s="19">
        <f t="shared" si="12"/>
        <v>32</v>
      </c>
      <c r="H111" s="59">
        <v>3</v>
      </c>
      <c r="I111" s="19">
        <f t="shared" si="13"/>
        <v>35</v>
      </c>
      <c r="J111" s="56">
        <f t="shared" si="14"/>
        <v>0.16756756756756758</v>
      </c>
      <c r="L111" s="60">
        <f>MEDIAN(J105:J113)</f>
        <v>0.15613382899628253</v>
      </c>
    </row>
    <row r="112" spans="2:17" x14ac:dyDescent="0.25">
      <c r="B112" s="2">
        <v>2023</v>
      </c>
      <c r="C112" s="19">
        <v>231</v>
      </c>
      <c r="D112" s="19">
        <v>89</v>
      </c>
      <c r="E112" s="2">
        <v>1</v>
      </c>
      <c r="F112" s="2">
        <v>49</v>
      </c>
      <c r="G112" s="19">
        <f t="shared" si="12"/>
        <v>39</v>
      </c>
      <c r="H112" s="2">
        <v>3</v>
      </c>
      <c r="I112" s="19">
        <f t="shared" si="13"/>
        <v>42</v>
      </c>
      <c r="J112" s="56">
        <f t="shared" si="14"/>
        <v>0.15151515151515152</v>
      </c>
    </row>
    <row r="113" spans="2:11" x14ac:dyDescent="0.25">
      <c r="B113" s="2">
        <v>2024</v>
      </c>
      <c r="C113" s="19">
        <v>269</v>
      </c>
      <c r="D113" s="18">
        <v>89</v>
      </c>
      <c r="E113" s="2">
        <v>5</v>
      </c>
      <c r="F113" s="2">
        <v>39</v>
      </c>
      <c r="G113" s="19">
        <f t="shared" si="12"/>
        <v>45</v>
      </c>
      <c r="H113" s="2">
        <v>5</v>
      </c>
      <c r="I113" s="19">
        <f t="shared" si="13"/>
        <v>50</v>
      </c>
      <c r="J113" s="56">
        <f t="shared" si="14"/>
        <v>0.15613382899628253</v>
      </c>
    </row>
    <row r="116" spans="2:11" x14ac:dyDescent="0.25">
      <c r="B116" s="3" t="s">
        <v>106</v>
      </c>
      <c r="D116"/>
    </row>
    <row r="117" spans="2:11" x14ac:dyDescent="0.25">
      <c r="B117" s="5">
        <f>18%</f>
        <v>0.18</v>
      </c>
      <c r="E117" s="5">
        <f>18%</f>
        <v>0.18</v>
      </c>
    </row>
    <row r="119" spans="2:11" x14ac:dyDescent="0.25">
      <c r="B119" s="2" t="s">
        <v>29</v>
      </c>
      <c r="C119" s="6" t="s">
        <v>30</v>
      </c>
      <c r="D119" s="6">
        <v>1</v>
      </c>
      <c r="E119" s="6">
        <v>2</v>
      </c>
      <c r="F119" s="6">
        <v>3</v>
      </c>
      <c r="G119" s="6">
        <v>4</v>
      </c>
      <c r="H119" s="6">
        <v>5</v>
      </c>
      <c r="I119" s="6" t="s">
        <v>31</v>
      </c>
    </row>
    <row r="120" spans="2:11" x14ac:dyDescent="0.25">
      <c r="B120" s="7" t="s">
        <v>105</v>
      </c>
      <c r="C120" s="8">
        <f>B117</f>
        <v>0.18</v>
      </c>
      <c r="D120" s="8">
        <f>C120+D121</f>
        <v>0.18</v>
      </c>
      <c r="E120" s="8">
        <f>D120+E121</f>
        <v>0.18</v>
      </c>
      <c r="F120" s="8">
        <f t="shared" ref="F120" si="15">E120+F121</f>
        <v>0.18</v>
      </c>
      <c r="G120" s="8">
        <f t="shared" ref="G120" si="16">F120+G121</f>
        <v>0.18</v>
      </c>
      <c r="H120" s="8">
        <f t="shared" ref="H120" si="17">G120+H121</f>
        <v>0.18</v>
      </c>
      <c r="I120" s="8">
        <f>E117</f>
        <v>0.18</v>
      </c>
    </row>
    <row r="121" spans="2:11" x14ac:dyDescent="0.25">
      <c r="B121" s="9"/>
      <c r="C121" s="9">
        <f>(I120-C120)/6</f>
        <v>0</v>
      </c>
      <c r="D121" s="9">
        <f>C121</f>
        <v>0</v>
      </c>
      <c r="E121" s="9">
        <f t="shared" ref="E121" si="18">D121</f>
        <v>0</v>
      </c>
      <c r="F121" s="9">
        <f t="shared" ref="F121" si="19">E121</f>
        <v>0</v>
      </c>
      <c r="G121" s="9">
        <f t="shared" ref="G121" si="20">F121</f>
        <v>0</v>
      </c>
      <c r="H121" s="9">
        <f>G121</f>
        <v>0</v>
      </c>
      <c r="I121" s="9"/>
    </row>
    <row r="123" spans="2:11" x14ac:dyDescent="0.25">
      <c r="B123" s="2" t="s">
        <v>68</v>
      </c>
      <c r="C123" s="2" t="s">
        <v>99</v>
      </c>
      <c r="D123" s="2" t="s">
        <v>136</v>
      </c>
      <c r="E123" s="2" t="s">
        <v>137</v>
      </c>
      <c r="F123" s="2" t="s">
        <v>100</v>
      </c>
      <c r="G123" s="2" t="s">
        <v>138</v>
      </c>
      <c r="H123" s="2" t="s">
        <v>141</v>
      </c>
    </row>
    <row r="124" spans="2:11" x14ac:dyDescent="0.25">
      <c r="B124" s="2">
        <v>2009</v>
      </c>
      <c r="C124" s="18">
        <v>212</v>
      </c>
      <c r="D124" s="18">
        <v>66</v>
      </c>
      <c r="E124" s="18">
        <v>0</v>
      </c>
      <c r="F124" s="18">
        <v>4</v>
      </c>
      <c r="G124" s="18">
        <f>D124+E124-F124</f>
        <v>62</v>
      </c>
      <c r="J124" s="31"/>
      <c r="K124" s="31"/>
    </row>
    <row r="125" spans="2:11" x14ac:dyDescent="0.25">
      <c r="B125" s="2">
        <v>2010</v>
      </c>
      <c r="C125" s="18">
        <v>191</v>
      </c>
      <c r="D125" s="18">
        <v>69</v>
      </c>
      <c r="E125" s="18">
        <v>7</v>
      </c>
      <c r="F125" s="18">
        <v>1</v>
      </c>
      <c r="G125" s="18">
        <f t="shared" ref="G125:G138" si="21">D125+E125-F125</f>
        <v>75</v>
      </c>
      <c r="H125" s="89">
        <f>C125/G124</f>
        <v>3.0806451612903225</v>
      </c>
      <c r="J125" s="31"/>
      <c r="K125" s="31"/>
    </row>
    <row r="126" spans="2:11" x14ac:dyDescent="0.25">
      <c r="B126" s="57">
        <v>2011</v>
      </c>
      <c r="C126" s="18">
        <v>181</v>
      </c>
      <c r="D126" s="18">
        <v>50</v>
      </c>
      <c r="E126" s="18">
        <v>7</v>
      </c>
      <c r="F126" s="184">
        <v>2</v>
      </c>
      <c r="G126" s="18">
        <f t="shared" si="21"/>
        <v>55</v>
      </c>
      <c r="H126" s="89">
        <f t="shared" ref="H126:H139" si="22">C126/G125</f>
        <v>2.4133333333333336</v>
      </c>
      <c r="J126" s="31"/>
      <c r="K126" s="31"/>
    </row>
    <row r="127" spans="2:11" x14ac:dyDescent="0.25">
      <c r="B127" s="57">
        <v>2012</v>
      </c>
      <c r="C127" s="18">
        <v>166</v>
      </c>
      <c r="D127" s="18">
        <v>31</v>
      </c>
      <c r="E127" s="18">
        <v>5</v>
      </c>
      <c r="F127" s="184">
        <v>3</v>
      </c>
      <c r="G127" s="18">
        <f t="shared" si="21"/>
        <v>33</v>
      </c>
      <c r="H127" s="89">
        <f t="shared" si="22"/>
        <v>3.0181818181818181</v>
      </c>
      <c r="J127" s="31"/>
      <c r="K127" s="31"/>
    </row>
    <row r="128" spans="2:11" x14ac:dyDescent="0.25">
      <c r="B128" s="57">
        <v>2013</v>
      </c>
      <c r="C128" s="18">
        <v>158</v>
      </c>
      <c r="D128" s="18">
        <v>27</v>
      </c>
      <c r="E128" s="18">
        <v>0</v>
      </c>
      <c r="F128" s="184">
        <v>1</v>
      </c>
      <c r="G128" s="18">
        <f t="shared" si="21"/>
        <v>26</v>
      </c>
      <c r="H128" s="89">
        <f t="shared" si="22"/>
        <v>4.7878787878787881</v>
      </c>
      <c r="J128" s="31"/>
      <c r="K128" s="31"/>
    </row>
    <row r="129" spans="2:22" x14ac:dyDescent="0.25">
      <c r="B129" s="57">
        <v>2014</v>
      </c>
      <c r="C129" s="18">
        <v>155</v>
      </c>
      <c r="D129" s="18">
        <v>28</v>
      </c>
      <c r="E129" s="18">
        <v>6</v>
      </c>
      <c r="F129" s="184">
        <v>1</v>
      </c>
      <c r="G129" s="18">
        <f t="shared" si="21"/>
        <v>33</v>
      </c>
      <c r="H129" s="89">
        <f t="shared" si="22"/>
        <v>5.9615384615384617</v>
      </c>
      <c r="J129" s="31"/>
      <c r="K129" s="31"/>
      <c r="V129" s="2" cm="1">
        <f t="array" ref="V129:V144">_xlfn.SORTBY(K124:K139,_xlfn.SEQUENCE(ROWS(K124:K139)),-1)</f>
        <v>0</v>
      </c>
    </row>
    <row r="130" spans="2:22" x14ac:dyDescent="0.25">
      <c r="B130" s="2">
        <v>2015</v>
      </c>
      <c r="C130" s="18">
        <v>164</v>
      </c>
      <c r="D130" s="18">
        <v>23</v>
      </c>
      <c r="E130" s="18">
        <v>6</v>
      </c>
      <c r="F130" s="18">
        <v>0</v>
      </c>
      <c r="G130" s="18">
        <f t="shared" si="21"/>
        <v>29</v>
      </c>
      <c r="H130" s="89">
        <f t="shared" si="22"/>
        <v>4.9696969696969697</v>
      </c>
      <c r="J130" s="31"/>
      <c r="K130" s="31"/>
      <c r="V130" s="2">
        <v>0</v>
      </c>
    </row>
    <row r="131" spans="2:22" x14ac:dyDescent="0.25">
      <c r="B131" s="2">
        <v>2016</v>
      </c>
      <c r="C131" s="18">
        <v>169</v>
      </c>
      <c r="D131" s="18">
        <v>33</v>
      </c>
      <c r="E131" s="18">
        <v>6</v>
      </c>
      <c r="F131" s="18">
        <v>1</v>
      </c>
      <c r="G131" s="18">
        <f t="shared" si="21"/>
        <v>38</v>
      </c>
      <c r="H131" s="89">
        <f t="shared" si="22"/>
        <v>5.8275862068965516</v>
      </c>
      <c r="J131" s="31"/>
      <c r="K131" s="31"/>
      <c r="V131" s="2">
        <v>0</v>
      </c>
    </row>
    <row r="132" spans="2:22" x14ac:dyDescent="0.25">
      <c r="B132" s="2">
        <v>2017</v>
      </c>
      <c r="C132" s="18">
        <v>173</v>
      </c>
      <c r="D132" s="18">
        <v>59</v>
      </c>
      <c r="E132" s="18">
        <v>5</v>
      </c>
      <c r="F132" s="18">
        <v>1</v>
      </c>
      <c r="G132" s="18">
        <f t="shared" si="21"/>
        <v>63</v>
      </c>
      <c r="H132" s="89">
        <f t="shared" si="22"/>
        <v>4.5526315789473681</v>
      </c>
      <c r="J132" s="31"/>
      <c r="K132" s="31"/>
      <c r="V132" s="2">
        <v>0</v>
      </c>
    </row>
    <row r="133" spans="2:22" x14ac:dyDescent="0.25">
      <c r="B133" s="2">
        <v>2018</v>
      </c>
      <c r="C133" s="18">
        <v>189</v>
      </c>
      <c r="D133" s="18">
        <v>59</v>
      </c>
      <c r="E133" s="18">
        <v>12</v>
      </c>
      <c r="F133" s="18">
        <v>1</v>
      </c>
      <c r="G133" s="18">
        <f t="shared" si="21"/>
        <v>70</v>
      </c>
      <c r="H133" s="89">
        <f t="shared" si="22"/>
        <v>3</v>
      </c>
      <c r="J133" s="31"/>
      <c r="K133" s="31"/>
      <c r="V133" s="2">
        <v>0</v>
      </c>
    </row>
    <row r="134" spans="2:22" x14ac:dyDescent="0.25">
      <c r="B134" s="2">
        <v>2019</v>
      </c>
      <c r="C134" s="18">
        <v>201</v>
      </c>
      <c r="D134" s="18">
        <v>56</v>
      </c>
      <c r="E134" s="18">
        <v>16</v>
      </c>
      <c r="F134" s="18">
        <v>1</v>
      </c>
      <c r="G134" s="18">
        <f t="shared" si="21"/>
        <v>71</v>
      </c>
      <c r="H134" s="89">
        <f t="shared" si="22"/>
        <v>2.8714285714285714</v>
      </c>
      <c r="J134" s="31"/>
      <c r="K134" s="31"/>
      <c r="V134" s="2">
        <v>0</v>
      </c>
    </row>
    <row r="135" spans="2:22" x14ac:dyDescent="0.25">
      <c r="B135" s="2">
        <v>2020</v>
      </c>
      <c r="C135" s="18">
        <v>193</v>
      </c>
      <c r="D135" s="18">
        <v>55</v>
      </c>
      <c r="E135" s="18">
        <v>16</v>
      </c>
      <c r="F135" s="18">
        <v>1</v>
      </c>
      <c r="G135" s="18">
        <f t="shared" si="21"/>
        <v>70</v>
      </c>
      <c r="H135" s="89">
        <f t="shared" si="22"/>
        <v>2.7183098591549295</v>
      </c>
      <c r="J135" s="31"/>
      <c r="K135" s="31"/>
      <c r="V135" s="2">
        <v>0</v>
      </c>
    </row>
    <row r="136" spans="2:22" x14ac:dyDescent="0.25">
      <c r="B136" s="2">
        <v>2021</v>
      </c>
      <c r="C136" s="18">
        <v>153</v>
      </c>
      <c r="D136" s="18">
        <v>54</v>
      </c>
      <c r="E136" s="18">
        <v>10</v>
      </c>
      <c r="F136" s="18">
        <v>0</v>
      </c>
      <c r="G136" s="18">
        <f t="shared" si="21"/>
        <v>64</v>
      </c>
      <c r="H136" s="89">
        <f t="shared" si="22"/>
        <v>2.1857142857142855</v>
      </c>
      <c r="J136" s="31"/>
      <c r="K136" s="31"/>
      <c r="V136" s="2">
        <v>0</v>
      </c>
    </row>
    <row r="137" spans="2:22" x14ac:dyDescent="0.25">
      <c r="B137" s="2">
        <v>2022</v>
      </c>
      <c r="C137" s="18">
        <v>185</v>
      </c>
      <c r="D137" s="18">
        <v>47</v>
      </c>
      <c r="E137" s="18">
        <v>14</v>
      </c>
      <c r="F137" s="18">
        <v>1</v>
      </c>
      <c r="G137" s="18">
        <f t="shared" si="21"/>
        <v>60</v>
      </c>
      <c r="H137" s="89">
        <f t="shared" si="22"/>
        <v>2.890625</v>
      </c>
      <c r="J137" s="31"/>
      <c r="K137" s="31"/>
      <c r="V137" s="2">
        <v>0</v>
      </c>
    </row>
    <row r="138" spans="2:22" x14ac:dyDescent="0.25">
      <c r="B138" s="2">
        <v>2023</v>
      </c>
      <c r="C138" s="18">
        <v>231</v>
      </c>
      <c r="D138" s="18">
        <v>68</v>
      </c>
      <c r="E138" s="18">
        <v>14</v>
      </c>
      <c r="F138" s="18">
        <v>1</v>
      </c>
      <c r="G138" s="18">
        <f t="shared" si="21"/>
        <v>81</v>
      </c>
      <c r="H138" s="89">
        <f t="shared" si="22"/>
        <v>3.85</v>
      </c>
      <c r="J138" s="31"/>
      <c r="K138" s="31"/>
      <c r="V138" s="2">
        <v>0</v>
      </c>
    </row>
    <row r="139" spans="2:22" x14ac:dyDescent="0.25">
      <c r="B139" s="2">
        <v>2024</v>
      </c>
      <c r="C139" s="18">
        <v>269</v>
      </c>
      <c r="D139" s="18">
        <v>91</v>
      </c>
      <c r="E139" s="18">
        <v>4</v>
      </c>
      <c r="F139" s="18">
        <v>5</v>
      </c>
      <c r="G139" s="18">
        <f>D139+E139-F139</f>
        <v>90</v>
      </c>
      <c r="H139" s="89">
        <f t="shared" si="22"/>
        <v>3.3209876543209877</v>
      </c>
      <c r="J139" s="31"/>
      <c r="K139" s="31"/>
      <c r="V139" s="2">
        <v>0</v>
      </c>
    </row>
    <row r="140" spans="2:22" x14ac:dyDescent="0.25">
      <c r="V140" s="2">
        <v>0</v>
      </c>
    </row>
    <row r="141" spans="2:22" x14ac:dyDescent="0.25">
      <c r="N141" s="2" t="s">
        <v>68</v>
      </c>
      <c r="O141" s="2" t="s">
        <v>141</v>
      </c>
      <c r="V141" s="2">
        <v>0</v>
      </c>
    </row>
    <row r="142" spans="2:22" x14ac:dyDescent="0.25">
      <c r="B142" s="2">
        <v>1.8596491228070176</v>
      </c>
      <c r="D142" s="2">
        <f>AVERAGE(H125:H139)</f>
        <v>3.696570512558826</v>
      </c>
      <c r="F142" s="2" t="s">
        <v>92</v>
      </c>
      <c r="G142" s="2" t="s">
        <v>138</v>
      </c>
      <c r="I142" s="2" t="s">
        <v>142</v>
      </c>
      <c r="N142" s="2">
        <v>2009</v>
      </c>
      <c r="O142" s="89">
        <v>3.0806451612903225</v>
      </c>
      <c r="P142" s="18"/>
      <c r="Q142" s="18"/>
      <c r="R142" s="18"/>
      <c r="S142" s="18"/>
      <c r="V142" s="2">
        <v>0</v>
      </c>
    </row>
    <row r="143" spans="2:22" x14ac:dyDescent="0.25">
      <c r="B143" s="2">
        <v>1.5785123966942149</v>
      </c>
      <c r="F143" s="19">
        <v>5</v>
      </c>
      <c r="G143" s="18">
        <v>114</v>
      </c>
      <c r="H143" s="2">
        <f>F143/G143</f>
        <v>4.3859649122807015E-2</v>
      </c>
      <c r="N143" s="2">
        <v>2010</v>
      </c>
      <c r="O143" s="89">
        <v>2.4133333333333336</v>
      </c>
      <c r="P143" s="18"/>
      <c r="Q143" s="18"/>
      <c r="R143" s="18"/>
      <c r="S143" s="18"/>
      <c r="V143" s="2">
        <v>0</v>
      </c>
    </row>
    <row r="144" spans="2:22" x14ac:dyDescent="0.25">
      <c r="B144" s="2">
        <v>1.846938775510204</v>
      </c>
      <c r="F144" s="19">
        <v>0</v>
      </c>
      <c r="G144" s="18">
        <v>121</v>
      </c>
      <c r="H144" s="2">
        <f t="shared" ref="H144:H158" si="23">F144/G144</f>
        <v>0</v>
      </c>
      <c r="I144" s="19">
        <f>F144-F143</f>
        <v>-5</v>
      </c>
      <c r="J144" s="2" t="e">
        <f>I144/H144</f>
        <v>#DIV/0!</v>
      </c>
      <c r="N144" s="57">
        <v>2011</v>
      </c>
      <c r="O144" s="89">
        <v>3.0181818181818181</v>
      </c>
      <c r="P144" s="18"/>
      <c r="Q144" s="18"/>
      <c r="R144" s="184"/>
      <c r="S144" s="18"/>
      <c r="V144" s="2">
        <v>0</v>
      </c>
    </row>
    <row r="145" spans="2:19" x14ac:dyDescent="0.25">
      <c r="B145" s="2">
        <v>1.8241758241758241</v>
      </c>
      <c r="F145" s="19">
        <v>-8</v>
      </c>
      <c r="G145" s="18">
        <v>98</v>
      </c>
      <c r="H145" s="2">
        <f t="shared" si="23"/>
        <v>-8.1632653061224483E-2</v>
      </c>
      <c r="I145" s="19">
        <f t="shared" ref="I145:I158" si="24">F145-F144</f>
        <v>-8</v>
      </c>
      <c r="J145" s="2">
        <f t="shared" ref="J145:J158" si="25">I145/H145</f>
        <v>98.000000000000014</v>
      </c>
      <c r="N145" s="57">
        <v>2012</v>
      </c>
      <c r="O145" s="89">
        <v>4.7878787878787881</v>
      </c>
      <c r="P145" s="18"/>
      <c r="Q145" s="18"/>
      <c r="R145" s="184"/>
      <c r="S145" s="18"/>
    </row>
    <row r="146" spans="2:19" x14ac:dyDescent="0.25">
      <c r="B146" s="2">
        <v>1.9506172839506173</v>
      </c>
      <c r="F146" s="19">
        <v>-13</v>
      </c>
      <c r="G146" s="18">
        <v>91</v>
      </c>
      <c r="H146" s="2">
        <f t="shared" si="23"/>
        <v>-0.14285714285714285</v>
      </c>
      <c r="I146" s="19">
        <f t="shared" si="24"/>
        <v>-5</v>
      </c>
      <c r="J146" s="2">
        <f t="shared" si="25"/>
        <v>35</v>
      </c>
      <c r="N146" s="2">
        <v>2018</v>
      </c>
      <c r="O146" s="89">
        <v>2.8714285714285714</v>
      </c>
      <c r="P146" s="18">
        <f>AVERAGE(O142:O149)</f>
        <v>3.2575956481985937</v>
      </c>
      <c r="Q146" s="18"/>
      <c r="R146" s="184"/>
      <c r="S146" s="18"/>
    </row>
    <row r="147" spans="2:19" x14ac:dyDescent="0.25">
      <c r="B147" s="2">
        <v>1.8674698795180722</v>
      </c>
      <c r="F147" s="19">
        <v>-2</v>
      </c>
      <c r="G147" s="18">
        <v>81</v>
      </c>
      <c r="H147" s="2">
        <f t="shared" si="23"/>
        <v>-2.4691358024691357E-2</v>
      </c>
      <c r="I147" s="19">
        <f t="shared" si="24"/>
        <v>11</v>
      </c>
      <c r="J147" s="2">
        <f t="shared" si="25"/>
        <v>-445.5</v>
      </c>
      <c r="N147" s="2">
        <v>2019</v>
      </c>
      <c r="O147" s="89">
        <v>2.7183098591549295</v>
      </c>
      <c r="P147" s="18">
        <f>MEDIAN(O142:O149)</f>
        <v>3.0494134897360703</v>
      </c>
      <c r="Q147" s="18"/>
      <c r="R147" s="184"/>
      <c r="S147" s="18"/>
    </row>
    <row r="148" spans="2:19" x14ac:dyDescent="0.25">
      <c r="B148" s="2">
        <v>2</v>
      </c>
      <c r="F148" s="19">
        <v>-1</v>
      </c>
      <c r="G148" s="18">
        <v>83</v>
      </c>
      <c r="H148" s="2">
        <f t="shared" si="23"/>
        <v>-1.2048192771084338E-2</v>
      </c>
      <c r="I148" s="19">
        <f t="shared" si="24"/>
        <v>1</v>
      </c>
      <c r="J148" s="2">
        <f t="shared" si="25"/>
        <v>-83</v>
      </c>
      <c r="N148" s="2">
        <v>2022</v>
      </c>
      <c r="O148" s="89">
        <v>3.85</v>
      </c>
      <c r="P148" s="18"/>
      <c r="Q148" s="18"/>
      <c r="R148" s="18"/>
      <c r="S148" s="18"/>
    </row>
    <row r="149" spans="2:19" x14ac:dyDescent="0.25">
      <c r="B149" s="2">
        <v>1.9204545454545454</v>
      </c>
      <c r="F149" s="19">
        <v>2</v>
      </c>
      <c r="G149" s="18">
        <v>82</v>
      </c>
      <c r="H149" s="2">
        <f t="shared" si="23"/>
        <v>2.4390243902439025E-2</v>
      </c>
      <c r="I149" s="19">
        <f t="shared" si="24"/>
        <v>3</v>
      </c>
      <c r="J149" s="2">
        <f t="shared" si="25"/>
        <v>123</v>
      </c>
      <c r="N149" s="2">
        <v>2023</v>
      </c>
      <c r="O149" s="89">
        <v>3.3209876543209877</v>
      </c>
      <c r="P149" s="18"/>
      <c r="Q149" s="18"/>
      <c r="R149" s="18"/>
      <c r="S149" s="18"/>
    </row>
    <row r="150" spans="2:19" x14ac:dyDescent="0.25">
      <c r="B150" s="2">
        <v>1.6168224299065421</v>
      </c>
      <c r="F150" s="19">
        <v>6</v>
      </c>
      <c r="G150" s="18">
        <v>88</v>
      </c>
      <c r="H150" s="2">
        <f t="shared" si="23"/>
        <v>6.8181818181818177E-2</v>
      </c>
      <c r="I150" s="19">
        <f t="shared" si="24"/>
        <v>4</v>
      </c>
      <c r="J150" s="2">
        <f t="shared" si="25"/>
        <v>58.666666666666671</v>
      </c>
      <c r="P150" s="18"/>
      <c r="Q150" s="18"/>
      <c r="R150" s="18"/>
      <c r="S150" s="18"/>
    </row>
    <row r="151" spans="2:19" x14ac:dyDescent="0.25">
      <c r="B151" s="2">
        <v>1.6293103448275863</v>
      </c>
      <c r="F151" s="19">
        <v>6</v>
      </c>
      <c r="G151" s="18">
        <v>107</v>
      </c>
      <c r="H151" s="2">
        <f t="shared" si="23"/>
        <v>5.6074766355140186E-2</v>
      </c>
      <c r="I151" s="19">
        <f t="shared" si="24"/>
        <v>0</v>
      </c>
      <c r="J151" s="2">
        <f t="shared" si="25"/>
        <v>0</v>
      </c>
      <c r="P151" s="18"/>
      <c r="Q151" s="18"/>
      <c r="R151" s="18"/>
      <c r="S151" s="18"/>
    </row>
    <row r="152" spans="2:19" x14ac:dyDescent="0.25">
      <c r="B152" s="2">
        <v>1.6611570247933884</v>
      </c>
      <c r="F152" s="19">
        <v>5</v>
      </c>
      <c r="G152" s="18">
        <v>116</v>
      </c>
      <c r="H152" s="2">
        <f t="shared" si="23"/>
        <v>4.3103448275862072E-2</v>
      </c>
      <c r="I152" s="19">
        <f t="shared" si="24"/>
        <v>-1</v>
      </c>
      <c r="J152" s="2">
        <f t="shared" si="25"/>
        <v>-23.2</v>
      </c>
      <c r="N152" s="2">
        <v>2024</v>
      </c>
      <c r="P152" s="18"/>
      <c r="Q152" s="18"/>
      <c r="R152" s="18"/>
      <c r="S152" s="18"/>
    </row>
    <row r="153" spans="2:19" x14ac:dyDescent="0.25">
      <c r="B153" s="2">
        <v>1.3985507246376812</v>
      </c>
      <c r="F153" s="19">
        <v>2</v>
      </c>
      <c r="G153" s="18">
        <v>121</v>
      </c>
      <c r="H153" s="2">
        <f t="shared" si="23"/>
        <v>1.6528925619834711E-2</v>
      </c>
      <c r="I153" s="19">
        <f t="shared" si="24"/>
        <v>-3</v>
      </c>
      <c r="J153" s="2">
        <f t="shared" si="25"/>
        <v>-181.5</v>
      </c>
      <c r="P153" s="18"/>
      <c r="Q153" s="18"/>
      <c r="R153" s="18"/>
      <c r="S153" s="18"/>
    </row>
    <row r="154" spans="2:19" x14ac:dyDescent="0.25">
      <c r="B154" s="2">
        <v>1.48</v>
      </c>
      <c r="F154" s="19">
        <v>6</v>
      </c>
      <c r="G154" s="18">
        <v>138</v>
      </c>
      <c r="H154" s="2">
        <f t="shared" si="23"/>
        <v>4.3478260869565216E-2</v>
      </c>
      <c r="I154" s="19">
        <f t="shared" si="24"/>
        <v>4</v>
      </c>
      <c r="J154" s="2">
        <f t="shared" si="25"/>
        <v>92</v>
      </c>
      <c r="P154" s="18"/>
      <c r="Q154" s="18"/>
      <c r="R154" s="18"/>
      <c r="S154" s="18"/>
    </row>
    <row r="155" spans="2:19" x14ac:dyDescent="0.25">
      <c r="B155" s="2">
        <v>1.5503355704697988</v>
      </c>
      <c r="F155" s="19">
        <v>1</v>
      </c>
      <c r="G155" s="18">
        <v>125</v>
      </c>
      <c r="H155" s="2">
        <f t="shared" si="23"/>
        <v>8.0000000000000002E-3</v>
      </c>
      <c r="I155" s="19">
        <f t="shared" si="24"/>
        <v>-5</v>
      </c>
      <c r="J155" s="2">
        <f t="shared" si="25"/>
        <v>-625</v>
      </c>
      <c r="P155" s="18"/>
      <c r="Q155" s="18"/>
      <c r="R155" s="18"/>
      <c r="S155" s="18"/>
    </row>
    <row r="156" spans="2:19" x14ac:dyDescent="0.25">
      <c r="B156" s="2">
        <v>1.9078014184397163</v>
      </c>
      <c r="F156" s="19">
        <v>0</v>
      </c>
      <c r="G156" s="18">
        <v>125</v>
      </c>
      <c r="H156" s="2">
        <f t="shared" si="23"/>
        <v>0</v>
      </c>
      <c r="I156" s="19">
        <f t="shared" si="24"/>
        <v>-1</v>
      </c>
      <c r="J156" s="2" t="e">
        <f t="shared" si="25"/>
        <v>#DIV/0!</v>
      </c>
      <c r="P156" s="18"/>
      <c r="Q156" s="18"/>
      <c r="R156" s="18"/>
      <c r="S156" s="18"/>
    </row>
    <row r="157" spans="2:19" x14ac:dyDescent="0.25">
      <c r="F157" s="19">
        <v>11</v>
      </c>
      <c r="G157" s="18">
        <v>149</v>
      </c>
      <c r="H157" s="2">
        <f t="shared" si="23"/>
        <v>7.3825503355704702E-2</v>
      </c>
      <c r="I157" s="19">
        <f t="shared" si="24"/>
        <v>11</v>
      </c>
      <c r="J157" s="2">
        <f t="shared" si="25"/>
        <v>149</v>
      </c>
      <c r="P157" s="18"/>
      <c r="Q157" s="18"/>
      <c r="R157" s="18"/>
      <c r="S157" s="18"/>
    </row>
    <row r="158" spans="2:19" x14ac:dyDescent="0.25">
      <c r="F158" s="19">
        <v>32</v>
      </c>
      <c r="G158" s="18">
        <v>141</v>
      </c>
      <c r="H158" s="2">
        <f t="shared" si="23"/>
        <v>0.22695035460992907</v>
      </c>
      <c r="I158" s="19">
        <f t="shared" si="24"/>
        <v>21</v>
      </c>
      <c r="J158" s="2">
        <f t="shared" si="25"/>
        <v>92.53125</v>
      </c>
    </row>
    <row r="160" spans="2:19" x14ac:dyDescent="0.25">
      <c r="B160" s="2" t="s">
        <v>148</v>
      </c>
    </row>
    <row r="161" spans="2:9" x14ac:dyDescent="0.25">
      <c r="B161" s="3" t="s">
        <v>146</v>
      </c>
      <c r="D161"/>
    </row>
    <row r="162" spans="2:9" x14ac:dyDescent="0.25">
      <c r="B162" s="191">
        <f>3.32</f>
        <v>3.32</v>
      </c>
      <c r="E162" s="191">
        <f>3</f>
        <v>3</v>
      </c>
    </row>
    <row r="164" spans="2:9" x14ac:dyDescent="0.25">
      <c r="B164" s="2" t="s">
        <v>29</v>
      </c>
      <c r="C164" s="6" t="s">
        <v>30</v>
      </c>
      <c r="D164" s="6">
        <v>1</v>
      </c>
      <c r="E164" s="6">
        <v>2</v>
      </c>
      <c r="F164" s="6">
        <v>3</v>
      </c>
      <c r="G164" s="6">
        <v>4</v>
      </c>
      <c r="H164" s="6">
        <v>5</v>
      </c>
      <c r="I164" s="6" t="s">
        <v>31</v>
      </c>
    </row>
    <row r="165" spans="2:9" x14ac:dyDescent="0.25">
      <c r="B165" s="7" t="s">
        <v>147</v>
      </c>
      <c r="C165" s="192">
        <f>B162</f>
        <v>3.32</v>
      </c>
      <c r="D165" s="192">
        <f>C165+D166</f>
        <v>3.2666666666666666</v>
      </c>
      <c r="E165" s="192">
        <f>D165+E166</f>
        <v>3.2133333333333334</v>
      </c>
      <c r="F165" s="192">
        <f t="shared" ref="F165" si="26">E165+F166</f>
        <v>3.16</v>
      </c>
      <c r="G165" s="192">
        <f t="shared" ref="G165" si="27">F165+G166</f>
        <v>3.1066666666666669</v>
      </c>
      <c r="H165" s="192">
        <f t="shared" ref="H165" si="28">G165+H166</f>
        <v>3.0533333333333337</v>
      </c>
      <c r="I165" s="192">
        <f>E162</f>
        <v>3</v>
      </c>
    </row>
    <row r="166" spans="2:9" x14ac:dyDescent="0.25">
      <c r="B166" s="9"/>
      <c r="C166" s="9">
        <f>(I165-C165)/6</f>
        <v>-5.3333333333333309E-2</v>
      </c>
      <c r="D166" s="9">
        <f>C166</f>
        <v>-5.3333333333333309E-2</v>
      </c>
      <c r="E166" s="9">
        <f t="shared" ref="E166" si="29">D166</f>
        <v>-5.3333333333333309E-2</v>
      </c>
      <c r="F166" s="9">
        <f t="shared" ref="F166" si="30">E166</f>
        <v>-5.3333333333333309E-2</v>
      </c>
      <c r="G166" s="9">
        <f t="shared" ref="G166" si="31">F166</f>
        <v>-5.3333333333333309E-2</v>
      </c>
      <c r="H166" s="9">
        <f>G166</f>
        <v>-5.3333333333333309E-2</v>
      </c>
      <c r="I166" s="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FF893-15F5-4DAA-A089-64D3570FF51A}">
  <sheetPr>
    <tabColor rgb="FF00B050"/>
  </sheetPr>
  <dimension ref="A1:AD172"/>
  <sheetViews>
    <sheetView showGridLines="0" zoomScaleNormal="100" workbookViewId="0">
      <selection activeCell="L60" sqref="L60"/>
    </sheetView>
  </sheetViews>
  <sheetFormatPr defaultColWidth="9.5703125" defaultRowHeight="15" outlineLevelRow="1" outlineLevelCol="1" x14ac:dyDescent="0.25"/>
  <cols>
    <col min="1" max="1" width="3.5703125" customWidth="1"/>
    <col min="2" max="2" width="21.140625" customWidth="1"/>
    <col min="3" max="3" width="10.140625" bestFit="1" customWidth="1"/>
    <col min="5" max="7" width="9.5703125" customWidth="1" outlineLevel="1"/>
    <col min="8" max="8" width="11.42578125" customWidth="1" outlineLevel="1"/>
    <col min="9" max="9" width="13" customWidth="1" outlineLevel="1"/>
    <col min="10" max="10" width="12.28515625" customWidth="1" outlineLevel="1"/>
    <col min="11" max="11" width="11.85546875" customWidth="1"/>
    <col min="12" max="12" width="10.7109375" customWidth="1"/>
    <col min="13" max="13" width="11.85546875" customWidth="1"/>
    <col min="14" max="14" width="13.5703125" customWidth="1"/>
    <col min="15" max="15" width="12.140625" customWidth="1"/>
    <col min="17" max="21" width="10.42578125" bestFit="1" customWidth="1"/>
    <col min="22" max="22" width="12" bestFit="1" customWidth="1"/>
    <col min="25" max="25" width="10.42578125" bestFit="1" customWidth="1"/>
  </cols>
  <sheetData>
    <row r="1" spans="1:2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2" s="142" customFormat="1" ht="20.25" x14ac:dyDescent="0.3">
      <c r="A2" s="71"/>
      <c r="B2" s="143" t="s">
        <v>134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</row>
    <row r="3" spans="1:22" x14ac:dyDescent="0.25">
      <c r="A3" s="2"/>
      <c r="B3" s="113" t="s">
        <v>133</v>
      </c>
      <c r="C3" s="112"/>
      <c r="D3" s="112"/>
      <c r="E3" s="112"/>
      <c r="F3" s="112"/>
      <c r="G3" s="112"/>
      <c r="H3" s="112"/>
      <c r="I3" s="2"/>
      <c r="J3" s="2"/>
      <c r="K3" s="2"/>
      <c r="L3" s="2"/>
      <c r="M3" s="2"/>
      <c r="N3" s="2"/>
      <c r="O3" s="2"/>
      <c r="P3" s="2"/>
      <c r="Q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22" ht="15" customHeight="1" x14ac:dyDescent="0.25">
      <c r="A5" s="2"/>
      <c r="B5" s="2" t="s">
        <v>132</v>
      </c>
      <c r="C5" s="141" t="s">
        <v>135</v>
      </c>
      <c r="D5" s="2"/>
      <c r="E5" s="2"/>
      <c r="F5" s="2"/>
      <c r="G5" s="138"/>
      <c r="H5" s="2"/>
      <c r="I5" s="2" t="s">
        <v>131</v>
      </c>
      <c r="J5" s="2"/>
      <c r="K5" s="140">
        <v>2024</v>
      </c>
      <c r="L5" s="2"/>
      <c r="M5" s="136"/>
      <c r="N5" s="135"/>
      <c r="O5" s="135"/>
      <c r="P5" s="135"/>
      <c r="Q5" s="135"/>
    </row>
    <row r="6" spans="1:22" ht="15" customHeight="1" x14ac:dyDescent="0.25">
      <c r="A6" s="2"/>
      <c r="B6" s="2" t="s">
        <v>130</v>
      </c>
      <c r="C6" s="139">
        <v>45450</v>
      </c>
      <c r="D6" s="2"/>
      <c r="E6" s="2"/>
      <c r="F6" s="2"/>
      <c r="G6" s="138"/>
      <c r="H6" s="2"/>
      <c r="I6" s="2"/>
      <c r="J6" s="2"/>
      <c r="K6" s="137"/>
      <c r="L6" s="2"/>
      <c r="M6" s="136"/>
      <c r="N6" s="135"/>
      <c r="O6" s="135"/>
      <c r="P6" s="135"/>
      <c r="Q6" s="135"/>
    </row>
    <row r="7" spans="1:22" ht="1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35"/>
      <c r="O7" s="135"/>
      <c r="P7" s="135"/>
      <c r="Q7" s="135"/>
    </row>
    <row r="8" spans="1:22" x14ac:dyDescent="0.25">
      <c r="A8" s="2"/>
      <c r="B8" s="110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2"/>
      <c r="P8" s="2"/>
      <c r="Q8" s="2"/>
    </row>
    <row r="9" spans="1:22" x14ac:dyDescent="0.25">
      <c r="A9" s="2"/>
      <c r="B9" s="68"/>
      <c r="C9" s="44"/>
      <c r="D9" s="44"/>
      <c r="E9" s="4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22" x14ac:dyDescent="0.25">
      <c r="A10" s="2"/>
      <c r="B10" s="2"/>
      <c r="C10" s="44"/>
      <c r="D10" s="134"/>
      <c r="E10" s="4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2" x14ac:dyDescent="0.25">
      <c r="A11" s="2"/>
      <c r="B11" s="2"/>
      <c r="C11" s="44"/>
      <c r="D11" s="134"/>
      <c r="E11" s="4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2" outlineLevel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44"/>
      <c r="P12" s="2"/>
      <c r="Q12" s="2"/>
    </row>
    <row r="13" spans="1:22" x14ac:dyDescent="0.25">
      <c r="A13" s="2"/>
      <c r="B13" s="110" t="s">
        <v>128</v>
      </c>
      <c r="C13" s="111"/>
      <c r="D13" s="111"/>
      <c r="E13" s="110"/>
      <c r="F13" s="110"/>
      <c r="G13" s="110"/>
      <c r="H13" s="110"/>
      <c r="I13" s="109" t="s">
        <v>127</v>
      </c>
      <c r="J13" s="109">
        <v>1</v>
      </c>
      <c r="K13" s="109">
        <v>2</v>
      </c>
      <c r="L13" s="109">
        <v>3</v>
      </c>
      <c r="M13" s="109">
        <v>4</v>
      </c>
      <c r="N13" s="109">
        <v>5</v>
      </c>
      <c r="O13" s="108" t="s">
        <v>31</v>
      </c>
      <c r="P13" s="2"/>
      <c r="Q13" s="2"/>
    </row>
    <row r="14" spans="1:22" x14ac:dyDescent="0.25">
      <c r="A14" s="2"/>
      <c r="B14" s="2"/>
      <c r="C14" s="2"/>
      <c r="D14" s="2"/>
      <c r="E14" s="99"/>
      <c r="F14" s="99"/>
      <c r="G14" s="99"/>
      <c r="H14" s="99"/>
      <c r="I14" s="107"/>
      <c r="J14" s="106"/>
      <c r="K14" s="106"/>
      <c r="L14" s="106"/>
      <c r="M14" s="106"/>
      <c r="N14" s="106"/>
      <c r="O14" s="44"/>
      <c r="P14" s="2"/>
      <c r="Q14" s="2"/>
    </row>
    <row r="15" spans="1:22" x14ac:dyDescent="0.25">
      <c r="A15" s="2"/>
      <c r="B15" s="97" t="s">
        <v>126</v>
      </c>
      <c r="C15" s="2"/>
      <c r="D15" s="2"/>
      <c r="E15" s="96"/>
      <c r="F15" s="96"/>
      <c r="G15" s="96"/>
      <c r="H15" s="96"/>
      <c r="I15" s="105"/>
      <c r="J15" s="104">
        <f>'Story&amp;Estimates'!D61</f>
        <v>0.14541847041847042</v>
      </c>
      <c r="K15" s="104">
        <f>'Story&amp;Estimates'!E61</f>
        <v>0.12633477633477633</v>
      </c>
      <c r="L15" s="104">
        <f>'Story&amp;Estimates'!F61</f>
        <v>0.10725108225108224</v>
      </c>
      <c r="M15" s="104">
        <f>'Story&amp;Estimates'!G61</f>
        <v>8.8167388167388144E-2</v>
      </c>
      <c r="N15" s="104">
        <f>'Story&amp;Estimates'!H61</f>
        <v>6.9083694083694053E-2</v>
      </c>
      <c r="O15" s="104">
        <f>'Story&amp;Estimates'!I61</f>
        <v>0.05</v>
      </c>
      <c r="P15" s="124"/>
      <c r="Q15" s="2"/>
      <c r="T15" s="133"/>
      <c r="U15" s="133"/>
      <c r="V15" s="133"/>
    </row>
    <row r="16" spans="1:22" x14ac:dyDescent="0.25">
      <c r="A16" s="2"/>
      <c r="B16" s="2"/>
      <c r="C16" s="2"/>
      <c r="D16" s="2"/>
      <c r="E16" s="2"/>
      <c r="F16" s="2"/>
      <c r="G16" s="68"/>
      <c r="H16" s="2"/>
      <c r="I16" s="92"/>
      <c r="J16" s="2"/>
      <c r="K16" s="2"/>
      <c r="L16" s="2"/>
      <c r="M16" s="2"/>
      <c r="N16" s="2"/>
      <c r="O16" s="44"/>
      <c r="P16" s="2"/>
      <c r="Q16" s="2"/>
      <c r="T16" s="133"/>
      <c r="U16" s="133"/>
      <c r="V16" s="133"/>
    </row>
    <row r="17" spans="1:25" x14ac:dyDescent="0.25">
      <c r="A17" s="2"/>
      <c r="B17" s="100" t="s">
        <v>125</v>
      </c>
      <c r="C17" s="2"/>
      <c r="D17" s="2"/>
      <c r="E17" s="99"/>
      <c r="F17" s="99"/>
      <c r="G17" s="99"/>
      <c r="H17" s="99"/>
      <c r="I17" s="90">
        <f>'Story&amp;Estimates'!C54</f>
        <v>269</v>
      </c>
      <c r="J17" s="103">
        <f>I17+(I17*J15)</f>
        <v>308.11756854256856</v>
      </c>
      <c r="K17" s="103">
        <f t="shared" ref="K17:O17" si="0">J17+(J17*K15)</f>
        <v>347.04353264920906</v>
      </c>
      <c r="L17" s="103">
        <f>K17+(K17*L15)</f>
        <v>384.26432711407551</v>
      </c>
      <c r="M17" s="103">
        <f t="shared" si="0"/>
        <v>418.14390920162242</v>
      </c>
      <c r="N17" s="103">
        <f t="shared" si="0"/>
        <v>447.03083510786723</v>
      </c>
      <c r="O17" s="103">
        <f t="shared" si="0"/>
        <v>469.38237686326062</v>
      </c>
      <c r="P17" s="2"/>
      <c r="Q17" s="132"/>
      <c r="R17" s="131"/>
      <c r="S17" s="131"/>
      <c r="T17" s="131"/>
      <c r="U17" s="131"/>
      <c r="V17" s="131"/>
    </row>
    <row r="18" spans="1:25" x14ac:dyDescent="0.25">
      <c r="A18" s="2"/>
      <c r="B18" s="97"/>
      <c r="C18" s="2"/>
      <c r="D18" s="2"/>
      <c r="E18" s="96"/>
      <c r="F18" s="96"/>
      <c r="G18" s="96"/>
      <c r="H18" s="96"/>
      <c r="I18" s="95"/>
      <c r="J18" s="94"/>
      <c r="K18" s="94"/>
      <c r="L18" s="94"/>
      <c r="M18" s="94"/>
      <c r="N18" s="94"/>
      <c r="O18" s="65"/>
      <c r="P18" s="2"/>
      <c r="Q18" s="56"/>
      <c r="R18" s="130"/>
      <c r="S18" s="130"/>
      <c r="T18" s="130"/>
      <c r="U18" s="130"/>
      <c r="V18" s="130"/>
    </row>
    <row r="19" spans="1:25" x14ac:dyDescent="0.25">
      <c r="A19" s="2"/>
      <c r="B19" s="2" t="s">
        <v>124</v>
      </c>
      <c r="C19" s="2"/>
      <c r="D19" s="2"/>
      <c r="E19" s="2"/>
      <c r="F19" s="2"/>
      <c r="G19" s="2"/>
      <c r="H19" s="2"/>
      <c r="I19" s="102"/>
      <c r="J19" s="101">
        <f>'Story&amp;Estimates'!D92</f>
        <v>6.3066666666666674E-2</v>
      </c>
      <c r="K19" s="101">
        <f>'Story&amp;Estimates'!E92</f>
        <v>6.2133333333333339E-2</v>
      </c>
      <c r="L19" s="101">
        <f>'Story&amp;Estimates'!F92</f>
        <v>6.1200000000000004E-2</v>
      </c>
      <c r="M19" s="101">
        <f>'Story&amp;Estimates'!G92</f>
        <v>6.026666666666667E-2</v>
      </c>
      <c r="N19" s="101">
        <f>'Story&amp;Estimates'!H92</f>
        <v>5.9333333333333335E-2</v>
      </c>
      <c r="O19" s="101">
        <f>'Story&amp;Estimates'!I92</f>
        <v>5.8400000000000001E-2</v>
      </c>
      <c r="P19" s="101"/>
      <c r="Q19" s="129"/>
      <c r="R19" s="129"/>
      <c r="S19" s="129"/>
      <c r="T19" s="129"/>
      <c r="U19" s="129"/>
      <c r="V19" s="129"/>
      <c r="W19" s="129"/>
      <c r="X19" s="2"/>
      <c r="Y19" s="125"/>
    </row>
    <row r="20" spans="1:25" x14ac:dyDescent="0.25">
      <c r="A20" s="2"/>
      <c r="B20" s="2"/>
      <c r="C20" s="2"/>
      <c r="D20" s="2"/>
      <c r="E20" s="2"/>
      <c r="F20" s="2"/>
      <c r="G20" s="2"/>
      <c r="H20" s="2"/>
      <c r="I20" s="90"/>
      <c r="J20" s="85"/>
      <c r="K20" s="85"/>
      <c r="L20" s="85"/>
      <c r="M20" s="85"/>
      <c r="N20" s="85"/>
      <c r="O20" s="65"/>
      <c r="P20" s="124"/>
      <c r="Q20" s="2"/>
      <c r="T20" s="128"/>
      <c r="U20" s="128"/>
      <c r="V20" s="128"/>
      <c r="W20" s="125"/>
      <c r="X20" s="125"/>
      <c r="Y20" s="125"/>
    </row>
    <row r="21" spans="1:25" x14ac:dyDescent="0.25">
      <c r="A21" s="2"/>
      <c r="B21" s="100" t="s">
        <v>123</v>
      </c>
      <c r="C21" s="2"/>
      <c r="D21" s="2"/>
      <c r="E21" s="99"/>
      <c r="F21" s="99"/>
      <c r="G21" s="99"/>
      <c r="H21" s="99"/>
      <c r="I21" s="90"/>
      <c r="J21" s="98">
        <f>J17*J19</f>
        <v>19.431947989417992</v>
      </c>
      <c r="K21" s="98">
        <f t="shared" ref="K21:O21" si="1">K17*K19</f>
        <v>21.562971495270858</v>
      </c>
      <c r="L21" s="98">
        <f t="shared" si="1"/>
        <v>23.516976819381423</v>
      </c>
      <c r="M21" s="98">
        <f t="shared" si="1"/>
        <v>25.200139594551114</v>
      </c>
      <c r="N21" s="98">
        <f t="shared" si="1"/>
        <v>26.523829549733456</v>
      </c>
      <c r="O21" s="98">
        <f t="shared" si="1"/>
        <v>27.411930808814422</v>
      </c>
      <c r="P21" s="124"/>
      <c r="Q21" s="2"/>
      <c r="T21" s="128"/>
      <c r="U21" s="128"/>
      <c r="V21" s="128"/>
      <c r="W21" s="125"/>
      <c r="X21" s="125"/>
      <c r="Y21" s="125"/>
    </row>
    <row r="22" spans="1:25" x14ac:dyDescent="0.25">
      <c r="A22" s="2"/>
      <c r="B22" s="97"/>
      <c r="C22" s="2"/>
      <c r="D22" s="2"/>
      <c r="E22" s="96"/>
      <c r="F22" s="96"/>
      <c r="G22" s="96"/>
      <c r="H22" s="96"/>
      <c r="I22" s="95"/>
      <c r="J22" s="94"/>
      <c r="K22" s="94"/>
      <c r="L22" s="94"/>
      <c r="M22" s="94"/>
      <c r="N22" s="94"/>
      <c r="O22" s="65"/>
      <c r="P22" s="124"/>
      <c r="Q22" s="2"/>
      <c r="T22" s="126"/>
      <c r="U22" s="126"/>
      <c r="V22" s="126"/>
      <c r="W22" s="125"/>
      <c r="X22" s="125"/>
      <c r="Y22" s="125"/>
    </row>
    <row r="23" spans="1:25" x14ac:dyDescent="0.25">
      <c r="A23" s="2"/>
      <c r="B23" s="2" t="s">
        <v>77</v>
      </c>
      <c r="C23" s="2"/>
      <c r="D23" s="2"/>
      <c r="E23" s="2"/>
      <c r="F23" s="2"/>
      <c r="G23" s="2"/>
      <c r="H23" s="2"/>
      <c r="I23" s="93"/>
      <c r="J23" s="5">
        <f>WACC!D129</f>
        <v>0.24717926390340184</v>
      </c>
      <c r="K23" s="5">
        <f>WACC!E129</f>
        <v>0.23974341112272146</v>
      </c>
      <c r="L23" s="5">
        <f>WACC!F129</f>
        <v>0.23230755834204109</v>
      </c>
      <c r="M23" s="5">
        <f>WACC!G129</f>
        <v>0.22487170556136071</v>
      </c>
      <c r="N23" s="5">
        <f>WACC!H129</f>
        <v>0.21743585278068034</v>
      </c>
      <c r="O23" s="5">
        <f>WACC!I129</f>
        <v>0.21</v>
      </c>
      <c r="P23" s="124"/>
      <c r="Q23" s="2"/>
      <c r="T23" s="127"/>
      <c r="U23" s="127"/>
      <c r="V23" s="127"/>
      <c r="W23" s="127"/>
      <c r="X23" s="127"/>
      <c r="Y23" s="127"/>
    </row>
    <row r="24" spans="1:25" x14ac:dyDescent="0.25">
      <c r="A24" s="2"/>
      <c r="B24" s="2"/>
      <c r="C24" s="2"/>
      <c r="D24" s="2"/>
      <c r="E24" s="2"/>
      <c r="F24" s="2"/>
      <c r="G24" s="2"/>
      <c r="H24" s="2"/>
      <c r="I24" s="92"/>
      <c r="J24" s="2"/>
      <c r="K24" s="2"/>
      <c r="L24" s="2"/>
      <c r="M24" s="2"/>
      <c r="N24" s="2"/>
      <c r="O24" s="44"/>
      <c r="P24" s="124"/>
      <c r="Q24" s="2"/>
      <c r="T24" s="127"/>
      <c r="U24" s="127"/>
      <c r="V24" s="127"/>
      <c r="W24" s="127"/>
      <c r="X24" s="127"/>
      <c r="Y24" s="127"/>
    </row>
    <row r="25" spans="1:25" x14ac:dyDescent="0.25">
      <c r="A25" s="2"/>
      <c r="B25" s="85" t="s">
        <v>122</v>
      </c>
      <c r="C25" s="91"/>
      <c r="D25" s="91"/>
      <c r="E25" s="91"/>
      <c r="F25" s="91"/>
      <c r="G25" s="91"/>
      <c r="H25" s="91"/>
      <c r="I25" s="90"/>
      <c r="J25" s="85">
        <f t="shared" ref="J25:O25" si="2">J21*(1-J23)</f>
        <v>14.628773389184463</v>
      </c>
      <c r="K25" s="85">
        <f t="shared" si="2"/>
        <v>16.393391155052612</v>
      </c>
      <c r="L25" s="85">
        <f t="shared" si="2"/>
        <v>18.053805354884545</v>
      </c>
      <c r="M25" s="85">
        <f t="shared" si="2"/>
        <v>19.533341223540027</v>
      </c>
      <c r="N25" s="85">
        <f t="shared" si="2"/>
        <v>20.756598052577754</v>
      </c>
      <c r="O25" s="85">
        <f t="shared" si="2"/>
        <v>21.655425338963394</v>
      </c>
      <c r="P25" s="124"/>
      <c r="Q25" s="2"/>
      <c r="T25" s="126"/>
      <c r="U25" s="126"/>
      <c r="V25" s="126"/>
      <c r="W25" s="126"/>
      <c r="X25" s="126"/>
      <c r="Y25" s="126"/>
    </row>
    <row r="26" spans="1:25" x14ac:dyDescent="0.25">
      <c r="A26" s="2"/>
      <c r="B26" s="85"/>
      <c r="C26" s="18"/>
      <c r="D26" s="18"/>
      <c r="E26" s="84"/>
      <c r="F26" s="84"/>
      <c r="G26" s="84"/>
      <c r="H26" s="84"/>
      <c r="I26" s="87"/>
      <c r="J26" s="88"/>
      <c r="K26" s="88"/>
      <c r="L26" s="88"/>
      <c r="M26" s="88"/>
      <c r="N26" s="88"/>
      <c r="O26" s="88"/>
      <c r="P26" s="124"/>
      <c r="Q26" s="2"/>
      <c r="R26" s="122"/>
    </row>
    <row r="27" spans="1:25" x14ac:dyDescent="0.25">
      <c r="A27" s="2"/>
      <c r="B27" s="85" t="s">
        <v>139</v>
      </c>
      <c r="C27" s="18"/>
      <c r="D27" s="18"/>
      <c r="E27" s="84"/>
      <c r="F27" s="84"/>
      <c r="G27" s="84"/>
      <c r="H27" s="21"/>
      <c r="I27" s="185"/>
      <c r="J27" s="193">
        <f>'Story&amp;Estimates'!D165</f>
        <v>3.2666666666666666</v>
      </c>
      <c r="K27" s="193">
        <f>'Story&amp;Estimates'!E165</f>
        <v>3.2133333333333334</v>
      </c>
      <c r="L27" s="193">
        <f>'Story&amp;Estimates'!F165</f>
        <v>3.16</v>
      </c>
      <c r="M27" s="193">
        <f>'Story&amp;Estimates'!G165</f>
        <v>3.1066666666666669</v>
      </c>
      <c r="N27" s="193">
        <f>'Story&amp;Estimates'!H165</f>
        <v>3.0533333333333337</v>
      </c>
      <c r="O27" s="193">
        <f>'Story&amp;Estimates'!I165</f>
        <v>3</v>
      </c>
      <c r="P27" s="124"/>
      <c r="Q27" s="2"/>
      <c r="R27" s="122"/>
    </row>
    <row r="28" spans="1:25" x14ac:dyDescent="0.25">
      <c r="A28" s="2"/>
      <c r="B28" s="85"/>
      <c r="C28" s="18"/>
      <c r="D28" s="18"/>
      <c r="E28" s="84"/>
      <c r="F28" s="84"/>
      <c r="G28" s="84"/>
      <c r="H28" s="84"/>
      <c r="I28" s="87"/>
      <c r="J28" s="88"/>
      <c r="K28" s="88"/>
      <c r="L28" s="88"/>
      <c r="M28" s="88"/>
      <c r="N28" s="88"/>
      <c r="O28" s="88"/>
      <c r="P28" s="124"/>
      <c r="Q28" s="2"/>
      <c r="R28" s="122"/>
    </row>
    <row r="29" spans="1:25" x14ac:dyDescent="0.25">
      <c r="A29" s="2" t="s">
        <v>140</v>
      </c>
      <c r="B29" s="85"/>
      <c r="C29" s="18"/>
      <c r="D29" s="18"/>
      <c r="E29" s="84"/>
      <c r="F29" s="84"/>
      <c r="G29" s="84"/>
      <c r="H29" s="84"/>
      <c r="I29" s="87"/>
      <c r="J29" s="88">
        <f t="shared" ref="J29:O29" si="3">J17-I17</f>
        <v>39.117568542568563</v>
      </c>
      <c r="K29" s="88">
        <f t="shared" si="3"/>
        <v>38.925964106640492</v>
      </c>
      <c r="L29" s="88">
        <f t="shared" si="3"/>
        <v>37.220794464866458</v>
      </c>
      <c r="M29" s="88">
        <f t="shared" si="3"/>
        <v>33.879582087546908</v>
      </c>
      <c r="N29" s="88">
        <f t="shared" si="3"/>
        <v>28.886925906244812</v>
      </c>
      <c r="O29" s="88">
        <f t="shared" si="3"/>
        <v>22.351541755393384</v>
      </c>
      <c r="P29" s="124"/>
      <c r="Q29" s="2"/>
      <c r="R29" s="122"/>
    </row>
    <row r="30" spans="1:25" x14ac:dyDescent="0.25">
      <c r="A30" s="2"/>
      <c r="B30" s="85"/>
      <c r="C30" s="18"/>
      <c r="D30" s="18"/>
      <c r="E30" s="84"/>
      <c r="F30" s="84"/>
      <c r="G30" s="84"/>
      <c r="H30" s="84"/>
      <c r="I30" s="87"/>
      <c r="J30" s="88"/>
      <c r="K30" s="88"/>
      <c r="L30" s="88"/>
      <c r="M30" s="88"/>
      <c r="N30" s="88"/>
      <c r="O30" s="88"/>
      <c r="P30" s="124"/>
      <c r="Q30" s="2"/>
      <c r="R30" s="122"/>
    </row>
    <row r="31" spans="1:25" x14ac:dyDescent="0.25">
      <c r="A31" s="85" t="s">
        <v>98</v>
      </c>
      <c r="C31" s="18"/>
      <c r="D31" s="18"/>
      <c r="E31" s="84"/>
      <c r="F31" s="84"/>
      <c r="G31" s="84"/>
      <c r="H31" s="84"/>
      <c r="I31" s="87"/>
      <c r="J31" s="88">
        <f>J29/J27</f>
        <v>11.974765880378131</v>
      </c>
      <c r="K31" s="88">
        <f>K29/K27</f>
        <v>12.113889244805133</v>
      </c>
      <c r="L31" s="88">
        <f t="shared" ref="L31:O31" si="4">L29/L27</f>
        <v>11.77873242559065</v>
      </c>
      <c r="M31" s="88">
        <f t="shared" si="4"/>
        <v>10.905444877965742</v>
      </c>
      <c r="N31" s="88">
        <f t="shared" si="4"/>
        <v>9.4607835937482996</v>
      </c>
      <c r="O31" s="88">
        <f t="shared" si="4"/>
        <v>7.4505139184644618</v>
      </c>
      <c r="P31" s="124"/>
      <c r="Q31" s="2"/>
      <c r="R31" s="122"/>
    </row>
    <row r="32" spans="1:25" x14ac:dyDescent="0.25">
      <c r="A32" s="2"/>
      <c r="B32" s="85"/>
      <c r="C32" s="18"/>
      <c r="D32" s="18"/>
      <c r="E32" s="84"/>
      <c r="F32" s="84"/>
      <c r="G32" s="84"/>
      <c r="H32" s="84"/>
      <c r="I32" s="87"/>
      <c r="J32" s="88"/>
      <c r="K32" s="88"/>
      <c r="L32" s="88"/>
      <c r="M32" s="88"/>
      <c r="N32" s="88"/>
      <c r="O32" s="88"/>
      <c r="P32" s="124"/>
      <c r="Q32" s="2"/>
      <c r="R32" s="122"/>
    </row>
    <row r="33" spans="1:22" x14ac:dyDescent="0.25">
      <c r="A33" s="2"/>
      <c r="B33" s="85"/>
      <c r="C33" s="18"/>
      <c r="D33" s="18"/>
      <c r="E33" s="84"/>
      <c r="F33" s="84"/>
      <c r="G33" s="84"/>
      <c r="H33" s="84"/>
      <c r="I33" s="87"/>
      <c r="J33" s="88"/>
      <c r="K33" s="88"/>
      <c r="L33" s="88"/>
      <c r="M33" s="88"/>
      <c r="N33" s="88"/>
      <c r="O33" s="88"/>
      <c r="P33" s="124"/>
      <c r="Q33" s="2"/>
      <c r="R33" s="122"/>
    </row>
    <row r="34" spans="1:22" x14ac:dyDescent="0.25">
      <c r="A34" s="2"/>
      <c r="B34" s="18"/>
      <c r="C34" s="18"/>
      <c r="D34" s="18"/>
      <c r="E34" s="84"/>
      <c r="F34" s="84"/>
      <c r="G34" s="84"/>
      <c r="H34" s="84"/>
      <c r="I34" s="87"/>
      <c r="J34" s="86">
        <v>1</v>
      </c>
      <c r="K34" s="86">
        <v>2</v>
      </c>
      <c r="L34" s="86">
        <v>3</v>
      </c>
      <c r="M34" s="86">
        <v>4</v>
      </c>
      <c r="N34" s="86">
        <v>5</v>
      </c>
      <c r="O34" s="86">
        <v>6</v>
      </c>
      <c r="P34" s="124"/>
      <c r="Q34" s="2"/>
      <c r="R34" s="122"/>
    </row>
    <row r="35" spans="1:22" x14ac:dyDescent="0.25">
      <c r="A35" s="2"/>
      <c r="B35" s="85" t="s">
        <v>121</v>
      </c>
      <c r="C35" s="18"/>
      <c r="D35" s="18"/>
      <c r="E35" s="84"/>
      <c r="F35" s="84"/>
      <c r="G35" s="84"/>
      <c r="H35" s="82" t="s">
        <v>120</v>
      </c>
      <c r="I35" s="82"/>
      <c r="J35" s="81">
        <f t="shared" ref="J35:O35" si="5">J25-J31</f>
        <v>2.6540075088063322</v>
      </c>
      <c r="K35" s="81">
        <f t="shared" si="5"/>
        <v>4.2795019102474789</v>
      </c>
      <c r="L35" s="81">
        <f t="shared" si="5"/>
        <v>6.2750729292938949</v>
      </c>
      <c r="M35" s="81">
        <f t="shared" si="5"/>
        <v>8.6278963455742854</v>
      </c>
      <c r="N35" s="81">
        <f t="shared" si="5"/>
        <v>11.295814458829454</v>
      </c>
      <c r="O35" s="81">
        <f t="shared" si="5"/>
        <v>14.204911420498931</v>
      </c>
      <c r="P35" s="124"/>
      <c r="Q35" s="2"/>
      <c r="R35" s="122"/>
      <c r="T35" s="123"/>
      <c r="U35" s="123"/>
      <c r="V35" s="123"/>
    </row>
    <row r="36" spans="1:22" x14ac:dyDescent="0.25">
      <c r="A36" s="2"/>
      <c r="B36" s="2"/>
      <c r="C36" s="68"/>
      <c r="D36" s="68"/>
      <c r="E36" s="68"/>
      <c r="F36" s="68"/>
      <c r="G36" s="68"/>
      <c r="H36" s="187" t="s">
        <v>67</v>
      </c>
      <c r="I36" s="188"/>
      <c r="J36" s="83">
        <f>WACC!C145</f>
        <v>6.4872347323105317E-2</v>
      </c>
      <c r="K36" s="83">
        <f>WACC!D145</f>
        <v>6.3871117318931706E-2</v>
      </c>
      <c r="L36" s="83">
        <f>WACC!E145</f>
        <v>6.2863556081969113E-2</v>
      </c>
      <c r="M36" s="83">
        <f>WACC!F145</f>
        <v>6.1849663612217574E-2</v>
      </c>
      <c r="N36" s="83">
        <f>WACC!G145</f>
        <v>6.0829439909677062E-2</v>
      </c>
      <c r="O36" s="83">
        <f>WACC!H145</f>
        <v>5.9802884974347617E-2</v>
      </c>
      <c r="P36" s="2"/>
      <c r="Q36" s="2"/>
      <c r="R36" s="122"/>
    </row>
    <row r="37" spans="1:22" x14ac:dyDescent="0.25">
      <c r="A37" s="2"/>
      <c r="B37" s="2"/>
      <c r="C37" s="68"/>
      <c r="D37" s="68"/>
      <c r="E37" s="68"/>
      <c r="F37" s="68"/>
      <c r="G37" s="68"/>
      <c r="H37" s="82" t="s">
        <v>119</v>
      </c>
      <c r="I37" s="7"/>
      <c r="J37" s="81">
        <f t="shared" ref="J37:O37" si="6">J35/((1+J36)^J34)</f>
        <v>2.4923245640456555</v>
      </c>
      <c r="K37" s="81">
        <f t="shared" si="6"/>
        <v>3.7810740906150322</v>
      </c>
      <c r="L37" s="81">
        <f>L35/((1+L36)^L34)</f>
        <v>5.2262024533678595</v>
      </c>
      <c r="M37" s="81">
        <f t="shared" si="6"/>
        <v>6.7866082966068859</v>
      </c>
      <c r="N37" s="81">
        <f t="shared" si="6"/>
        <v>8.4079424773754745</v>
      </c>
      <c r="O37" s="81">
        <f t="shared" si="6"/>
        <v>10.025082272852254</v>
      </c>
      <c r="P37" s="2"/>
      <c r="Q37" s="2"/>
      <c r="R37" s="122"/>
    </row>
    <row r="38" spans="1:22" ht="15.75" thickBot="1" x14ac:dyDescent="0.3">
      <c r="A38" s="2"/>
      <c r="B38" s="2"/>
      <c r="C38" s="2"/>
      <c r="D38" s="2"/>
      <c r="E38" s="2"/>
      <c r="F38" s="2"/>
      <c r="G38" s="2"/>
      <c r="H38" s="2"/>
      <c r="I38" s="80" t="s">
        <v>118</v>
      </c>
      <c r="J38" s="79">
        <f>SUM(J37:O37)</f>
        <v>36.719234154863159</v>
      </c>
      <c r="K38" s="2"/>
      <c r="L38" s="2"/>
      <c r="M38" s="2"/>
      <c r="N38" s="2"/>
      <c r="O38" s="44"/>
      <c r="P38" s="2"/>
      <c r="Q38" s="2"/>
      <c r="R38" s="122"/>
    </row>
    <row r="39" spans="1:22" x14ac:dyDescent="0.25">
      <c r="A39" s="2"/>
      <c r="B39" s="2" t="s">
        <v>117</v>
      </c>
      <c r="C39" s="78">
        <v>0.03</v>
      </c>
      <c r="D39" s="2"/>
      <c r="E39" s="2"/>
      <c r="F39" s="2"/>
      <c r="G39" s="2"/>
      <c r="H39" s="2"/>
      <c r="I39" s="68"/>
      <c r="J39" s="18"/>
      <c r="K39" s="2"/>
      <c r="L39" s="2"/>
      <c r="M39" s="2"/>
      <c r="N39" s="2"/>
      <c r="O39" s="44"/>
      <c r="P39" s="2"/>
      <c r="Q39" s="2"/>
      <c r="R39" s="122"/>
    </row>
    <row r="40" spans="1:22" x14ac:dyDescent="0.25">
      <c r="A40" s="2" t="s">
        <v>129</v>
      </c>
      <c r="B40" s="2" t="s">
        <v>116</v>
      </c>
      <c r="C40" s="2"/>
      <c r="D40" s="2"/>
      <c r="E40" s="2"/>
      <c r="F40" s="2"/>
      <c r="G40" s="2"/>
      <c r="H40" s="2"/>
      <c r="I40" s="2"/>
      <c r="J40" s="77"/>
      <c r="K40" s="2"/>
      <c r="L40" s="2"/>
      <c r="M40" s="2"/>
      <c r="N40" s="23">
        <f>O37/(O36-C39)</f>
        <v>336.37959148858209</v>
      </c>
      <c r="O40" s="44"/>
      <c r="P40" s="2"/>
      <c r="Q40" s="2"/>
      <c r="R40" s="61"/>
    </row>
    <row r="41" spans="1:22" x14ac:dyDescent="0.25">
      <c r="A41" s="2"/>
      <c r="B41" s="71" t="s">
        <v>115</v>
      </c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6">
        <f>N40/((1+O36)^O34)</f>
        <v>237.39909245157557</v>
      </c>
      <c r="O41" s="44"/>
      <c r="P41" s="2"/>
      <c r="Q41" s="2"/>
      <c r="R41" s="61"/>
    </row>
    <row r="42" spans="1:22" x14ac:dyDescent="0.25">
      <c r="A42" s="2"/>
      <c r="B42" s="68" t="s">
        <v>114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75">
        <f>J38+N41</f>
        <v>274.1183266064387</v>
      </c>
      <c r="O42" s="44"/>
      <c r="P42" s="2"/>
      <c r="Q42" s="2"/>
      <c r="R42" s="61"/>
    </row>
    <row r="43" spans="1:22" x14ac:dyDescent="0.25">
      <c r="A43" s="2"/>
      <c r="B43" s="74" t="s">
        <v>113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9">
        <f>'Story&amp;Estimates'!E113</f>
        <v>5</v>
      </c>
      <c r="O43" s="44"/>
      <c r="P43" s="2"/>
      <c r="Q43" s="2"/>
    </row>
    <row r="44" spans="1:22" x14ac:dyDescent="0.25">
      <c r="A44" s="2"/>
      <c r="B44" s="73" t="s">
        <v>112</v>
      </c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19">
        <v>16.734000000000002</v>
      </c>
      <c r="O44" s="44"/>
      <c r="P44" s="2"/>
      <c r="Q44" s="2"/>
    </row>
    <row r="45" spans="1:22" x14ac:dyDescent="0.25">
      <c r="A45" s="2"/>
      <c r="B45" s="68" t="s">
        <v>111</v>
      </c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72">
        <f>N42+N43-N44</f>
        <v>262.38432660643872</v>
      </c>
      <c r="O45" s="44"/>
      <c r="P45" s="2"/>
      <c r="Q45" s="2"/>
    </row>
    <row r="46" spans="1:22" x14ac:dyDescent="0.25">
      <c r="A46" s="2"/>
      <c r="B46" s="71" t="s">
        <v>110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0">
        <v>16.21</v>
      </c>
      <c r="O46" s="44"/>
      <c r="P46" s="2"/>
      <c r="Q46" s="2"/>
    </row>
    <row r="47" spans="1:22" x14ac:dyDescent="0.25">
      <c r="A47" s="2" t="s">
        <v>129</v>
      </c>
      <c r="B47" s="68" t="s">
        <v>109</v>
      </c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9">
        <f>N45/N46</f>
        <v>16.186571659866669</v>
      </c>
      <c r="O47" s="44"/>
      <c r="P47" s="2"/>
      <c r="Q47" s="2"/>
    </row>
    <row r="48" spans="1:22" ht="15.75" thickBot="1" x14ac:dyDescent="0.3">
      <c r="A48" s="2"/>
      <c r="B48" s="68" t="s">
        <v>108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9">
        <v>13</v>
      </c>
      <c r="O48" s="44"/>
      <c r="P48" s="2"/>
      <c r="Q48" s="2"/>
    </row>
    <row r="49" spans="1:30" ht="15.75" thickBot="1" x14ac:dyDescent="0.3">
      <c r="A49" s="2"/>
      <c r="B49" s="68" t="s">
        <v>107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44">
        <f>(N47-N48)/N48</f>
        <v>0.24512089691282066</v>
      </c>
      <c r="O49" s="44"/>
      <c r="P49" s="2"/>
      <c r="Q49" s="2"/>
    </row>
    <row r="50" spans="1:30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"/>
      <c r="O50" s="44"/>
      <c r="P50" s="2"/>
      <c r="Q50" s="2"/>
    </row>
    <row r="51" spans="1:30" x14ac:dyDescent="0.25">
      <c r="A51" s="67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145"/>
      <c r="S51" s="145"/>
    </row>
    <row r="52" spans="1:30" x14ac:dyDescent="0.25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145"/>
      <c r="S52" s="145"/>
    </row>
    <row r="53" spans="1:30" x14ac:dyDescent="0.25">
      <c r="A53" s="20"/>
      <c r="B53" s="67"/>
      <c r="C53" s="20"/>
      <c r="D53" s="20"/>
      <c r="E53" s="67"/>
      <c r="F53" s="67"/>
      <c r="G53" s="67"/>
      <c r="H53" s="67"/>
      <c r="I53" s="66"/>
      <c r="J53" s="66"/>
      <c r="K53" s="66"/>
      <c r="L53" s="66"/>
      <c r="M53" s="66"/>
      <c r="N53" s="66"/>
      <c r="O53" s="66"/>
      <c r="P53" s="20"/>
      <c r="Q53" s="66"/>
      <c r="R53" s="121"/>
      <c r="S53" s="121"/>
      <c r="T53" s="121"/>
      <c r="U53" s="121"/>
      <c r="V53" s="121"/>
      <c r="W53" s="121"/>
      <c r="X53" s="121"/>
      <c r="Y53" s="121"/>
      <c r="Z53" s="121"/>
      <c r="AA53" s="121"/>
      <c r="AB53" s="121"/>
      <c r="AC53" s="121"/>
      <c r="AD53" s="61"/>
    </row>
    <row r="54" spans="1:30" x14ac:dyDescent="0.25">
      <c r="A54" s="20"/>
      <c r="B54" s="20"/>
      <c r="C54" s="20"/>
      <c r="D54" s="20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20"/>
      <c r="P54" s="20"/>
      <c r="Q54" s="20"/>
      <c r="R54" s="145"/>
      <c r="S54" s="145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r="55" spans="1:30" x14ac:dyDescent="0.25">
      <c r="A55" s="20"/>
      <c r="B55" s="153"/>
      <c r="C55" s="20"/>
      <c r="D55" s="20"/>
      <c r="E55" s="154"/>
      <c r="F55" s="154"/>
      <c r="G55" s="154"/>
      <c r="H55" s="154"/>
      <c r="I55" s="155"/>
      <c r="J55" s="155"/>
      <c r="K55" s="155"/>
      <c r="L55" s="155"/>
      <c r="M55" s="155"/>
      <c r="N55" s="155"/>
      <c r="O55" s="155"/>
      <c r="P55" s="168"/>
      <c r="Q55" s="146"/>
      <c r="R55" s="147"/>
      <c r="S55" s="147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</row>
    <row r="56" spans="1:30" x14ac:dyDescent="0.25">
      <c r="A56" s="20"/>
      <c r="B56" s="20"/>
      <c r="C56" s="20"/>
      <c r="D56" s="20"/>
      <c r="E56" s="20"/>
      <c r="F56" s="20"/>
      <c r="G56" s="67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145"/>
      <c r="S56" s="145"/>
    </row>
    <row r="57" spans="1:30" x14ac:dyDescent="0.25">
      <c r="A57" s="20"/>
      <c r="B57" s="20"/>
      <c r="C57" s="20"/>
      <c r="D57" s="20"/>
      <c r="E57" s="167"/>
      <c r="F57" s="167"/>
      <c r="G57" s="167"/>
      <c r="H57" s="167"/>
      <c r="I57" s="148"/>
      <c r="J57" s="169"/>
      <c r="K57" s="169"/>
      <c r="L57" s="169"/>
      <c r="M57" s="169"/>
      <c r="N57" s="169"/>
      <c r="O57" s="169"/>
      <c r="P57" s="148"/>
      <c r="Q57" s="148"/>
      <c r="R57" s="163"/>
      <c r="S57" s="163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</row>
    <row r="58" spans="1:30" x14ac:dyDescent="0.25">
      <c r="A58" s="20"/>
      <c r="B58" s="153"/>
      <c r="C58" s="20"/>
      <c r="D58" s="20"/>
      <c r="E58" s="154"/>
      <c r="F58" s="154"/>
      <c r="G58" s="154"/>
      <c r="H58" s="154"/>
      <c r="I58" s="156"/>
      <c r="J58" s="156"/>
      <c r="K58" s="156"/>
      <c r="L58" s="156"/>
      <c r="M58" s="156"/>
      <c r="N58" s="156"/>
      <c r="O58" s="148"/>
      <c r="P58" s="20"/>
      <c r="Q58" s="20"/>
      <c r="R58" s="145"/>
      <c r="S58" s="145"/>
    </row>
    <row r="59" spans="1:30" x14ac:dyDescent="0.25">
      <c r="A59" s="20"/>
      <c r="B59" s="20"/>
      <c r="C59" s="20"/>
      <c r="D59" s="20"/>
      <c r="E59" s="20"/>
      <c r="F59" s="20"/>
      <c r="G59" s="20"/>
      <c r="H59" s="20"/>
      <c r="I59" s="157"/>
      <c r="J59" s="157"/>
      <c r="K59" s="157"/>
      <c r="L59" s="157"/>
      <c r="M59" s="157"/>
      <c r="N59" s="157"/>
      <c r="O59" s="157"/>
      <c r="P59" s="157"/>
      <c r="Q59" s="157"/>
      <c r="R59" s="164"/>
      <c r="S59" s="164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</row>
    <row r="60" spans="1:30" x14ac:dyDescent="0.25">
      <c r="A60" s="20"/>
      <c r="B60" s="20"/>
      <c r="C60" s="20"/>
      <c r="D60" s="20"/>
      <c r="E60" s="20"/>
      <c r="F60" s="20"/>
      <c r="G60" s="20"/>
      <c r="H60" s="20"/>
      <c r="I60" s="148"/>
      <c r="J60" s="148"/>
      <c r="K60" s="148"/>
      <c r="L60" s="148"/>
      <c r="M60" s="148"/>
      <c r="N60" s="148"/>
      <c r="O60" s="148"/>
      <c r="P60" s="20"/>
      <c r="Q60" s="20"/>
      <c r="R60" s="145"/>
      <c r="S60" s="145"/>
    </row>
    <row r="61" spans="1:30" x14ac:dyDescent="0.25">
      <c r="A61" s="20"/>
      <c r="B61" s="20"/>
      <c r="C61" s="20"/>
      <c r="D61" s="20"/>
      <c r="E61" s="167"/>
      <c r="F61" s="167"/>
      <c r="G61" s="167"/>
      <c r="H61" s="167"/>
      <c r="I61" s="148"/>
      <c r="J61" s="148"/>
      <c r="K61" s="148"/>
      <c r="L61" s="148"/>
      <c r="M61" s="148"/>
      <c r="N61" s="148"/>
      <c r="O61" s="148"/>
      <c r="P61" s="148"/>
      <c r="Q61" s="148"/>
      <c r="R61" s="163"/>
      <c r="S61" s="163"/>
      <c r="T61" s="114"/>
      <c r="U61" s="114"/>
      <c r="V61" s="114"/>
      <c r="W61" s="114"/>
      <c r="X61" s="114"/>
      <c r="Y61" s="114"/>
      <c r="Z61" s="114"/>
      <c r="AA61" s="114"/>
      <c r="AB61" s="114"/>
      <c r="AC61" s="114"/>
      <c r="AD61" s="114"/>
    </row>
    <row r="62" spans="1:30" x14ac:dyDescent="0.25">
      <c r="A62" s="20"/>
      <c r="B62" s="153"/>
      <c r="C62" s="20"/>
      <c r="D62" s="20"/>
      <c r="E62" s="154"/>
      <c r="F62" s="154"/>
      <c r="G62" s="154"/>
      <c r="H62" s="154"/>
      <c r="I62" s="156"/>
      <c r="J62" s="156"/>
      <c r="K62" s="156"/>
      <c r="L62" s="156"/>
      <c r="M62" s="156"/>
      <c r="N62" s="156"/>
      <c r="O62" s="148"/>
      <c r="P62" s="20"/>
      <c r="Q62" s="20"/>
      <c r="R62" s="145"/>
      <c r="S62" s="145"/>
    </row>
    <row r="63" spans="1:30" x14ac:dyDescent="0.25">
      <c r="A63" s="20"/>
      <c r="B63" s="20"/>
      <c r="C63" s="20"/>
      <c r="D63" s="20"/>
      <c r="E63" s="20"/>
      <c r="F63" s="20"/>
      <c r="G63" s="20"/>
      <c r="H63" s="20"/>
      <c r="I63" s="170"/>
      <c r="J63" s="149"/>
      <c r="K63" s="149"/>
      <c r="L63" s="149"/>
      <c r="M63" s="149"/>
      <c r="N63" s="149"/>
      <c r="O63" s="149"/>
      <c r="P63" s="149"/>
      <c r="Q63" s="149"/>
      <c r="R63" s="150"/>
      <c r="S63" s="150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</row>
    <row r="64" spans="1:30" x14ac:dyDescent="0.25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145"/>
      <c r="S64" s="145"/>
    </row>
    <row r="65" spans="1:30" x14ac:dyDescent="0.25">
      <c r="A65" s="20"/>
      <c r="B65" s="148"/>
      <c r="C65" s="158"/>
      <c r="D65" s="158"/>
      <c r="E65" s="158"/>
      <c r="F65" s="158"/>
      <c r="G65" s="158"/>
      <c r="H65" s="158"/>
      <c r="I65" s="148"/>
      <c r="J65" s="148"/>
      <c r="K65" s="148"/>
      <c r="L65" s="148"/>
      <c r="M65" s="148"/>
      <c r="N65" s="148"/>
      <c r="O65" s="148"/>
      <c r="P65" s="148"/>
      <c r="Q65" s="148"/>
      <c r="R65" s="163"/>
      <c r="S65" s="163"/>
      <c r="T65" s="114"/>
      <c r="U65" s="114"/>
      <c r="V65" s="114"/>
      <c r="W65" s="114"/>
      <c r="X65" s="114"/>
      <c r="Y65" s="114"/>
      <c r="Z65" s="114"/>
      <c r="AA65" s="114"/>
      <c r="AB65" s="114"/>
      <c r="AC65" s="114"/>
      <c r="AD65" s="114"/>
    </row>
    <row r="66" spans="1:30" x14ac:dyDescent="0.25">
      <c r="A66" s="20"/>
      <c r="B66" s="159"/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20"/>
      <c r="Q66" s="20"/>
      <c r="R66" s="145"/>
      <c r="S66" s="145"/>
    </row>
    <row r="67" spans="1:30" x14ac:dyDescent="0.25">
      <c r="A67" s="20"/>
      <c r="B67" s="159"/>
      <c r="C67" s="148"/>
      <c r="D67" s="148"/>
      <c r="E67" s="148"/>
      <c r="F67" s="148"/>
      <c r="G67" s="148"/>
      <c r="H67" s="148"/>
      <c r="I67" s="148"/>
      <c r="J67" s="171"/>
      <c r="K67" s="171"/>
      <c r="L67" s="171"/>
      <c r="M67" s="171"/>
      <c r="N67" s="171"/>
      <c r="O67" s="171"/>
      <c r="P67" s="20"/>
      <c r="Q67" s="20"/>
      <c r="R67" s="165"/>
      <c r="S67" s="165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</row>
    <row r="68" spans="1:30" x14ac:dyDescent="0.25">
      <c r="A68" s="20"/>
      <c r="B68" s="159"/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20"/>
      <c r="Q68" s="20"/>
      <c r="R68" s="145"/>
      <c r="S68" s="145"/>
    </row>
    <row r="69" spans="1:30" x14ac:dyDescent="0.25">
      <c r="A69" s="20"/>
      <c r="B69" s="159"/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63"/>
      <c r="S69" s="163"/>
      <c r="T69" s="114"/>
      <c r="U69" s="114"/>
      <c r="V69" s="114"/>
      <c r="W69" s="114"/>
      <c r="X69" s="114"/>
      <c r="Y69" s="114"/>
      <c r="Z69" s="114"/>
      <c r="AA69" s="114"/>
      <c r="AB69" s="114"/>
      <c r="AC69" s="114"/>
      <c r="AD69" s="114"/>
    </row>
    <row r="70" spans="1:30" x14ac:dyDescent="0.25">
      <c r="A70" s="20"/>
      <c r="B70" s="159"/>
      <c r="C70" s="148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20"/>
      <c r="Q70" s="20"/>
      <c r="R70" s="145"/>
      <c r="S70" s="145"/>
    </row>
    <row r="71" spans="1:30" x14ac:dyDescent="0.25">
      <c r="A71" s="20"/>
      <c r="B71" s="148"/>
      <c r="C71" s="148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63"/>
      <c r="S71" s="163"/>
      <c r="T71" s="117"/>
      <c r="U71" s="117"/>
      <c r="V71" s="117"/>
      <c r="W71" s="117"/>
      <c r="X71" s="117"/>
      <c r="Y71" s="117"/>
      <c r="Z71" s="117"/>
      <c r="AA71" s="117"/>
      <c r="AB71" s="117"/>
      <c r="AC71" s="117"/>
      <c r="AD71" s="117"/>
    </row>
    <row r="72" spans="1:30" x14ac:dyDescent="0.25">
      <c r="A72" s="20"/>
      <c r="B72" s="148"/>
      <c r="C72" s="148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63"/>
      <c r="S72" s="163"/>
      <c r="T72" s="117"/>
      <c r="U72" s="117"/>
      <c r="V72" s="117"/>
      <c r="W72" s="117"/>
      <c r="X72" s="117"/>
      <c r="Y72" s="117"/>
      <c r="Z72" s="117"/>
      <c r="AA72" s="117"/>
      <c r="AB72" s="117"/>
      <c r="AC72" s="117"/>
      <c r="AD72" s="117"/>
    </row>
    <row r="73" spans="1:30" x14ac:dyDescent="0.25">
      <c r="A73" s="20"/>
      <c r="B73" s="148"/>
      <c r="C73" s="148"/>
      <c r="D73" s="148"/>
      <c r="E73" s="148"/>
      <c r="F73" s="148"/>
      <c r="G73" s="148"/>
      <c r="H73" s="148"/>
      <c r="I73" s="148"/>
      <c r="J73" s="172"/>
      <c r="K73" s="172"/>
      <c r="L73" s="172"/>
      <c r="M73" s="172"/>
      <c r="N73" s="172"/>
      <c r="O73" s="172"/>
      <c r="P73" s="148"/>
      <c r="Q73" s="148"/>
      <c r="R73" s="163"/>
      <c r="S73" s="163"/>
      <c r="T73" s="117"/>
      <c r="U73" s="117"/>
      <c r="V73" s="117"/>
      <c r="W73" s="117"/>
      <c r="X73" s="117"/>
      <c r="Y73" s="117"/>
      <c r="Z73" s="117"/>
      <c r="AA73" s="117"/>
      <c r="AB73" s="117"/>
      <c r="AC73" s="117"/>
      <c r="AD73" s="117"/>
    </row>
    <row r="74" spans="1:30" x14ac:dyDescent="0.25">
      <c r="A74" s="20"/>
      <c r="B74" s="148"/>
      <c r="C74" s="148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63"/>
      <c r="S74" s="163"/>
      <c r="T74" s="117"/>
      <c r="U74" s="117"/>
      <c r="V74" s="117"/>
      <c r="W74" s="117"/>
      <c r="X74" s="117"/>
      <c r="Y74" s="117"/>
      <c r="Z74" s="117"/>
      <c r="AA74" s="117"/>
      <c r="AB74" s="117"/>
      <c r="AC74" s="117"/>
      <c r="AD74" s="117"/>
    </row>
    <row r="75" spans="1:30" x14ac:dyDescent="0.25">
      <c r="A75" s="20"/>
      <c r="B75" s="148"/>
      <c r="C75" s="148"/>
      <c r="D75" s="148"/>
      <c r="E75" s="148"/>
      <c r="F75" s="148"/>
      <c r="G75" s="148"/>
      <c r="H75" s="148"/>
      <c r="I75" s="148"/>
      <c r="J75" s="160"/>
      <c r="K75" s="160"/>
      <c r="L75" s="160"/>
      <c r="M75" s="160"/>
      <c r="N75" s="160"/>
      <c r="O75" s="160"/>
      <c r="P75" s="20"/>
      <c r="Q75" s="160"/>
      <c r="R75" s="165"/>
      <c r="S75" s="166"/>
      <c r="T75" s="63"/>
      <c r="U75" s="116"/>
      <c r="V75" s="63"/>
      <c r="W75" s="116"/>
      <c r="X75" s="63"/>
      <c r="Y75" s="116"/>
      <c r="Z75" s="63"/>
      <c r="AA75" s="116"/>
      <c r="AB75" s="63"/>
      <c r="AC75" s="116"/>
      <c r="AD75" s="63"/>
    </row>
    <row r="76" spans="1:30" x14ac:dyDescent="0.25">
      <c r="A76" s="20"/>
      <c r="B76" s="148"/>
      <c r="C76" s="148"/>
      <c r="D76" s="148"/>
      <c r="E76" s="148"/>
      <c r="F76" s="148"/>
      <c r="G76" s="148"/>
      <c r="H76" s="67"/>
      <c r="I76" s="67"/>
      <c r="J76" s="148"/>
      <c r="K76" s="148"/>
      <c r="L76" s="148"/>
      <c r="M76" s="148"/>
      <c r="N76" s="148"/>
      <c r="O76" s="148"/>
      <c r="P76" s="148"/>
      <c r="Q76" s="148"/>
      <c r="R76" s="163"/>
      <c r="S76" s="163"/>
      <c r="T76" s="114"/>
      <c r="U76" s="114"/>
      <c r="V76" s="114"/>
      <c r="W76" s="114"/>
      <c r="X76" s="114"/>
      <c r="Y76" s="114"/>
      <c r="Z76" s="114"/>
      <c r="AA76" s="114"/>
      <c r="AB76" s="114"/>
      <c r="AC76" s="114"/>
      <c r="AD76" s="114"/>
    </row>
    <row r="77" spans="1:30" x14ac:dyDescent="0.25">
      <c r="A77" s="20"/>
      <c r="B77" s="20"/>
      <c r="C77" s="67"/>
      <c r="D77" s="67"/>
      <c r="E77" s="67"/>
      <c r="F77" s="67"/>
      <c r="G77" s="67"/>
      <c r="H77" s="186"/>
      <c r="I77" s="186"/>
      <c r="J77" s="173"/>
      <c r="K77" s="173"/>
      <c r="L77" s="173"/>
      <c r="M77" s="173"/>
      <c r="N77" s="173"/>
      <c r="O77" s="173"/>
      <c r="P77" s="151"/>
      <c r="Q77" s="151"/>
      <c r="R77" s="152"/>
      <c r="S77" s="152"/>
      <c r="T77" s="115"/>
      <c r="U77" s="115"/>
      <c r="V77" s="115"/>
      <c r="W77" s="115"/>
      <c r="X77" s="115"/>
      <c r="Y77" s="115"/>
      <c r="Z77" s="115"/>
      <c r="AA77" s="115"/>
      <c r="AB77" s="115"/>
      <c r="AC77" s="115"/>
      <c r="AD77" s="115"/>
    </row>
    <row r="78" spans="1:30" x14ac:dyDescent="0.25">
      <c r="A78" s="20"/>
      <c r="B78" s="20"/>
      <c r="C78" s="67"/>
      <c r="D78" s="67"/>
      <c r="E78" s="67"/>
      <c r="F78" s="67"/>
      <c r="G78" s="67"/>
      <c r="H78" s="67"/>
      <c r="I78" s="20"/>
      <c r="J78" s="148"/>
      <c r="K78" s="148"/>
      <c r="L78" s="148"/>
      <c r="M78" s="148"/>
      <c r="N78" s="148"/>
      <c r="O78" s="148"/>
      <c r="P78" s="148"/>
      <c r="Q78" s="148"/>
      <c r="R78" s="163"/>
      <c r="S78" s="163"/>
      <c r="T78" s="114"/>
      <c r="U78" s="114"/>
      <c r="V78" s="114"/>
      <c r="W78" s="114"/>
      <c r="X78" s="114"/>
      <c r="Y78" s="114"/>
      <c r="Z78" s="114"/>
      <c r="AA78" s="114"/>
      <c r="AB78" s="114"/>
      <c r="AC78" s="114"/>
      <c r="AD78" s="114"/>
    </row>
    <row r="79" spans="1:30" x14ac:dyDescent="0.25">
      <c r="A79" s="20"/>
      <c r="B79" s="20"/>
      <c r="C79" s="20"/>
      <c r="D79" s="20"/>
      <c r="E79" s="20"/>
      <c r="F79" s="20"/>
      <c r="G79" s="20"/>
      <c r="H79" s="20"/>
      <c r="I79" s="67"/>
      <c r="J79" s="148"/>
      <c r="K79" s="20"/>
      <c r="L79" s="20"/>
      <c r="M79" s="20"/>
      <c r="N79" s="20"/>
      <c r="O79" s="20"/>
      <c r="P79" s="20"/>
      <c r="Q79" s="20"/>
      <c r="R79" s="145"/>
      <c r="S79" s="145"/>
    </row>
    <row r="80" spans="1:30" x14ac:dyDescent="0.25">
      <c r="A80" s="20"/>
      <c r="B80" s="20"/>
      <c r="C80" s="162"/>
      <c r="D80" s="20"/>
      <c r="E80" s="20"/>
      <c r="F80" s="20"/>
      <c r="G80" s="20"/>
      <c r="H80" s="20"/>
      <c r="I80" s="67"/>
      <c r="J80" s="148"/>
      <c r="K80" s="20"/>
      <c r="L80" s="20"/>
      <c r="M80" s="20"/>
      <c r="N80" s="20"/>
      <c r="O80" s="20"/>
      <c r="P80" s="20"/>
      <c r="Q80" s="20"/>
      <c r="R80" s="145"/>
      <c r="S80" s="145"/>
    </row>
    <row r="81" spans="1:26" x14ac:dyDescent="0.25">
      <c r="A81" s="20"/>
      <c r="B81" s="20"/>
      <c r="C81" s="20"/>
      <c r="D81" s="20"/>
      <c r="E81" s="20"/>
      <c r="F81" s="20"/>
      <c r="G81" s="20"/>
      <c r="H81" s="20"/>
      <c r="I81" s="20"/>
      <c r="J81" s="174"/>
      <c r="K81" s="20"/>
      <c r="L81" s="20"/>
      <c r="M81" s="20"/>
      <c r="N81" s="148"/>
      <c r="O81" s="20"/>
      <c r="P81" s="20"/>
      <c r="Q81" s="20"/>
      <c r="R81" s="145"/>
      <c r="S81" s="145"/>
    </row>
    <row r="82" spans="1:26" x14ac:dyDescent="0.2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148"/>
      <c r="O82" s="20"/>
      <c r="P82" s="20"/>
      <c r="Q82" s="20"/>
      <c r="R82" s="145"/>
      <c r="S82" s="145"/>
    </row>
    <row r="83" spans="1:26" x14ac:dyDescent="0.25">
      <c r="A83" s="20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158"/>
      <c r="O83" s="20"/>
      <c r="P83" s="20"/>
      <c r="Q83" s="20"/>
      <c r="R83" s="145"/>
      <c r="S83" s="145"/>
    </row>
    <row r="84" spans="1:26" x14ac:dyDescent="0.25">
      <c r="A84" s="20"/>
      <c r="B84" s="182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175"/>
      <c r="O84" s="20"/>
      <c r="P84" s="20"/>
      <c r="Q84" s="20"/>
      <c r="R84" s="145"/>
      <c r="S84" s="145"/>
    </row>
    <row r="85" spans="1:26" x14ac:dyDescent="0.25">
      <c r="A85" s="20"/>
      <c r="B85" s="182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175"/>
      <c r="O85" s="20"/>
      <c r="P85" s="20"/>
      <c r="Q85" s="20"/>
      <c r="R85" s="145"/>
      <c r="S85" s="145"/>
    </row>
    <row r="86" spans="1:26" x14ac:dyDescent="0.25">
      <c r="A86" s="20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176"/>
      <c r="O86" s="20"/>
      <c r="P86" s="20"/>
      <c r="Q86" s="20"/>
      <c r="R86" s="145"/>
      <c r="S86" s="145"/>
    </row>
    <row r="87" spans="1:26" x14ac:dyDescent="0.2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177"/>
      <c r="O87" s="20"/>
      <c r="P87" s="20"/>
      <c r="Q87" s="20"/>
      <c r="R87" s="145"/>
      <c r="S87" s="145"/>
    </row>
    <row r="88" spans="1:26" x14ac:dyDescent="0.25">
      <c r="A88" s="20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178"/>
      <c r="O88" s="20"/>
      <c r="P88" s="20"/>
      <c r="Q88" s="20"/>
      <c r="R88" s="145"/>
      <c r="S88" s="145"/>
    </row>
    <row r="89" spans="1:26" x14ac:dyDescent="0.25">
      <c r="A89" s="20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178"/>
      <c r="O89" s="20"/>
      <c r="P89" s="20"/>
      <c r="Q89" s="20"/>
      <c r="R89" s="145"/>
      <c r="S89" s="145"/>
    </row>
    <row r="90" spans="1:26" x14ac:dyDescent="0.25">
      <c r="A90" s="20"/>
      <c r="B90" s="67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179"/>
      <c r="O90" s="20"/>
      <c r="P90" s="20"/>
      <c r="Q90" s="20"/>
      <c r="R90" s="145"/>
      <c r="S90" s="145"/>
    </row>
    <row r="91" spans="1:26" x14ac:dyDescent="0.2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145"/>
      <c r="S91" s="145"/>
    </row>
    <row r="92" spans="1:26" x14ac:dyDescent="0.25">
      <c r="A92" s="67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145"/>
      <c r="S92" s="145"/>
      <c r="T92" s="61"/>
      <c r="U92" s="61"/>
      <c r="V92" s="61"/>
      <c r="W92" s="61"/>
      <c r="X92" s="61"/>
      <c r="Y92" s="61"/>
      <c r="Z92" s="61"/>
    </row>
    <row r="93" spans="1:26" x14ac:dyDescent="0.2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145"/>
      <c r="S93" s="145"/>
      <c r="T93" s="61"/>
      <c r="U93" s="61"/>
      <c r="V93" s="61"/>
      <c r="W93" s="61"/>
      <c r="X93" s="61"/>
      <c r="Y93" s="61"/>
      <c r="Z93" s="61"/>
    </row>
    <row r="94" spans="1:26" x14ac:dyDescent="0.25">
      <c r="A94" s="20"/>
      <c r="B94" s="67"/>
      <c r="C94" s="20"/>
      <c r="D94" s="20"/>
      <c r="E94" s="67"/>
      <c r="F94" s="67"/>
      <c r="G94" s="67"/>
      <c r="H94" s="67"/>
      <c r="I94" s="66"/>
      <c r="J94" s="66"/>
      <c r="K94" s="66"/>
      <c r="L94" s="66"/>
      <c r="M94" s="66"/>
      <c r="N94" s="66"/>
      <c r="O94" s="66"/>
      <c r="P94" s="20"/>
      <c r="Q94" s="20"/>
      <c r="R94" s="145"/>
      <c r="S94" s="145"/>
      <c r="T94" s="61"/>
      <c r="U94" s="61"/>
      <c r="V94" s="61"/>
      <c r="W94" s="61"/>
      <c r="X94" s="61"/>
      <c r="Y94" s="61"/>
      <c r="Z94" s="61"/>
    </row>
    <row r="95" spans="1:26" x14ac:dyDescent="0.25">
      <c r="A95" s="20"/>
      <c r="B95" s="20"/>
      <c r="C95" s="20"/>
      <c r="D95" s="20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20"/>
      <c r="P95" s="20"/>
      <c r="Q95" s="20"/>
      <c r="R95" s="145"/>
      <c r="S95" s="145"/>
      <c r="T95" s="61"/>
      <c r="U95" s="61"/>
      <c r="V95" s="61"/>
      <c r="W95" s="61"/>
      <c r="X95" s="61"/>
      <c r="Y95" s="61"/>
      <c r="Z95" s="61"/>
    </row>
    <row r="96" spans="1:26" x14ac:dyDescent="0.25">
      <c r="A96" s="20"/>
      <c r="B96" s="153"/>
      <c r="C96" s="20"/>
      <c r="D96" s="20"/>
      <c r="E96" s="154"/>
      <c r="F96" s="154"/>
      <c r="G96" s="154"/>
      <c r="H96" s="154"/>
      <c r="I96" s="155"/>
      <c r="J96" s="155"/>
      <c r="K96" s="155"/>
      <c r="L96" s="155"/>
      <c r="M96" s="155"/>
      <c r="N96" s="155"/>
      <c r="O96" s="155"/>
      <c r="P96" s="20"/>
      <c r="Q96" s="20"/>
      <c r="R96" s="145"/>
      <c r="S96" s="145"/>
      <c r="T96" s="61"/>
      <c r="U96" s="61"/>
      <c r="V96" s="61"/>
      <c r="W96" s="61"/>
      <c r="X96" s="61"/>
      <c r="Y96" s="61"/>
      <c r="Z96" s="61"/>
    </row>
    <row r="97" spans="1:26" x14ac:dyDescent="0.25">
      <c r="A97" s="20"/>
      <c r="B97" s="20"/>
      <c r="C97" s="20"/>
      <c r="D97" s="20"/>
      <c r="E97" s="20"/>
      <c r="F97" s="20"/>
      <c r="G97" s="67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145"/>
      <c r="S97" s="145"/>
      <c r="T97" s="61"/>
      <c r="U97" s="61"/>
      <c r="V97" s="61"/>
      <c r="W97" s="61"/>
      <c r="X97" s="61"/>
      <c r="Y97" s="61"/>
      <c r="Z97" s="61"/>
    </row>
    <row r="98" spans="1:26" x14ac:dyDescent="0.25">
      <c r="A98" s="20"/>
      <c r="B98" s="20"/>
      <c r="C98" s="20"/>
      <c r="D98" s="20"/>
      <c r="E98" s="167"/>
      <c r="F98" s="167"/>
      <c r="G98" s="167"/>
      <c r="H98" s="167"/>
      <c r="I98" s="148"/>
      <c r="J98" s="169"/>
      <c r="K98" s="169"/>
      <c r="L98" s="169"/>
      <c r="M98" s="169"/>
      <c r="N98" s="169"/>
      <c r="O98" s="169"/>
      <c r="P98" s="20"/>
      <c r="Q98" s="20"/>
      <c r="R98" s="145"/>
      <c r="S98" s="145"/>
      <c r="T98" s="61"/>
      <c r="U98" s="61"/>
      <c r="V98" s="61"/>
      <c r="W98" s="61"/>
      <c r="X98" s="61"/>
      <c r="Y98" s="61"/>
      <c r="Z98" s="61"/>
    </row>
    <row r="99" spans="1:26" x14ac:dyDescent="0.25">
      <c r="A99" s="20"/>
      <c r="B99" s="153"/>
      <c r="C99" s="20"/>
      <c r="D99" s="20"/>
      <c r="E99" s="154"/>
      <c r="F99" s="154"/>
      <c r="G99" s="154"/>
      <c r="H99" s="154"/>
      <c r="I99" s="156"/>
      <c r="J99" s="156"/>
      <c r="K99" s="156"/>
      <c r="L99" s="156"/>
      <c r="M99" s="156"/>
      <c r="N99" s="156"/>
      <c r="O99" s="148"/>
      <c r="P99" s="20"/>
      <c r="Q99" s="20"/>
      <c r="R99" s="145"/>
      <c r="S99" s="145"/>
      <c r="T99" s="61"/>
      <c r="U99" s="61"/>
      <c r="V99" s="61"/>
      <c r="W99" s="61"/>
      <c r="X99" s="61"/>
      <c r="Y99" s="61"/>
      <c r="Z99" s="61"/>
    </row>
    <row r="100" spans="1:26" x14ac:dyDescent="0.25">
      <c r="A100" s="20"/>
      <c r="B100" s="20"/>
      <c r="C100" s="20"/>
      <c r="D100" s="20"/>
      <c r="E100" s="20"/>
      <c r="F100" s="20"/>
      <c r="G100" s="20"/>
      <c r="H100" s="20"/>
      <c r="I100" s="157"/>
      <c r="J100" s="157"/>
      <c r="K100" s="157"/>
      <c r="L100" s="157"/>
      <c r="M100" s="157"/>
      <c r="N100" s="157"/>
      <c r="O100" s="157"/>
      <c r="P100" s="20"/>
      <c r="Q100" s="20"/>
      <c r="R100" s="145"/>
      <c r="S100" s="145"/>
      <c r="T100" s="61"/>
      <c r="U100" s="61"/>
      <c r="V100" s="61"/>
      <c r="W100" s="61"/>
      <c r="X100" s="61"/>
      <c r="Y100" s="61"/>
      <c r="Z100" s="61"/>
    </row>
    <row r="101" spans="1:26" x14ac:dyDescent="0.25">
      <c r="A101" s="20"/>
      <c r="B101" s="20"/>
      <c r="C101" s="20"/>
      <c r="D101" s="20"/>
      <c r="E101" s="20"/>
      <c r="F101" s="20"/>
      <c r="G101" s="20"/>
      <c r="H101" s="20"/>
      <c r="I101" s="148"/>
      <c r="J101" s="148"/>
      <c r="K101" s="148"/>
      <c r="L101" s="148"/>
      <c r="M101" s="148"/>
      <c r="N101" s="148"/>
      <c r="O101" s="148"/>
      <c r="P101" s="20"/>
      <c r="Q101" s="20"/>
      <c r="R101" s="145"/>
      <c r="S101" s="145"/>
      <c r="T101" s="61"/>
      <c r="U101" s="61"/>
      <c r="V101" s="61"/>
      <c r="W101" s="61"/>
      <c r="X101" s="61"/>
      <c r="Y101" s="61"/>
      <c r="Z101" s="61"/>
    </row>
    <row r="102" spans="1:26" x14ac:dyDescent="0.25">
      <c r="A102" s="20"/>
      <c r="B102" s="20"/>
      <c r="C102" s="20"/>
      <c r="D102" s="20"/>
      <c r="E102" s="167"/>
      <c r="F102" s="167"/>
      <c r="G102" s="167"/>
      <c r="H102" s="167"/>
      <c r="I102" s="148"/>
      <c r="J102" s="148"/>
      <c r="K102" s="148"/>
      <c r="L102" s="148"/>
      <c r="M102" s="148"/>
      <c r="N102" s="148"/>
      <c r="O102" s="148"/>
      <c r="P102" s="20"/>
      <c r="Q102" s="20"/>
      <c r="R102" s="145"/>
      <c r="S102" s="145"/>
      <c r="T102" s="61"/>
      <c r="U102" s="61"/>
      <c r="V102" s="61"/>
      <c r="W102" s="61"/>
      <c r="X102" s="61"/>
      <c r="Y102" s="61"/>
      <c r="Z102" s="61"/>
    </row>
    <row r="103" spans="1:26" x14ac:dyDescent="0.25">
      <c r="A103" s="20"/>
      <c r="B103" s="153"/>
      <c r="C103" s="20"/>
      <c r="D103" s="20"/>
      <c r="E103" s="154"/>
      <c r="F103" s="154"/>
      <c r="G103" s="154"/>
      <c r="H103" s="154"/>
      <c r="I103" s="156"/>
      <c r="J103" s="156"/>
      <c r="K103" s="156"/>
      <c r="L103" s="156"/>
      <c r="M103" s="156"/>
      <c r="N103" s="156"/>
      <c r="O103" s="148"/>
      <c r="P103" s="20"/>
      <c r="Q103" s="20"/>
      <c r="R103" s="145"/>
      <c r="S103" s="145"/>
      <c r="T103" s="61"/>
      <c r="U103" s="61"/>
      <c r="V103" s="61"/>
      <c r="W103" s="61"/>
      <c r="X103" s="61"/>
      <c r="Y103" s="61"/>
      <c r="Z103" s="61"/>
    </row>
    <row r="104" spans="1:26" x14ac:dyDescent="0.25">
      <c r="A104" s="20"/>
      <c r="B104" s="20"/>
      <c r="C104" s="20"/>
      <c r="D104" s="20"/>
      <c r="E104" s="20"/>
      <c r="F104" s="20"/>
      <c r="G104" s="20"/>
      <c r="H104" s="20"/>
      <c r="I104" s="170"/>
      <c r="J104" s="149"/>
      <c r="K104" s="149"/>
      <c r="L104" s="149"/>
      <c r="M104" s="149"/>
      <c r="N104" s="149"/>
      <c r="O104" s="149"/>
      <c r="P104" s="20"/>
      <c r="Q104" s="20"/>
      <c r="R104" s="145"/>
      <c r="S104" s="145"/>
      <c r="T104" s="61"/>
      <c r="U104" s="61"/>
      <c r="V104" s="61"/>
      <c r="W104" s="61"/>
      <c r="X104" s="61"/>
      <c r="Y104" s="61"/>
      <c r="Z104" s="61"/>
    </row>
    <row r="105" spans="1:26" x14ac:dyDescent="0.2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145"/>
      <c r="S105" s="145"/>
      <c r="T105" s="61"/>
      <c r="U105" s="61"/>
      <c r="V105" s="61"/>
      <c r="W105" s="61"/>
      <c r="X105" s="61"/>
      <c r="Y105" s="61"/>
      <c r="Z105" s="61"/>
    </row>
    <row r="106" spans="1:26" x14ac:dyDescent="0.25">
      <c r="A106" s="20"/>
      <c r="B106" s="148"/>
      <c r="C106" s="158"/>
      <c r="D106" s="158"/>
      <c r="E106" s="158"/>
      <c r="F106" s="158"/>
      <c r="G106" s="158"/>
      <c r="H106" s="158"/>
      <c r="I106" s="148"/>
      <c r="J106" s="148"/>
      <c r="K106" s="148"/>
      <c r="L106" s="148"/>
      <c r="M106" s="148"/>
      <c r="N106" s="148"/>
      <c r="O106" s="148"/>
      <c r="P106" s="20"/>
      <c r="Q106" s="20"/>
      <c r="R106" s="145"/>
      <c r="S106" s="145"/>
      <c r="T106" s="61"/>
      <c r="U106" s="61"/>
      <c r="V106" s="61"/>
      <c r="W106" s="61"/>
      <c r="X106" s="61"/>
      <c r="Y106" s="61"/>
      <c r="Z106" s="61"/>
    </row>
    <row r="107" spans="1:26" x14ac:dyDescent="0.25">
      <c r="A107" s="20"/>
      <c r="B107" s="159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20"/>
      <c r="Q107" s="20"/>
      <c r="R107" s="145"/>
      <c r="S107" s="145"/>
      <c r="T107" s="61"/>
      <c r="U107" s="61"/>
      <c r="V107" s="61"/>
      <c r="W107" s="61"/>
      <c r="X107" s="61"/>
      <c r="Y107" s="61"/>
      <c r="Z107" s="61"/>
    </row>
    <row r="108" spans="1:26" x14ac:dyDescent="0.25">
      <c r="A108" s="20"/>
      <c r="B108" s="159"/>
      <c r="C108" s="148"/>
      <c r="D108" s="148"/>
      <c r="E108" s="148"/>
      <c r="F108" s="148"/>
      <c r="G108" s="148"/>
      <c r="H108" s="148"/>
      <c r="I108" s="148"/>
      <c r="J108" s="171"/>
      <c r="K108" s="171"/>
      <c r="L108" s="171"/>
      <c r="M108" s="171"/>
      <c r="N108" s="171"/>
      <c r="O108" s="171"/>
      <c r="P108" s="20"/>
      <c r="Q108" s="20"/>
      <c r="R108" s="145"/>
      <c r="S108" s="145"/>
      <c r="T108" s="61"/>
      <c r="U108" s="61"/>
      <c r="V108" s="61"/>
      <c r="W108" s="61"/>
      <c r="X108" s="61"/>
      <c r="Y108" s="61"/>
      <c r="Z108" s="61"/>
    </row>
    <row r="109" spans="1:26" x14ac:dyDescent="0.25">
      <c r="A109" s="20"/>
      <c r="B109" s="159"/>
      <c r="C109" s="148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20"/>
      <c r="Q109" s="20"/>
      <c r="R109" s="145"/>
      <c r="S109" s="145"/>
      <c r="T109" s="61"/>
      <c r="U109" s="61"/>
      <c r="V109" s="61"/>
      <c r="W109" s="61"/>
      <c r="X109" s="61"/>
      <c r="Y109" s="61"/>
      <c r="Z109" s="61"/>
    </row>
    <row r="110" spans="1:26" x14ac:dyDescent="0.25">
      <c r="A110" s="20"/>
      <c r="B110" s="159"/>
      <c r="C110" s="148"/>
      <c r="D110" s="148"/>
      <c r="E110" s="148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  <c r="P110" s="20"/>
      <c r="Q110" s="20"/>
      <c r="R110" s="145"/>
      <c r="S110" s="145"/>
      <c r="T110" s="61"/>
      <c r="U110" s="61"/>
      <c r="V110" s="61"/>
      <c r="W110" s="61"/>
      <c r="X110" s="61"/>
      <c r="Y110" s="61"/>
      <c r="Z110" s="61"/>
    </row>
    <row r="111" spans="1:26" x14ac:dyDescent="0.25">
      <c r="A111" s="20"/>
      <c r="B111" s="159"/>
      <c r="C111" s="148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  <c r="P111" s="20"/>
      <c r="Q111" s="20"/>
      <c r="R111" s="145"/>
      <c r="S111" s="145"/>
      <c r="T111" s="61"/>
      <c r="U111" s="61"/>
      <c r="V111" s="61"/>
      <c r="W111" s="61"/>
      <c r="X111" s="61"/>
      <c r="Y111" s="61"/>
      <c r="Z111" s="61"/>
    </row>
    <row r="112" spans="1:26" x14ac:dyDescent="0.25">
      <c r="A112" s="20"/>
      <c r="B112" s="148"/>
      <c r="C112" s="148"/>
      <c r="D112" s="148"/>
      <c r="E112" s="148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  <c r="P112" s="20"/>
      <c r="Q112" s="20"/>
      <c r="R112" s="145"/>
      <c r="S112" s="145"/>
      <c r="T112" s="61"/>
      <c r="U112" s="61"/>
      <c r="V112" s="61"/>
      <c r="W112" s="61"/>
      <c r="X112" s="61"/>
      <c r="Y112" s="61"/>
      <c r="Z112" s="61"/>
    </row>
    <row r="113" spans="1:26" x14ac:dyDescent="0.25">
      <c r="A113" s="20"/>
      <c r="B113" s="148"/>
      <c r="C113" s="148"/>
      <c r="D113" s="148"/>
      <c r="E113" s="148"/>
      <c r="F113" s="148"/>
      <c r="G113" s="148"/>
      <c r="H113" s="148"/>
      <c r="I113" s="148"/>
      <c r="J113" s="160"/>
      <c r="K113" s="160"/>
      <c r="L113" s="160"/>
      <c r="M113" s="160"/>
      <c r="N113" s="160"/>
      <c r="O113" s="160"/>
      <c r="P113" s="20"/>
      <c r="Q113" s="20"/>
      <c r="R113" s="145"/>
      <c r="S113" s="145"/>
      <c r="T113" s="61"/>
      <c r="U113" s="61"/>
      <c r="V113" s="61"/>
      <c r="W113" s="61"/>
      <c r="X113" s="61"/>
      <c r="Y113" s="61"/>
      <c r="Z113" s="61"/>
    </row>
    <row r="114" spans="1:26" x14ac:dyDescent="0.25">
      <c r="A114" s="20"/>
      <c r="B114" s="148"/>
      <c r="C114" s="148"/>
      <c r="D114" s="148"/>
      <c r="E114" s="148"/>
      <c r="F114" s="148"/>
      <c r="G114" s="148"/>
      <c r="H114" s="67"/>
      <c r="I114" s="67"/>
      <c r="J114" s="148"/>
      <c r="K114" s="148"/>
      <c r="L114" s="148"/>
      <c r="M114" s="148"/>
      <c r="N114" s="148"/>
      <c r="O114" s="148"/>
      <c r="P114" s="20"/>
      <c r="Q114" s="20"/>
      <c r="R114" s="145"/>
      <c r="S114" s="145"/>
      <c r="T114" s="61"/>
      <c r="U114" s="61"/>
      <c r="V114" s="61"/>
      <c r="W114" s="61"/>
      <c r="X114" s="61"/>
      <c r="Y114" s="61"/>
      <c r="Z114" s="61"/>
    </row>
    <row r="115" spans="1:26" x14ac:dyDescent="0.25">
      <c r="A115" s="20"/>
      <c r="B115" s="20"/>
      <c r="C115" s="67"/>
      <c r="D115" s="67"/>
      <c r="E115" s="67"/>
      <c r="F115" s="67"/>
      <c r="G115" s="67"/>
      <c r="H115" s="186"/>
      <c r="I115" s="186"/>
      <c r="J115" s="173"/>
      <c r="K115" s="173"/>
      <c r="L115" s="173"/>
      <c r="M115" s="173"/>
      <c r="N115" s="173"/>
      <c r="O115" s="173"/>
      <c r="P115" s="20"/>
      <c r="Q115" s="20"/>
      <c r="R115" s="145"/>
      <c r="S115" s="145"/>
      <c r="T115" s="61"/>
      <c r="U115" s="61"/>
      <c r="V115" s="61"/>
      <c r="W115" s="61"/>
      <c r="X115" s="61"/>
      <c r="Y115" s="61"/>
      <c r="Z115" s="61"/>
    </row>
    <row r="116" spans="1:26" x14ac:dyDescent="0.25">
      <c r="A116" s="20"/>
      <c r="B116" s="20"/>
      <c r="C116" s="67"/>
      <c r="D116" s="67"/>
      <c r="E116" s="67"/>
      <c r="F116" s="67"/>
      <c r="G116" s="67"/>
      <c r="H116" s="67"/>
      <c r="I116" s="20"/>
      <c r="J116" s="148"/>
      <c r="K116" s="148"/>
      <c r="L116" s="148"/>
      <c r="M116" s="148"/>
      <c r="N116" s="148"/>
      <c r="O116" s="148"/>
      <c r="P116" s="20"/>
      <c r="Q116" s="20"/>
      <c r="R116" s="145"/>
      <c r="S116" s="145"/>
      <c r="T116" s="61"/>
      <c r="U116" s="61"/>
      <c r="V116" s="61"/>
      <c r="W116" s="61"/>
      <c r="X116" s="61"/>
      <c r="Y116" s="61"/>
      <c r="Z116" s="61"/>
    </row>
    <row r="117" spans="1:26" x14ac:dyDescent="0.25">
      <c r="A117" s="20"/>
      <c r="B117" s="20"/>
      <c r="C117" s="20"/>
      <c r="D117" s="20"/>
      <c r="E117" s="20"/>
      <c r="F117" s="20"/>
      <c r="G117" s="20"/>
      <c r="H117" s="20"/>
      <c r="I117" s="67"/>
      <c r="J117" s="148"/>
      <c r="K117" s="20"/>
      <c r="L117" s="20"/>
      <c r="M117" s="20"/>
      <c r="N117" s="20"/>
      <c r="O117" s="20"/>
      <c r="P117" s="20"/>
      <c r="Q117" s="20"/>
      <c r="R117" s="145"/>
      <c r="S117" s="145"/>
      <c r="T117" s="61"/>
      <c r="U117" s="61"/>
      <c r="V117" s="61"/>
      <c r="W117" s="61"/>
      <c r="X117" s="61"/>
      <c r="Y117" s="61"/>
      <c r="Z117" s="61"/>
    </row>
    <row r="118" spans="1:26" x14ac:dyDescent="0.25">
      <c r="A118" s="20"/>
      <c r="B118" s="20"/>
      <c r="C118" s="162"/>
      <c r="D118" s="20"/>
      <c r="E118" s="20"/>
      <c r="F118" s="20"/>
      <c r="G118" s="20"/>
      <c r="H118" s="20"/>
      <c r="I118" s="67"/>
      <c r="J118" s="148"/>
      <c r="K118" s="20"/>
      <c r="L118" s="20"/>
      <c r="M118" s="20"/>
      <c r="N118" s="20"/>
      <c r="O118" s="20"/>
      <c r="P118" s="20"/>
      <c r="Q118" s="20"/>
      <c r="R118" s="145"/>
      <c r="S118" s="145"/>
      <c r="T118" s="61"/>
      <c r="U118" s="61"/>
      <c r="V118" s="61"/>
      <c r="W118" s="61"/>
      <c r="X118" s="61"/>
      <c r="Y118" s="61"/>
      <c r="Z118" s="61"/>
    </row>
    <row r="119" spans="1:26" x14ac:dyDescent="0.25">
      <c r="A119" s="20"/>
      <c r="B119" s="20"/>
      <c r="C119" s="20"/>
      <c r="D119" s="20"/>
      <c r="E119" s="20"/>
      <c r="F119" s="20"/>
      <c r="G119" s="20"/>
      <c r="H119" s="20"/>
      <c r="I119" s="20"/>
      <c r="J119" s="174"/>
      <c r="K119" s="20"/>
      <c r="L119" s="20"/>
      <c r="M119" s="20"/>
      <c r="N119" s="148"/>
      <c r="O119" s="20"/>
      <c r="P119" s="20"/>
      <c r="Q119" s="20"/>
      <c r="R119" s="145"/>
      <c r="S119" s="145"/>
      <c r="T119" s="61"/>
      <c r="U119" s="61"/>
      <c r="V119" s="61"/>
      <c r="W119" s="61"/>
      <c r="X119" s="61"/>
      <c r="Y119" s="61"/>
      <c r="Z119" s="61"/>
    </row>
    <row r="120" spans="1:26" x14ac:dyDescent="0.2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148"/>
      <c r="O120" s="20"/>
      <c r="P120" s="20"/>
      <c r="Q120" s="20"/>
      <c r="R120" s="145"/>
      <c r="S120" s="145"/>
      <c r="T120" s="61"/>
      <c r="U120" s="61"/>
      <c r="V120" s="61"/>
      <c r="W120" s="61"/>
      <c r="X120" s="61"/>
      <c r="Y120" s="61"/>
      <c r="Z120" s="61"/>
    </row>
    <row r="121" spans="1:26" x14ac:dyDescent="0.25">
      <c r="A121" s="20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158"/>
      <c r="O121" s="20"/>
      <c r="P121" s="20"/>
      <c r="Q121" s="20"/>
      <c r="R121" s="145"/>
      <c r="S121" s="145"/>
      <c r="T121" s="61"/>
      <c r="U121" s="61"/>
      <c r="V121" s="61"/>
      <c r="W121" s="61"/>
      <c r="X121" s="61"/>
      <c r="Y121" s="61"/>
      <c r="Z121" s="61"/>
    </row>
    <row r="122" spans="1:26" x14ac:dyDescent="0.25">
      <c r="A122" s="20"/>
      <c r="B122" s="182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175"/>
      <c r="O122" s="20"/>
      <c r="P122" s="20"/>
      <c r="Q122" s="20"/>
      <c r="R122" s="145"/>
      <c r="S122" s="145"/>
      <c r="T122" s="61"/>
      <c r="U122" s="61"/>
      <c r="V122" s="61"/>
      <c r="W122" s="61"/>
      <c r="X122" s="61"/>
      <c r="Y122" s="61"/>
      <c r="Z122" s="61"/>
    </row>
    <row r="123" spans="1:26" x14ac:dyDescent="0.25">
      <c r="A123" s="20"/>
      <c r="B123" s="182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175"/>
      <c r="O123" s="20"/>
      <c r="P123" s="20"/>
      <c r="Q123" s="20"/>
      <c r="R123" s="145"/>
      <c r="S123" s="145"/>
      <c r="T123" s="61"/>
      <c r="U123" s="61"/>
      <c r="V123" s="61"/>
      <c r="W123" s="61"/>
      <c r="X123" s="61"/>
      <c r="Y123" s="61"/>
      <c r="Z123" s="61"/>
    </row>
    <row r="124" spans="1:26" x14ac:dyDescent="0.25">
      <c r="A124" s="20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176"/>
      <c r="O124" s="20"/>
      <c r="P124" s="20"/>
      <c r="Q124" s="20"/>
      <c r="R124" s="145"/>
      <c r="S124" s="145"/>
      <c r="T124" s="61"/>
      <c r="U124" s="61"/>
      <c r="V124" s="61"/>
      <c r="W124" s="61"/>
      <c r="X124" s="61"/>
      <c r="Y124" s="61"/>
      <c r="Z124" s="61"/>
    </row>
    <row r="125" spans="1:26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177"/>
      <c r="O125" s="20"/>
      <c r="P125" s="20"/>
      <c r="Q125" s="20"/>
      <c r="R125" s="145"/>
      <c r="S125" s="145"/>
      <c r="T125" s="61"/>
      <c r="U125" s="61"/>
      <c r="V125" s="61"/>
      <c r="W125" s="61"/>
      <c r="X125" s="61"/>
      <c r="Y125" s="61"/>
      <c r="Z125" s="61"/>
    </row>
    <row r="126" spans="1:26" x14ac:dyDescent="0.25">
      <c r="A126" s="20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178"/>
      <c r="O126" s="20"/>
      <c r="P126" s="20"/>
      <c r="Q126" s="20"/>
      <c r="R126" s="145"/>
      <c r="S126" s="145"/>
      <c r="T126" s="61"/>
      <c r="U126" s="61"/>
      <c r="V126" s="61"/>
      <c r="W126" s="61"/>
      <c r="X126" s="61"/>
      <c r="Y126" s="61"/>
      <c r="Z126" s="61"/>
    </row>
    <row r="127" spans="1:26" x14ac:dyDescent="0.25">
      <c r="A127" s="20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178"/>
      <c r="O127" s="20"/>
      <c r="P127" s="20"/>
      <c r="Q127" s="20"/>
      <c r="R127" s="145"/>
      <c r="S127" s="145"/>
      <c r="T127" s="61"/>
      <c r="U127" s="61"/>
      <c r="V127" s="61"/>
      <c r="W127" s="61"/>
      <c r="X127" s="61"/>
      <c r="Y127" s="61"/>
      <c r="Z127" s="61"/>
    </row>
    <row r="128" spans="1:26" x14ac:dyDescent="0.25">
      <c r="A128" s="20"/>
      <c r="B128" s="67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179"/>
      <c r="O128" s="20"/>
      <c r="P128" s="20"/>
      <c r="Q128" s="20"/>
      <c r="R128" s="145"/>
      <c r="S128" s="145"/>
      <c r="T128" s="61"/>
      <c r="U128" s="61"/>
      <c r="V128" s="61"/>
      <c r="W128" s="61"/>
      <c r="X128" s="61"/>
      <c r="Y128" s="61"/>
      <c r="Z128" s="61"/>
    </row>
    <row r="129" spans="1:26" x14ac:dyDescent="0.2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145"/>
      <c r="S129" s="145"/>
      <c r="T129" s="61"/>
      <c r="U129" s="61"/>
      <c r="V129" s="61"/>
      <c r="W129" s="61"/>
      <c r="X129" s="61"/>
      <c r="Y129" s="61"/>
      <c r="Z129" s="61"/>
    </row>
    <row r="130" spans="1:26" x14ac:dyDescent="0.2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145"/>
      <c r="S130" s="145"/>
      <c r="T130" s="61"/>
      <c r="U130" s="61"/>
      <c r="V130" s="61"/>
      <c r="W130" s="61"/>
      <c r="X130" s="61"/>
      <c r="Y130" s="61"/>
      <c r="Z130" s="61"/>
    </row>
    <row r="131" spans="1:26" x14ac:dyDescent="0.25">
      <c r="A131" s="20"/>
      <c r="B131" s="67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145"/>
      <c r="S131" s="145"/>
      <c r="T131" s="61"/>
      <c r="U131" s="61"/>
      <c r="V131" s="61"/>
      <c r="W131" s="61"/>
      <c r="X131" s="61"/>
      <c r="Y131" s="61"/>
      <c r="Z131" s="61"/>
    </row>
    <row r="132" spans="1:26" x14ac:dyDescent="0.2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145"/>
      <c r="S132" s="145"/>
      <c r="T132" s="61"/>
      <c r="U132" s="61"/>
      <c r="V132" s="61"/>
      <c r="W132" s="61"/>
      <c r="X132" s="61"/>
      <c r="Y132" s="61"/>
      <c r="Z132" s="61"/>
    </row>
    <row r="133" spans="1:26" x14ac:dyDescent="0.25">
      <c r="A133" s="20"/>
      <c r="B133" s="67"/>
      <c r="C133" s="20"/>
      <c r="D133" s="20"/>
      <c r="E133" s="67"/>
      <c r="F133" s="67"/>
      <c r="G133" s="67"/>
      <c r="H133" s="67"/>
      <c r="I133" s="66"/>
      <c r="J133" s="66"/>
      <c r="K133" s="66"/>
      <c r="L133" s="66"/>
      <c r="M133" s="66"/>
      <c r="N133" s="66"/>
      <c r="O133" s="66"/>
      <c r="P133" s="20"/>
      <c r="Q133" s="20"/>
      <c r="R133" s="145"/>
      <c r="S133" s="145"/>
      <c r="T133" s="61"/>
      <c r="U133" s="61"/>
      <c r="V133" s="61"/>
      <c r="W133" s="61"/>
      <c r="X133" s="61"/>
      <c r="Y133" s="61"/>
      <c r="Z133" s="61"/>
    </row>
    <row r="134" spans="1:26" x14ac:dyDescent="0.25">
      <c r="A134" s="20"/>
      <c r="B134" s="20"/>
      <c r="C134" s="20"/>
      <c r="D134" s="20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20"/>
      <c r="P134" s="20"/>
      <c r="Q134" s="20"/>
      <c r="R134" s="145"/>
      <c r="S134" s="145"/>
      <c r="T134" s="61"/>
      <c r="U134" s="61"/>
      <c r="V134" s="61"/>
      <c r="W134" s="61"/>
      <c r="X134" s="61"/>
      <c r="Y134" s="61"/>
      <c r="Z134" s="61"/>
    </row>
    <row r="135" spans="1:26" x14ac:dyDescent="0.25">
      <c r="A135" s="20"/>
      <c r="B135" s="153"/>
      <c r="C135" s="20"/>
      <c r="D135" s="20"/>
      <c r="E135" s="154"/>
      <c r="F135" s="154"/>
      <c r="G135" s="154"/>
      <c r="H135" s="154"/>
      <c r="I135" s="155"/>
      <c r="J135" s="155"/>
      <c r="K135" s="155"/>
      <c r="L135" s="155"/>
      <c r="M135" s="155"/>
      <c r="N135" s="155"/>
      <c r="O135" s="155"/>
      <c r="P135" s="20"/>
      <c r="Q135" s="20"/>
      <c r="R135" s="145"/>
      <c r="S135" s="145"/>
      <c r="T135" s="61"/>
      <c r="U135" s="61"/>
      <c r="V135" s="61"/>
      <c r="W135" s="61"/>
      <c r="X135" s="61"/>
      <c r="Y135" s="61"/>
      <c r="Z135" s="61"/>
    </row>
    <row r="136" spans="1:26" x14ac:dyDescent="0.25">
      <c r="A136" s="20"/>
      <c r="B136" s="20"/>
      <c r="C136" s="20"/>
      <c r="D136" s="20"/>
      <c r="E136" s="20"/>
      <c r="F136" s="20"/>
      <c r="G136" s="67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145"/>
      <c r="S136" s="145"/>
      <c r="T136" s="61"/>
      <c r="U136" s="61"/>
      <c r="V136" s="61"/>
      <c r="W136" s="61"/>
      <c r="X136" s="61"/>
      <c r="Y136" s="61"/>
      <c r="Z136" s="61"/>
    </row>
    <row r="137" spans="1:26" x14ac:dyDescent="0.25">
      <c r="A137" s="20"/>
      <c r="B137" s="20"/>
      <c r="C137" s="20"/>
      <c r="D137" s="20"/>
      <c r="E137" s="167"/>
      <c r="F137" s="167"/>
      <c r="G137" s="167"/>
      <c r="H137" s="167"/>
      <c r="I137" s="148"/>
      <c r="J137" s="169"/>
      <c r="K137" s="169"/>
      <c r="L137" s="169"/>
      <c r="M137" s="169"/>
      <c r="N137" s="169"/>
      <c r="O137" s="169"/>
      <c r="P137" s="20"/>
      <c r="Q137" s="20"/>
      <c r="R137" s="145"/>
      <c r="S137" s="145"/>
      <c r="T137" s="61"/>
      <c r="U137" s="61"/>
      <c r="V137" s="61"/>
      <c r="W137" s="61"/>
      <c r="X137" s="61"/>
      <c r="Y137" s="61"/>
      <c r="Z137" s="61"/>
    </row>
    <row r="138" spans="1:26" x14ac:dyDescent="0.25">
      <c r="A138" s="20"/>
      <c r="B138" s="153"/>
      <c r="C138" s="20"/>
      <c r="D138" s="20"/>
      <c r="E138" s="154"/>
      <c r="F138" s="154"/>
      <c r="G138" s="154"/>
      <c r="H138" s="154"/>
      <c r="I138" s="156"/>
      <c r="J138" s="156"/>
      <c r="K138" s="156"/>
      <c r="L138" s="156"/>
      <c r="M138" s="156"/>
      <c r="N138" s="156"/>
      <c r="O138" s="148"/>
      <c r="P138" s="20"/>
      <c r="Q138" s="20"/>
      <c r="R138" s="145"/>
      <c r="S138" s="145"/>
      <c r="T138" s="61"/>
      <c r="U138" s="61"/>
      <c r="V138" s="61"/>
      <c r="W138" s="61"/>
      <c r="X138" s="61"/>
      <c r="Y138" s="61"/>
      <c r="Z138" s="61"/>
    </row>
    <row r="139" spans="1:26" x14ac:dyDescent="0.25">
      <c r="A139" s="20"/>
      <c r="B139" s="20"/>
      <c r="C139" s="20"/>
      <c r="D139" s="20"/>
      <c r="E139" s="20"/>
      <c r="F139" s="20"/>
      <c r="G139" s="20"/>
      <c r="H139" s="20"/>
      <c r="I139" s="157"/>
      <c r="J139" s="157"/>
      <c r="K139" s="157"/>
      <c r="L139" s="157"/>
      <c r="M139" s="157"/>
      <c r="N139" s="157"/>
      <c r="O139" s="157"/>
      <c r="P139" s="20"/>
      <c r="Q139" s="20"/>
      <c r="R139" s="145"/>
      <c r="S139" s="145"/>
      <c r="T139" s="61"/>
      <c r="U139" s="61"/>
      <c r="V139" s="61"/>
      <c r="W139" s="61"/>
      <c r="X139" s="61"/>
      <c r="Y139" s="61"/>
      <c r="Z139" s="61"/>
    </row>
    <row r="140" spans="1:26" x14ac:dyDescent="0.25">
      <c r="A140" s="20"/>
      <c r="B140" s="20"/>
      <c r="C140" s="20"/>
      <c r="D140" s="20"/>
      <c r="E140" s="20"/>
      <c r="F140" s="20"/>
      <c r="G140" s="20"/>
      <c r="H140" s="20"/>
      <c r="I140" s="148"/>
      <c r="J140" s="148"/>
      <c r="K140" s="148"/>
      <c r="L140" s="148"/>
      <c r="M140" s="148"/>
      <c r="N140" s="148"/>
      <c r="O140" s="148"/>
      <c r="P140" s="20"/>
      <c r="Q140" s="20"/>
      <c r="R140" s="145"/>
      <c r="S140" s="145"/>
      <c r="T140" s="61"/>
      <c r="U140" s="61"/>
      <c r="V140" s="61"/>
      <c r="W140" s="61"/>
      <c r="X140" s="61"/>
      <c r="Y140" s="61"/>
      <c r="Z140" s="61"/>
    </row>
    <row r="141" spans="1:26" x14ac:dyDescent="0.25">
      <c r="A141" s="20"/>
      <c r="B141" s="20"/>
      <c r="C141" s="20"/>
      <c r="D141" s="20"/>
      <c r="E141" s="167"/>
      <c r="F141" s="167"/>
      <c r="G141" s="167"/>
      <c r="H141" s="167"/>
      <c r="I141" s="148"/>
      <c r="J141" s="148"/>
      <c r="K141" s="148"/>
      <c r="L141" s="148"/>
      <c r="M141" s="148"/>
      <c r="N141" s="148"/>
      <c r="O141" s="148"/>
      <c r="P141" s="20"/>
      <c r="Q141" s="20"/>
      <c r="R141" s="145"/>
      <c r="S141" s="145"/>
      <c r="T141" s="61"/>
      <c r="U141" s="61"/>
      <c r="V141" s="61"/>
      <c r="W141" s="61"/>
      <c r="X141" s="61"/>
      <c r="Y141" s="61"/>
      <c r="Z141" s="61"/>
    </row>
    <row r="142" spans="1:26" x14ac:dyDescent="0.25">
      <c r="A142" s="20"/>
      <c r="B142" s="153"/>
      <c r="C142" s="20"/>
      <c r="D142" s="20"/>
      <c r="E142" s="154"/>
      <c r="F142" s="154"/>
      <c r="G142" s="154"/>
      <c r="H142" s="154"/>
      <c r="I142" s="156"/>
      <c r="J142" s="156"/>
      <c r="K142" s="156"/>
      <c r="L142" s="156"/>
      <c r="M142" s="156"/>
      <c r="N142" s="156"/>
      <c r="O142" s="148"/>
      <c r="P142" s="20"/>
      <c r="Q142" s="20"/>
      <c r="R142" s="145"/>
      <c r="S142" s="145"/>
      <c r="T142" s="61"/>
      <c r="U142" s="61"/>
      <c r="V142" s="61"/>
      <c r="W142" s="61"/>
      <c r="X142" s="61"/>
      <c r="Y142" s="61"/>
      <c r="Z142" s="61"/>
    </row>
    <row r="143" spans="1:26" x14ac:dyDescent="0.25">
      <c r="A143" s="20"/>
      <c r="B143" s="20"/>
      <c r="C143" s="20"/>
      <c r="D143" s="20"/>
      <c r="E143" s="20"/>
      <c r="F143" s="20"/>
      <c r="G143" s="20"/>
      <c r="H143" s="20"/>
      <c r="I143" s="170"/>
      <c r="J143" s="170"/>
      <c r="K143" s="170"/>
      <c r="L143" s="170"/>
      <c r="M143" s="170"/>
      <c r="N143" s="170"/>
      <c r="O143" s="170"/>
      <c r="P143" s="20"/>
      <c r="Q143" s="20"/>
      <c r="R143" s="145"/>
      <c r="S143" s="145"/>
      <c r="T143" s="61"/>
      <c r="U143" s="61"/>
      <c r="V143" s="61"/>
      <c r="W143" s="61"/>
      <c r="X143" s="61"/>
      <c r="Y143" s="61"/>
      <c r="Z143" s="61"/>
    </row>
    <row r="144" spans="1:26" x14ac:dyDescent="0.2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145"/>
      <c r="S144" s="145"/>
      <c r="T144" s="61"/>
      <c r="U144" s="61"/>
      <c r="V144" s="61"/>
      <c r="W144" s="61"/>
      <c r="X144" s="61"/>
      <c r="Y144" s="61"/>
      <c r="Z144" s="61"/>
    </row>
    <row r="145" spans="1:26" x14ac:dyDescent="0.25">
      <c r="A145" s="20"/>
      <c r="B145" s="148"/>
      <c r="C145" s="158"/>
      <c r="D145" s="158"/>
      <c r="E145" s="158"/>
      <c r="F145" s="158"/>
      <c r="G145" s="158"/>
      <c r="H145" s="158"/>
      <c r="I145" s="148"/>
      <c r="J145" s="148"/>
      <c r="K145" s="148"/>
      <c r="L145" s="148"/>
      <c r="M145" s="148"/>
      <c r="N145" s="148"/>
      <c r="O145" s="148"/>
      <c r="P145" s="20"/>
      <c r="Q145" s="20"/>
      <c r="R145" s="145"/>
      <c r="S145" s="145"/>
      <c r="T145" s="61"/>
      <c r="U145" s="61"/>
      <c r="V145" s="61"/>
      <c r="W145" s="61"/>
      <c r="X145" s="61"/>
      <c r="Y145" s="61"/>
      <c r="Z145" s="61"/>
    </row>
    <row r="146" spans="1:26" x14ac:dyDescent="0.25">
      <c r="A146" s="20"/>
      <c r="B146" s="159"/>
      <c r="C146" s="148"/>
      <c r="D146" s="148"/>
      <c r="E146" s="148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  <c r="P146" s="20"/>
      <c r="Q146" s="20"/>
      <c r="R146" s="145"/>
      <c r="S146" s="145"/>
      <c r="T146" s="61"/>
      <c r="U146" s="61"/>
      <c r="V146" s="61"/>
      <c r="W146" s="61"/>
      <c r="X146" s="61"/>
      <c r="Y146" s="61"/>
      <c r="Z146" s="61"/>
    </row>
    <row r="147" spans="1:26" x14ac:dyDescent="0.25">
      <c r="A147" s="20"/>
      <c r="B147" s="159"/>
      <c r="C147" s="148"/>
      <c r="D147" s="148"/>
      <c r="E147" s="148"/>
      <c r="F147" s="148"/>
      <c r="G147" s="148"/>
      <c r="H147" s="148"/>
      <c r="I147" s="148"/>
      <c r="J147" s="20"/>
      <c r="K147" s="20"/>
      <c r="L147" s="20"/>
      <c r="M147" s="20"/>
      <c r="N147" s="20"/>
      <c r="O147" s="20"/>
      <c r="P147" s="20"/>
      <c r="Q147" s="20"/>
      <c r="R147" s="145"/>
      <c r="S147" s="145"/>
      <c r="T147" s="61"/>
      <c r="U147" s="61"/>
      <c r="V147" s="61"/>
      <c r="W147" s="61"/>
      <c r="X147" s="61"/>
      <c r="Y147" s="61"/>
      <c r="Z147" s="61"/>
    </row>
    <row r="148" spans="1:26" x14ac:dyDescent="0.25">
      <c r="A148" s="20"/>
      <c r="B148" s="159"/>
      <c r="C148" s="148"/>
      <c r="D148" s="148"/>
      <c r="E148" s="148"/>
      <c r="F148" s="148"/>
      <c r="G148" s="148"/>
      <c r="H148" s="148"/>
      <c r="I148" s="148"/>
      <c r="J148" s="148"/>
      <c r="K148" s="148"/>
      <c r="L148" s="148"/>
      <c r="M148" s="148"/>
      <c r="N148" s="148"/>
      <c r="O148" s="148"/>
      <c r="P148" s="20"/>
      <c r="Q148" s="20"/>
      <c r="R148" s="145"/>
      <c r="S148" s="145"/>
      <c r="T148" s="61"/>
      <c r="U148" s="61"/>
      <c r="V148" s="61"/>
      <c r="W148" s="61"/>
      <c r="X148" s="61"/>
      <c r="Y148" s="61"/>
      <c r="Z148" s="61"/>
    </row>
    <row r="149" spans="1:26" x14ac:dyDescent="0.25">
      <c r="A149" s="20"/>
      <c r="B149" s="159"/>
      <c r="C149" s="148"/>
      <c r="D149" s="148"/>
      <c r="E149" s="148"/>
      <c r="F149" s="148"/>
      <c r="G149" s="148"/>
      <c r="H149" s="148"/>
      <c r="I149" s="148"/>
      <c r="J149" s="148"/>
      <c r="K149" s="148"/>
      <c r="L149" s="148"/>
      <c r="M149" s="148"/>
      <c r="N149" s="148"/>
      <c r="O149" s="148"/>
      <c r="P149" s="20"/>
      <c r="Q149" s="20"/>
      <c r="R149" s="145"/>
      <c r="S149" s="145"/>
      <c r="T149" s="61"/>
      <c r="U149" s="61"/>
      <c r="V149" s="61"/>
      <c r="W149" s="61"/>
      <c r="X149" s="61"/>
      <c r="Y149" s="61"/>
      <c r="Z149" s="61"/>
    </row>
    <row r="150" spans="1:26" x14ac:dyDescent="0.25">
      <c r="A150" s="20"/>
      <c r="B150" s="159"/>
      <c r="C150" s="148"/>
      <c r="D150" s="148"/>
      <c r="E150" s="148"/>
      <c r="F150" s="148"/>
      <c r="G150" s="148"/>
      <c r="H150" s="148"/>
      <c r="I150" s="148"/>
      <c r="J150" s="148"/>
      <c r="K150" s="148"/>
      <c r="L150" s="148"/>
      <c r="M150" s="148"/>
      <c r="N150" s="148"/>
      <c r="O150" s="148"/>
      <c r="P150" s="20"/>
      <c r="Q150" s="20"/>
      <c r="R150" s="145"/>
      <c r="S150" s="145"/>
      <c r="T150" s="61"/>
      <c r="U150" s="61"/>
      <c r="V150" s="61"/>
      <c r="W150" s="61"/>
      <c r="X150" s="61"/>
      <c r="Y150" s="61"/>
      <c r="Z150" s="61"/>
    </row>
    <row r="151" spans="1:26" x14ac:dyDescent="0.25">
      <c r="A151" s="20"/>
      <c r="B151" s="148"/>
      <c r="C151" s="148"/>
      <c r="D151" s="148"/>
      <c r="E151" s="148"/>
      <c r="F151" s="148"/>
      <c r="G151" s="148"/>
      <c r="H151" s="148"/>
      <c r="I151" s="148"/>
      <c r="J151" s="148"/>
      <c r="K151" s="148"/>
      <c r="L151" s="148"/>
      <c r="M151" s="148"/>
      <c r="N151" s="148"/>
      <c r="O151" s="148"/>
      <c r="P151" s="20"/>
      <c r="Q151" s="20"/>
      <c r="R151" s="145"/>
      <c r="S151" s="145"/>
      <c r="T151" s="61"/>
      <c r="U151" s="61"/>
      <c r="V151" s="61"/>
      <c r="W151" s="61"/>
      <c r="X151" s="61"/>
      <c r="Y151" s="61"/>
      <c r="Z151" s="61"/>
    </row>
    <row r="152" spans="1:26" x14ac:dyDescent="0.25">
      <c r="A152" s="20"/>
      <c r="B152" s="148"/>
      <c r="C152" s="148"/>
      <c r="D152" s="148"/>
      <c r="E152" s="148"/>
      <c r="F152" s="148"/>
      <c r="G152" s="148"/>
      <c r="H152" s="148"/>
      <c r="I152" s="148"/>
      <c r="J152" s="160"/>
      <c r="K152" s="160"/>
      <c r="L152" s="160"/>
      <c r="M152" s="160"/>
      <c r="N152" s="160"/>
      <c r="O152" s="160"/>
      <c r="P152" s="20"/>
      <c r="Q152" s="20"/>
      <c r="R152" s="145"/>
      <c r="S152" s="145"/>
      <c r="T152" s="61"/>
      <c r="U152" s="61"/>
      <c r="V152" s="61"/>
      <c r="W152" s="61"/>
      <c r="X152" s="61"/>
      <c r="Y152" s="61"/>
      <c r="Z152" s="61"/>
    </row>
    <row r="153" spans="1:26" x14ac:dyDescent="0.25">
      <c r="A153" s="20"/>
      <c r="B153" s="148"/>
      <c r="C153" s="148"/>
      <c r="D153" s="148"/>
      <c r="E153" s="148"/>
      <c r="F153" s="148"/>
      <c r="G153" s="148"/>
      <c r="H153" s="186"/>
      <c r="I153" s="186"/>
      <c r="J153" s="148"/>
      <c r="K153" s="148"/>
      <c r="L153" s="148"/>
      <c r="M153" s="148"/>
      <c r="N153" s="148"/>
      <c r="O153" s="148"/>
      <c r="P153" s="20"/>
      <c r="Q153" s="20"/>
      <c r="R153" s="145"/>
      <c r="S153" s="145"/>
      <c r="T153" s="61"/>
      <c r="U153" s="61"/>
      <c r="V153" s="61"/>
      <c r="W153" s="61"/>
      <c r="X153" s="61"/>
      <c r="Y153" s="61"/>
      <c r="Z153" s="61"/>
    </row>
    <row r="154" spans="1:26" x14ac:dyDescent="0.25">
      <c r="A154" s="20"/>
      <c r="B154" s="20"/>
      <c r="C154" s="67"/>
      <c r="D154" s="67"/>
      <c r="E154" s="67"/>
      <c r="F154" s="67"/>
      <c r="G154" s="67"/>
      <c r="H154" s="186"/>
      <c r="I154" s="186"/>
      <c r="J154" s="161"/>
      <c r="K154" s="161"/>
      <c r="L154" s="161"/>
      <c r="M154" s="161"/>
      <c r="N154" s="161"/>
      <c r="O154" s="161"/>
      <c r="P154" s="20"/>
      <c r="Q154" s="20"/>
      <c r="R154" s="145"/>
      <c r="S154" s="145"/>
      <c r="T154" s="61"/>
      <c r="U154" s="61"/>
      <c r="V154" s="61"/>
      <c r="W154" s="61"/>
      <c r="X154" s="61"/>
      <c r="Y154" s="61"/>
      <c r="Z154" s="61"/>
    </row>
    <row r="155" spans="1:26" x14ac:dyDescent="0.25">
      <c r="A155" s="20"/>
      <c r="B155" s="20"/>
      <c r="C155" s="67"/>
      <c r="D155" s="67"/>
      <c r="E155" s="67"/>
      <c r="F155" s="67"/>
      <c r="G155" s="67"/>
      <c r="H155" s="67"/>
      <c r="I155" s="20"/>
      <c r="J155" s="148"/>
      <c r="K155" s="148"/>
      <c r="L155" s="148"/>
      <c r="M155" s="148"/>
      <c r="N155" s="148"/>
      <c r="O155" s="148"/>
      <c r="P155" s="20"/>
      <c r="Q155" s="20"/>
      <c r="R155" s="145"/>
      <c r="S155" s="145"/>
      <c r="T155" s="61"/>
      <c r="U155" s="61"/>
      <c r="V155" s="61"/>
      <c r="W155" s="61"/>
      <c r="X155" s="61"/>
      <c r="Y155" s="61"/>
      <c r="Z155" s="61"/>
    </row>
    <row r="156" spans="1:26" x14ac:dyDescent="0.25">
      <c r="A156" s="20"/>
      <c r="B156" s="20"/>
      <c r="C156" s="20"/>
      <c r="D156" s="20"/>
      <c r="E156" s="20"/>
      <c r="F156" s="20"/>
      <c r="G156" s="20"/>
      <c r="H156" s="20"/>
      <c r="I156" s="67"/>
      <c r="J156" s="148"/>
      <c r="K156" s="20"/>
      <c r="L156" s="20"/>
      <c r="M156" s="20"/>
      <c r="N156" s="20"/>
      <c r="O156" s="20"/>
      <c r="P156" s="20"/>
      <c r="Q156" s="20"/>
      <c r="R156" s="145"/>
      <c r="S156" s="145"/>
      <c r="T156" s="61"/>
      <c r="U156" s="61"/>
      <c r="V156" s="61"/>
      <c r="W156" s="61"/>
      <c r="X156" s="61"/>
      <c r="Y156" s="61"/>
      <c r="Z156" s="61"/>
    </row>
    <row r="157" spans="1:26" x14ac:dyDescent="0.25">
      <c r="A157" s="20"/>
      <c r="B157" s="20"/>
      <c r="C157" s="162"/>
      <c r="D157" s="20"/>
      <c r="E157" s="20"/>
      <c r="F157" s="20"/>
      <c r="G157" s="20"/>
      <c r="H157" s="20"/>
      <c r="I157" s="67"/>
      <c r="J157" s="148"/>
      <c r="K157" s="20"/>
      <c r="L157" s="20"/>
      <c r="M157" s="20"/>
      <c r="N157" s="20"/>
      <c r="O157" s="20"/>
      <c r="P157" s="20"/>
      <c r="Q157" s="20"/>
      <c r="R157" s="145"/>
      <c r="S157" s="145"/>
      <c r="T157" s="61"/>
      <c r="U157" s="61"/>
      <c r="V157" s="61"/>
      <c r="W157" s="61"/>
      <c r="X157" s="61"/>
      <c r="Y157" s="61"/>
      <c r="Z157" s="61"/>
    </row>
    <row r="158" spans="1:26" x14ac:dyDescent="0.25">
      <c r="A158" s="20"/>
      <c r="B158" s="20"/>
      <c r="C158" s="20"/>
      <c r="D158" s="20"/>
      <c r="E158" s="20"/>
      <c r="F158" s="20"/>
      <c r="G158" s="20"/>
      <c r="H158" s="20"/>
      <c r="I158" s="20"/>
      <c r="J158" s="174"/>
      <c r="K158" s="20"/>
      <c r="L158" s="20"/>
      <c r="M158" s="20"/>
      <c r="N158" s="148"/>
      <c r="O158" s="20"/>
      <c r="P158" s="20"/>
      <c r="Q158" s="20"/>
      <c r="R158" s="145"/>
      <c r="S158" s="145"/>
      <c r="T158" s="61"/>
      <c r="U158" s="61"/>
      <c r="V158" s="61"/>
      <c r="W158" s="61"/>
      <c r="X158" s="61"/>
      <c r="Y158" s="61"/>
      <c r="Z158" s="61"/>
    </row>
    <row r="159" spans="1:26" x14ac:dyDescent="0.2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148"/>
      <c r="O159" s="20"/>
      <c r="P159" s="20"/>
      <c r="Q159" s="20"/>
      <c r="R159" s="145"/>
      <c r="S159" s="145"/>
      <c r="T159" s="61"/>
      <c r="U159" s="61"/>
      <c r="V159" s="61"/>
      <c r="W159" s="61"/>
      <c r="X159" s="61"/>
      <c r="Y159" s="61"/>
      <c r="Z159" s="61"/>
    </row>
    <row r="160" spans="1:26" x14ac:dyDescent="0.25">
      <c r="A160" s="20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158"/>
      <c r="O160" s="20"/>
      <c r="P160" s="20"/>
      <c r="Q160" s="20"/>
      <c r="R160" s="145"/>
      <c r="S160" s="145"/>
      <c r="T160" s="61"/>
      <c r="U160" s="61"/>
      <c r="V160" s="61"/>
      <c r="W160" s="61"/>
      <c r="X160" s="61"/>
      <c r="Y160" s="61"/>
      <c r="Z160" s="61"/>
    </row>
    <row r="161" spans="1:26" x14ac:dyDescent="0.25">
      <c r="A161" s="20"/>
      <c r="B161" s="182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180"/>
      <c r="O161" s="20"/>
      <c r="P161" s="20"/>
      <c r="Q161" s="20"/>
      <c r="R161" s="145"/>
      <c r="S161" s="145"/>
      <c r="T161" s="61"/>
      <c r="U161" s="61"/>
      <c r="V161" s="61"/>
      <c r="W161" s="61"/>
      <c r="X161" s="61"/>
      <c r="Y161" s="61"/>
      <c r="Z161" s="61"/>
    </row>
    <row r="162" spans="1:26" x14ac:dyDescent="0.25">
      <c r="A162" s="20"/>
      <c r="B162" s="182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180"/>
      <c r="O162" s="20"/>
      <c r="P162" s="20"/>
      <c r="Q162" s="20"/>
      <c r="R162" s="145"/>
      <c r="S162" s="145"/>
      <c r="T162" s="61"/>
      <c r="U162" s="61"/>
      <c r="V162" s="61"/>
      <c r="W162" s="61"/>
      <c r="X162" s="61"/>
      <c r="Y162" s="61"/>
      <c r="Z162" s="61"/>
    </row>
    <row r="163" spans="1:26" x14ac:dyDescent="0.25">
      <c r="A163" s="20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176"/>
      <c r="O163" s="20"/>
      <c r="P163" s="20"/>
      <c r="Q163" s="20"/>
      <c r="R163" s="145"/>
      <c r="S163" s="145"/>
      <c r="T163" s="61"/>
      <c r="U163" s="61"/>
      <c r="V163" s="61"/>
      <c r="W163" s="61"/>
      <c r="X163" s="61"/>
      <c r="Y163" s="61"/>
      <c r="Z163" s="61"/>
    </row>
    <row r="164" spans="1:26" x14ac:dyDescent="0.2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181"/>
      <c r="O164" s="20"/>
      <c r="P164" s="20"/>
      <c r="Q164" s="20"/>
      <c r="R164" s="145"/>
      <c r="S164" s="145"/>
      <c r="T164" s="61"/>
      <c r="U164" s="61"/>
      <c r="V164" s="61"/>
      <c r="W164" s="61"/>
      <c r="X164" s="61"/>
      <c r="Y164" s="61"/>
      <c r="Z164" s="61"/>
    </row>
    <row r="165" spans="1:26" x14ac:dyDescent="0.25">
      <c r="A165" s="20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178"/>
      <c r="O165" s="20"/>
      <c r="P165" s="20"/>
      <c r="Q165" s="20"/>
      <c r="R165" s="145"/>
      <c r="S165" s="145"/>
      <c r="T165" s="61"/>
      <c r="U165" s="61"/>
      <c r="V165" s="61"/>
      <c r="W165" s="61"/>
      <c r="X165" s="61"/>
      <c r="Y165" s="61"/>
      <c r="Z165" s="61"/>
    </row>
    <row r="166" spans="1:26" x14ac:dyDescent="0.25">
      <c r="A166" s="20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178"/>
      <c r="O166" s="20"/>
      <c r="P166" s="20"/>
      <c r="Q166" s="20"/>
      <c r="R166" s="145"/>
      <c r="S166" s="145"/>
      <c r="T166" s="61"/>
      <c r="U166" s="61"/>
      <c r="V166" s="61"/>
      <c r="W166" s="61"/>
      <c r="X166" s="61"/>
      <c r="Y166" s="61"/>
      <c r="Z166" s="61"/>
    </row>
    <row r="167" spans="1:26" x14ac:dyDescent="0.25">
      <c r="A167" s="63"/>
      <c r="B167" s="183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4"/>
      <c r="O167" s="62"/>
      <c r="P167" s="62"/>
      <c r="Q167" s="62"/>
      <c r="R167" s="61"/>
      <c r="S167" s="61"/>
      <c r="T167" s="61"/>
      <c r="U167" s="61"/>
      <c r="V167" s="61"/>
      <c r="W167" s="61"/>
      <c r="X167" s="61"/>
      <c r="Y167" s="61"/>
      <c r="Z167" s="61"/>
    </row>
    <row r="168" spans="1:26" x14ac:dyDescent="0.25">
      <c r="A168" s="63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1"/>
      <c r="S168" s="61"/>
      <c r="T168" s="61"/>
      <c r="U168" s="61"/>
      <c r="V168" s="61"/>
      <c r="W168" s="61"/>
      <c r="X168" s="61"/>
      <c r="Y168" s="61"/>
      <c r="Z168" s="61"/>
    </row>
    <row r="169" spans="1:26" x14ac:dyDescent="0.25"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spans="1:26" x14ac:dyDescent="0.25"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spans="1:26" x14ac:dyDescent="0.25"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spans="1:26" x14ac:dyDescent="0.25"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</sheetData>
  <mergeCells count="5">
    <mergeCell ref="H154:I154"/>
    <mergeCell ref="H153:I153"/>
    <mergeCell ref="H36:I36"/>
    <mergeCell ref="H77:I77"/>
    <mergeCell ref="H115:I1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F9C8-D4E4-4476-BC3F-5F0BB0797F10}">
  <dimension ref="Q17:R19"/>
  <sheetViews>
    <sheetView workbookViewId="0">
      <selection activeCell="Q18" sqref="Q18"/>
    </sheetView>
  </sheetViews>
  <sheetFormatPr defaultRowHeight="15" x14ac:dyDescent="0.25"/>
  <sheetData>
    <row r="17" spans="17:18" x14ac:dyDescent="0.25">
      <c r="Q17" s="130">
        <f>2971/46735</f>
        <v>6.3571199315288332E-2</v>
      </c>
      <c r="R17">
        <f>-1312/34943</f>
        <v>-3.7546862032452853E-2</v>
      </c>
    </row>
    <row r="19" spans="17:18" x14ac:dyDescent="0.25">
      <c r="Q19" t="s">
        <v>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OPENNING</vt:lpstr>
      <vt:lpstr>WACC</vt:lpstr>
      <vt:lpstr>Story&amp;Estimates</vt:lpstr>
      <vt:lpstr>DCF</vt:lpstr>
      <vt:lpstr>latest reports</vt:lpstr>
      <vt:lpstr>tgr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דיין</dc:creator>
  <cp:lastModifiedBy>רועי דיין</cp:lastModifiedBy>
  <dcterms:created xsi:type="dcterms:W3CDTF">2015-06-05T18:17:20Z</dcterms:created>
  <dcterms:modified xsi:type="dcterms:W3CDTF">2024-07-07T13:20:30Z</dcterms:modified>
</cp:coreProperties>
</file>