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charts/chart27.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cc2016\Desktop\borsa\DCF\Companies\specifics\AMZN\"/>
    </mc:Choice>
  </mc:AlternateContent>
  <xr:revisionPtr revIDLastSave="0" documentId="13_ncr:1_{BB2F3EDA-2716-46C1-8446-CE77072B6CA0}" xr6:coauthVersionLast="47" xr6:coauthVersionMax="47" xr10:uidLastSave="{00000000-0000-0000-0000-000000000000}"/>
  <bookViews>
    <workbookView xWindow="-120" yWindow="-120" windowWidth="29040" windowHeight="15840" activeTab="6" xr2:uid="{00000000-000D-0000-FFFF-FFFF00000000}"/>
  </bookViews>
  <sheets>
    <sheet name="Equity" sheetId="1" r:id="rId1"/>
    <sheet name="Debt" sheetId="2" r:id="rId2"/>
    <sheet name="WACC" sheetId="3" r:id="rId3"/>
    <sheet name="DCF by regression " sheetId="4" r:id="rId4"/>
    <sheet name="DCF estimations" sheetId="5" r:id="rId5"/>
    <sheet name="DCF by analysts estimates" sheetId="6" r:id="rId6"/>
    <sheet name="Conclusion; Buy or Sell" sheetId="7" r:id="rId7"/>
  </sheets>
  <externalReferences>
    <externalReference r:id="rId8"/>
  </externalReferences>
  <definedNames>
    <definedName name="tgr">'DCF by regression '!$D$10</definedName>
    <definedName name="wacc">'DCF by regression '!$D$9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51" i="6" l="1"/>
  <c r="N83" i="4"/>
  <c r="L72" i="4"/>
  <c r="M72" i="4"/>
  <c r="N72" i="4"/>
  <c r="K72" i="4"/>
  <c r="N76" i="4"/>
  <c r="N74" i="4"/>
  <c r="N33" i="6"/>
  <c r="W37" i="6" s="1"/>
  <c r="M33" i="6"/>
  <c r="W36" i="6" s="1"/>
  <c r="L33" i="6"/>
  <c r="W35" i="6" s="1"/>
  <c r="K33" i="6"/>
  <c r="W34" i="6" s="1"/>
  <c r="J33" i="6"/>
  <c r="W33" i="6" s="1"/>
  <c r="L32" i="6"/>
  <c r="M32" i="6" s="1"/>
  <c r="N32" i="6" s="1"/>
  <c r="O32" i="6" s="1"/>
  <c r="K32" i="6"/>
  <c r="J32" i="6"/>
  <c r="AC108" i="5"/>
  <c r="N43" i="6"/>
  <c r="N40" i="6"/>
  <c r="K7" i="6"/>
  <c r="L7" i="6" s="1"/>
  <c r="M7" i="6" s="1"/>
  <c r="N7" i="6" s="1"/>
  <c r="B2" i="6"/>
  <c r="J54" i="4"/>
  <c r="N54" i="4"/>
  <c r="N69" i="4" s="1"/>
  <c r="M54" i="4"/>
  <c r="M69" i="4" s="1"/>
  <c r="L54" i="4"/>
  <c r="K54" i="4"/>
  <c r="K69" i="4" s="1"/>
  <c r="AC96" i="5"/>
  <c r="AC97" i="5"/>
  <c r="AC98" i="5"/>
  <c r="AC99" i="5"/>
  <c r="AC100" i="5"/>
  <c r="AC101" i="5"/>
  <c r="AC102" i="5"/>
  <c r="AC103" i="5"/>
  <c r="AC104" i="5"/>
  <c r="AC105" i="5"/>
  <c r="AC106" i="5"/>
  <c r="AC107" i="5"/>
  <c r="AC109" i="5"/>
  <c r="AC110" i="5"/>
  <c r="AC111" i="5"/>
  <c r="AC112" i="5"/>
  <c r="AC113" i="5"/>
  <c r="AC95" i="5"/>
  <c r="AA96" i="5"/>
  <c r="AA97" i="5"/>
  <c r="AA98" i="5"/>
  <c r="AA99" i="5"/>
  <c r="AA100" i="5"/>
  <c r="AA101" i="5"/>
  <c r="AA102" i="5"/>
  <c r="AA103" i="5"/>
  <c r="AA104" i="5"/>
  <c r="AA105" i="5"/>
  <c r="AA106" i="5"/>
  <c r="AA107" i="5"/>
  <c r="AA108" i="5"/>
  <c r="AA109" i="5"/>
  <c r="AA110" i="5"/>
  <c r="AA111" i="5"/>
  <c r="AA112" i="5"/>
  <c r="AA113" i="5"/>
  <c r="AA95" i="5"/>
  <c r="Z112" i="5"/>
  <c r="Z110" i="5"/>
  <c r="Z111" i="5" s="1"/>
  <c r="Z109" i="5"/>
  <c r="K88" i="5"/>
  <c r="L69" i="4"/>
  <c r="K46" i="4"/>
  <c r="L46" i="4"/>
  <c r="M46" i="4"/>
  <c r="N46" i="4"/>
  <c r="J46" i="4"/>
  <c r="O68" i="5"/>
  <c r="O69" i="5"/>
  <c r="O70" i="5"/>
  <c r="O71" i="5"/>
  <c r="O67" i="5"/>
  <c r="L64" i="5"/>
  <c r="L63" i="5"/>
  <c r="L65" i="5"/>
  <c r="L62" i="5"/>
  <c r="L61" i="5"/>
  <c r="K57" i="5"/>
  <c r="K55" i="5"/>
  <c r="K56" i="5" s="1"/>
  <c r="K58" i="5" s="1"/>
  <c r="K59" i="5" s="1"/>
  <c r="L44" i="5"/>
  <c r="J39" i="5"/>
  <c r="J40" i="5"/>
  <c r="J41" i="5"/>
  <c r="J42" i="5"/>
  <c r="J43" i="5"/>
  <c r="J44" i="5"/>
  <c r="J45" i="5"/>
  <c r="J46" i="5"/>
  <c r="J47" i="5"/>
  <c r="J48" i="5"/>
  <c r="J49" i="5"/>
  <c r="J50" i="5"/>
  <c r="J51" i="5"/>
  <c r="J38" i="5"/>
  <c r="J56" i="5"/>
  <c r="J57" i="5"/>
  <c r="J58" i="5"/>
  <c r="J59" i="5"/>
  <c r="J55" i="5"/>
  <c r="I240" i="5"/>
  <c r="I241" i="5"/>
  <c r="I242" i="5"/>
  <c r="I243" i="5"/>
  <c r="I244" i="5"/>
  <c r="I245" i="5"/>
  <c r="I246" i="5"/>
  <c r="I247" i="5"/>
  <c r="I248" i="5"/>
  <c r="I249" i="5"/>
  <c r="I250" i="5"/>
  <c r="I251" i="5"/>
  <c r="I252" i="5"/>
  <c r="I253" i="5"/>
  <c r="I254" i="5"/>
  <c r="I255" i="5"/>
  <c r="I256" i="5"/>
  <c r="I257" i="5"/>
  <c r="I239" i="5"/>
  <c r="H254" i="5"/>
  <c r="H255" i="5" s="1"/>
  <c r="H253" i="5"/>
  <c r="J238" i="5" a="1"/>
  <c r="J238" i="5" s="1"/>
  <c r="K198" i="5" a="1"/>
  <c r="K198" i="5" s="1"/>
  <c r="N80" i="4"/>
  <c r="N77" i="4"/>
  <c r="W38" i="6" l="1"/>
  <c r="W39" i="6" s="1"/>
  <c r="P32" i="6"/>
  <c r="J34" i="6"/>
  <c r="K34" i="6"/>
  <c r="L34" i="6"/>
  <c r="J69" i="4"/>
  <c r="Z113" i="5"/>
  <c r="H256" i="5"/>
  <c r="H257" i="5" s="1"/>
  <c r="O33" i="6" l="1"/>
  <c r="O34" i="6" s="1"/>
  <c r="W40" i="6"/>
  <c r="P33" i="6"/>
  <c r="P34" i="6" s="1"/>
  <c r="Q32" i="6"/>
  <c r="N70" i="4"/>
  <c r="M70" i="4"/>
  <c r="L70" i="4"/>
  <c r="K70" i="4"/>
  <c r="J70" i="4"/>
  <c r="Q33" i="6" l="1"/>
  <c r="Q34" i="6" s="1"/>
  <c r="W41" i="6"/>
  <c r="R32" i="6"/>
  <c r="M34" i="6"/>
  <c r="J94" i="5"/>
  <c r="J95" i="5"/>
  <c r="J96" i="5"/>
  <c r="J97" i="5"/>
  <c r="J93" i="5"/>
  <c r="H228" i="5"/>
  <c r="H229" i="5"/>
  <c r="H230" i="5"/>
  <c r="H231" i="5"/>
  <c r="H227" i="5"/>
  <c r="H221" i="5"/>
  <c r="H222" i="5"/>
  <c r="H223" i="5"/>
  <c r="H224" i="5"/>
  <c r="H220" i="5"/>
  <c r="V226" i="5"/>
  <c r="V227" i="5"/>
  <c r="V228" i="5"/>
  <c r="V229" i="5"/>
  <c r="W227" i="5"/>
  <c r="W228" i="5" s="1"/>
  <c r="W229" i="5" s="1"/>
  <c r="W226" i="5"/>
  <c r="V225" i="5"/>
  <c r="W225" i="5"/>
  <c r="W212" i="5" a="1"/>
  <c r="W212" i="5" s="1"/>
  <c r="I213" i="5"/>
  <c r="I214" i="5"/>
  <c r="I215" i="5"/>
  <c r="I216" i="5"/>
  <c r="J214" i="5"/>
  <c r="J215" i="5" s="1"/>
  <c r="J216" i="5" s="1"/>
  <c r="J213" i="5"/>
  <c r="I212" i="5"/>
  <c r="J212" i="5"/>
  <c r="K176" i="5" a="1"/>
  <c r="K176" i="5" s="1"/>
  <c r="I193" i="5"/>
  <c r="I192" i="5"/>
  <c r="I191" i="5"/>
  <c r="J191" i="5" s="1"/>
  <c r="I194" i="5"/>
  <c r="I195" i="5"/>
  <c r="J195" i="5" s="1"/>
  <c r="M193" i="5"/>
  <c r="M194" i="5" s="1"/>
  <c r="M195" i="5" s="1"/>
  <c r="M192" i="5"/>
  <c r="M191" i="5"/>
  <c r="J178" i="5"/>
  <c r="J179" i="5"/>
  <c r="J180" i="5"/>
  <c r="J181" i="5"/>
  <c r="J182" i="5"/>
  <c r="J183" i="5"/>
  <c r="J184" i="5"/>
  <c r="J185" i="5"/>
  <c r="J186" i="5"/>
  <c r="J187" i="5"/>
  <c r="J188" i="5"/>
  <c r="J189" i="5"/>
  <c r="J190" i="5"/>
  <c r="J193" i="5"/>
  <c r="J194" i="5"/>
  <c r="J177" i="5"/>
  <c r="L193" i="5"/>
  <c r="L194" i="5" s="1"/>
  <c r="L195" i="5" s="1"/>
  <c r="L192" i="5"/>
  <c r="L191" i="5"/>
  <c r="H144" i="5" a="1"/>
  <c r="H144" i="5" s="1"/>
  <c r="I168" i="5"/>
  <c r="I169" i="5"/>
  <c r="I170" i="5"/>
  <c r="I171" i="5"/>
  <c r="I167" i="5"/>
  <c r="J160" i="5"/>
  <c r="J161" i="5"/>
  <c r="J162" i="5"/>
  <c r="J163" i="5"/>
  <c r="J159" i="5"/>
  <c r="K161" i="5"/>
  <c r="K162" i="5" s="1"/>
  <c r="K163" i="5" s="1"/>
  <c r="K160" i="5"/>
  <c r="K159" i="5"/>
  <c r="H123" i="5" a="1"/>
  <c r="H123" i="5" s="1"/>
  <c r="J139" i="5"/>
  <c r="J140" i="5"/>
  <c r="J141" i="5"/>
  <c r="J142" i="5"/>
  <c r="K140" i="5"/>
  <c r="K141" i="5"/>
  <c r="K142" i="5" s="1"/>
  <c r="K139" i="5"/>
  <c r="K138" i="5"/>
  <c r="J138" i="5"/>
  <c r="H98" i="5" a="1"/>
  <c r="H98" i="5" s="1"/>
  <c r="L89" i="5"/>
  <c r="L90" i="5"/>
  <c r="L91" i="5"/>
  <c r="L92" i="5"/>
  <c r="L88" i="5"/>
  <c r="N56" i="4"/>
  <c r="M56" i="4"/>
  <c r="L56" i="4"/>
  <c r="K56" i="4"/>
  <c r="J56" i="4"/>
  <c r="J58" i="4" s="1"/>
  <c r="L117" i="5"/>
  <c r="K114" i="5"/>
  <c r="K115" i="5"/>
  <c r="K116" i="5"/>
  <c r="K117" i="5"/>
  <c r="L113" i="5"/>
  <c r="L114" i="5" s="1"/>
  <c r="L115" i="5" s="1"/>
  <c r="L116" i="5" s="1"/>
  <c r="M113" i="5"/>
  <c r="H73" i="5" a="1"/>
  <c r="H73" i="5" s="1"/>
  <c r="M94" i="5"/>
  <c r="K92" i="5" s="1"/>
  <c r="K89" i="5"/>
  <c r="K90" i="5"/>
  <c r="K91" i="5"/>
  <c r="M92" i="5"/>
  <c r="M93" i="5" s="1"/>
  <c r="M91" i="5"/>
  <c r="M90" i="5"/>
  <c r="J73" i="5" a="1"/>
  <c r="J73" i="5" s="1"/>
  <c r="L73" i="5" a="1"/>
  <c r="L73" i="5" s="1"/>
  <c r="G37" i="5" a="1"/>
  <c r="G37" i="5" s="1"/>
  <c r="R63" i="4"/>
  <c r="R65" i="4" s="1"/>
  <c r="R66" i="4" s="1"/>
  <c r="N48" i="4"/>
  <c r="K48" i="4"/>
  <c r="L48" i="4"/>
  <c r="M48" i="4"/>
  <c r="J48" i="4"/>
  <c r="I48" i="4"/>
  <c r="J16" i="4"/>
  <c r="I16" i="4"/>
  <c r="N16" i="4"/>
  <c r="M16" i="4"/>
  <c r="L16" i="4"/>
  <c r="K16" i="4"/>
  <c r="H61" i="5"/>
  <c r="H62" i="5"/>
  <c r="H63" i="5"/>
  <c r="H64" i="5"/>
  <c r="H60" i="5"/>
  <c r="F62" i="5"/>
  <c r="F63" i="5" s="1"/>
  <c r="F64" i="5" s="1"/>
  <c r="F61" i="5"/>
  <c r="F60" i="5"/>
  <c r="I37" i="5" a="1"/>
  <c r="I37" i="5" s="1"/>
  <c r="X12" i="4" a="1"/>
  <c r="X12" i="4" s="1"/>
  <c r="M13" i="4"/>
  <c r="F19" i="5"/>
  <c r="K13" i="4" s="1"/>
  <c r="F20" i="5"/>
  <c r="L13" i="4" s="1"/>
  <c r="F21" i="5"/>
  <c r="F22" i="5"/>
  <c r="N13" i="4" s="1"/>
  <c r="N14" i="4" s="1"/>
  <c r="I24" i="5"/>
  <c r="I25" i="5" s="1"/>
  <c r="I26" i="5" s="1"/>
  <c r="I23" i="5"/>
  <c r="F18" i="5"/>
  <c r="J13" i="4" s="1"/>
  <c r="J14" i="4" s="1"/>
  <c r="I22" i="5"/>
  <c r="J6" i="5"/>
  <c r="D8" i="5"/>
  <c r="Y12" i="4" a="1"/>
  <c r="Y12" i="4" s="1"/>
  <c r="W12" i="4" a="1"/>
  <c r="W12" i="4" s="1"/>
  <c r="B2" i="4"/>
  <c r="K11" i="4"/>
  <c r="L11" i="4" s="1"/>
  <c r="M11" i="4" s="1"/>
  <c r="N11" i="4" s="1"/>
  <c r="H12" i="4"/>
  <c r="G12" i="4" s="1"/>
  <c r="J12" i="4"/>
  <c r="K12" i="4" s="1"/>
  <c r="I22" i="4"/>
  <c r="I41" i="4" s="1"/>
  <c r="K40" i="4"/>
  <c r="L40" i="4" s="1"/>
  <c r="M40" i="4" s="1"/>
  <c r="N40" i="4" s="1"/>
  <c r="W42" i="6" l="1"/>
  <c r="S33" i="6" s="1"/>
  <c r="N37" i="6" s="1"/>
  <c r="N38" i="6" s="1"/>
  <c r="R33" i="6"/>
  <c r="R34" i="6" s="1"/>
  <c r="S32" i="6"/>
  <c r="L55" i="4"/>
  <c r="K17" i="4"/>
  <c r="N55" i="4"/>
  <c r="K58" i="4"/>
  <c r="J192" i="5"/>
  <c r="N58" i="4"/>
  <c r="L58" i="4"/>
  <c r="M55" i="4"/>
  <c r="M58" i="4"/>
  <c r="K55" i="4"/>
  <c r="K113" i="5"/>
  <c r="L17" i="4"/>
  <c r="J17" i="4"/>
  <c r="N17" i="4"/>
  <c r="K50" i="4"/>
  <c r="Z18" i="4"/>
  <c r="M17" i="4"/>
  <c r="L14" i="4"/>
  <c r="R64" i="4"/>
  <c r="K14" i="4"/>
  <c r="M14" i="4"/>
  <c r="J22" i="4"/>
  <c r="J41" i="4" s="1"/>
  <c r="F12" i="4"/>
  <c r="G22" i="4"/>
  <c r="G41" i="4" s="1"/>
  <c r="L12" i="4"/>
  <c r="K22" i="4"/>
  <c r="K41" i="4" s="1"/>
  <c r="H22" i="4"/>
  <c r="H41" i="4" s="1"/>
  <c r="S34" i="6" l="1"/>
  <c r="N34" i="6"/>
  <c r="T34" i="6" s="1"/>
  <c r="N39" i="6" s="1"/>
  <c r="J71" i="4"/>
  <c r="K71" i="4"/>
  <c r="L59" i="4"/>
  <c r="M59" i="4"/>
  <c r="K59" i="4"/>
  <c r="N59" i="4"/>
  <c r="K51" i="4"/>
  <c r="L50" i="4"/>
  <c r="L71" i="4" s="1"/>
  <c r="L22" i="4"/>
  <c r="L41" i="4" s="1"/>
  <c r="M12" i="4"/>
  <c r="E12" i="4"/>
  <c r="E22" i="4" s="1"/>
  <c r="E41" i="4" s="1"/>
  <c r="F22" i="4"/>
  <c r="F41" i="4" s="1"/>
  <c r="N42" i="6" l="1"/>
  <c r="N44" i="6" s="1"/>
  <c r="M50" i="4"/>
  <c r="M71" i="4" s="1"/>
  <c r="L51" i="4"/>
  <c r="N12" i="4"/>
  <c r="M22" i="4"/>
  <c r="M41" i="4" s="1"/>
  <c r="N50" i="4" l="1"/>
  <c r="M51" i="4"/>
  <c r="N22" i="4"/>
  <c r="N41" i="4" s="1"/>
  <c r="N51" i="4" l="1"/>
  <c r="E213" i="1"/>
  <c r="D204" i="1"/>
  <c r="D205" i="1" s="1"/>
  <c r="D206" i="1" s="1"/>
  <c r="D207" i="1" s="1"/>
  <c r="D208" i="1" s="1"/>
  <c r="O215" i="1"/>
  <c r="O216" i="1"/>
  <c r="O214" i="1"/>
  <c r="O213" i="1"/>
  <c r="O227" i="1"/>
  <c r="O226" i="1"/>
  <c r="T189" i="1"/>
  <c r="O225" i="1"/>
  <c r="O224" i="1"/>
  <c r="O223" i="1"/>
  <c r="O222" i="1"/>
  <c r="O221" i="1"/>
  <c r="O220" i="1"/>
  <c r="O219" i="1"/>
  <c r="O218" i="1"/>
  <c r="O217" i="1"/>
  <c r="E186" i="1"/>
  <c r="E188" i="1" s="1"/>
  <c r="D13" i="3"/>
  <c r="D14" i="3"/>
  <c r="D15" i="3"/>
  <c r="D16" i="3"/>
  <c r="D12" i="3"/>
  <c r="E12" i="3" s="1"/>
  <c r="H12" i="3"/>
  <c r="H13" i="3" s="1"/>
  <c r="H14" i="3" s="1"/>
  <c r="H15" i="3" s="1"/>
  <c r="H16" i="3" s="1"/>
  <c r="N138" i="2"/>
  <c r="K136" i="2"/>
  <c r="K133" i="2"/>
  <c r="L133" i="2"/>
  <c r="M133" i="2"/>
  <c r="N133" i="2"/>
  <c r="J133" i="2"/>
  <c r="K127" i="2"/>
  <c r="E128" i="2"/>
  <c r="E123" i="2"/>
  <c r="E124" i="2"/>
  <c r="E125" i="2"/>
  <c r="E126" i="2"/>
  <c r="E127" i="2"/>
  <c r="E122" i="2"/>
  <c r="D123" i="2"/>
  <c r="D124" i="2"/>
  <c r="D125" i="2"/>
  <c r="D126" i="2"/>
  <c r="D127" i="2"/>
  <c r="D122" i="2"/>
  <c r="F118" i="2"/>
  <c r="D117" i="2"/>
  <c r="E90" i="2"/>
  <c r="E89" i="2"/>
  <c r="E91" i="2"/>
  <c r="E92" i="2"/>
  <c r="E88" i="2"/>
  <c r="D76" i="2"/>
  <c r="D77" i="2"/>
  <c r="D75" i="2"/>
  <c r="F160" i="1"/>
  <c r="F13" i="3" s="1"/>
  <c r="E146" i="1"/>
  <c r="F161" i="1"/>
  <c r="K160" i="1" s="1"/>
  <c r="F162" i="1"/>
  <c r="K161" i="1" s="1"/>
  <c r="F163" i="1"/>
  <c r="F16" i="3" s="1"/>
  <c r="F159" i="1"/>
  <c r="F12" i="3" s="1"/>
  <c r="G123" i="1"/>
  <c r="J112" i="1"/>
  <c r="D143" i="1" s="1"/>
  <c r="C13" i="3" s="1"/>
  <c r="C15" i="3" s="1"/>
  <c r="E83" i="1"/>
  <c r="C143" i="1" s="1"/>
  <c r="C59" i="1"/>
  <c r="N71" i="4" l="1"/>
  <c r="O71" i="4" s="1"/>
  <c r="N75" i="4"/>
  <c r="F15" i="3"/>
  <c r="F14" i="3"/>
  <c r="K158" i="1"/>
  <c r="M220" i="1"/>
  <c r="D197" i="1" s="1"/>
  <c r="C204" i="1" s="1"/>
  <c r="E204" i="1" s="1"/>
  <c r="G12" i="3" s="1"/>
  <c r="I12" i="3" s="1"/>
  <c r="K159" i="1"/>
  <c r="C16" i="3"/>
  <c r="E16" i="3" s="1"/>
  <c r="E15" i="3"/>
  <c r="C142" i="1"/>
  <c r="F142" i="1" s="1"/>
  <c r="F143" i="1"/>
  <c r="E13" i="3"/>
  <c r="D145" i="1"/>
  <c r="K162" i="1"/>
  <c r="D144" i="1"/>
  <c r="F144" i="1" s="1"/>
  <c r="C14" i="3"/>
  <c r="E14" i="3" s="1"/>
  <c r="J134" i="2"/>
  <c r="E58" i="1"/>
  <c r="N79" i="4" l="1"/>
  <c r="N81" i="4" s="1"/>
  <c r="M221" i="1"/>
  <c r="M222" i="1"/>
  <c r="D198" i="1"/>
  <c r="C205" i="1" s="1"/>
  <c r="E205" i="1" s="1"/>
  <c r="G13" i="3" s="1"/>
  <c r="I13" i="3" s="1"/>
  <c r="F145" i="1"/>
  <c r="D146" i="1"/>
  <c r="F146" i="1" s="1"/>
  <c r="M223" i="1" l="1"/>
  <c r="D199" i="1"/>
  <c r="C206" i="1" s="1"/>
  <c r="E206" i="1" s="1"/>
  <c r="G14" i="3" s="1"/>
  <c r="I14" i="3" s="1"/>
  <c r="M224" i="1" l="1"/>
  <c r="D200" i="1"/>
  <c r="C207" i="1" s="1"/>
  <c r="E207" i="1" s="1"/>
  <c r="G15" i="3" s="1"/>
  <c r="I15" i="3" s="1"/>
  <c r="M225" i="1" l="1"/>
  <c r="M226" i="1" s="1"/>
  <c r="M227" i="1" s="1"/>
  <c r="D201" i="1"/>
  <c r="C208" i="1" s="1"/>
  <c r="E208" i="1" s="1"/>
  <c r="G16" i="3" s="1"/>
  <c r="I1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<sst xmlns="http://schemas.openxmlformats.org/spreadsheetml/2006/main" count="541" uniqueCount="387">
  <si>
    <t>we don’t need more because apple is already grown</t>
  </si>
  <si>
    <t>risk free rate</t>
  </si>
  <si>
    <t>chart 2 - historical risk free rate</t>
  </si>
  <si>
    <t>chart 1 - firms' life cycle</t>
  </si>
  <si>
    <t>the current risk free rate is the rate of US10Y bond which is 4.512%</t>
  </si>
  <si>
    <t>we can see that the the risk free rate is on the rise and is in an up trend, to estimate to future rate, we would believe that the risk free rate</t>
  </si>
  <si>
    <t>is going to go back to its averages within the years</t>
  </si>
  <si>
    <t>year</t>
  </si>
  <si>
    <t>rf</t>
  </si>
  <si>
    <t>equity risk premium</t>
  </si>
  <si>
    <t>chart 3 - historical Equity risk premium</t>
  </si>
  <si>
    <t>equity risk premium represents the the yeild investors require for the riskiness of the equity market</t>
  </si>
  <si>
    <t xml:space="preserve">we can see that "latley" (since 2008) the equity risk premium is between the 4.1% to the 6% </t>
  </si>
  <si>
    <t>with that being said, its plausible that in the next 5 years, the market will be less riskier, as the war in the middle east is currently active.</t>
  </si>
  <si>
    <t>erp</t>
  </si>
  <si>
    <t>sma 20</t>
  </si>
  <si>
    <t>sma 50</t>
  </si>
  <si>
    <t>sma 100</t>
  </si>
  <si>
    <t>sma 150</t>
  </si>
  <si>
    <t>current</t>
  </si>
  <si>
    <t>avg 20 days</t>
  </si>
  <si>
    <t>avg 50 days</t>
  </si>
  <si>
    <t>avg 100 days</t>
  </si>
  <si>
    <t>avg 150 days</t>
  </si>
  <si>
    <r>
      <t xml:space="preserve">as an estimate, we would use the last </t>
    </r>
    <r>
      <rPr>
        <b/>
        <sz val="11"/>
        <color theme="1"/>
        <rFont val="Arial"/>
        <family val="2"/>
        <scheme val="minor"/>
      </rPr>
      <t>10 years average</t>
    </r>
  </si>
  <si>
    <t>historical avg: 4.24%</t>
  </si>
  <si>
    <t>5 years avg: 4.93%</t>
  </si>
  <si>
    <t>avg :</t>
  </si>
  <si>
    <t>avg =</t>
  </si>
  <si>
    <t>current erp: 4.15%</t>
  </si>
  <si>
    <t>beta</t>
  </si>
  <si>
    <t>beta is a relative risk measure for the market, as we discussed, AMZN is a grown company with the fourth biggest market cap in the s&amp;p500</t>
  </si>
  <si>
    <t>thus, should have relitvily 1-ish as a market risk measure, because AMZN takes a big part in the market it self.</t>
  </si>
  <si>
    <t>chart 4 - amazon avg beta by sector/industry</t>
  </si>
  <si>
    <t xml:space="preserve">          avg internet general retail beta =</t>
  </si>
  <si>
    <t xml:space="preserve">to project to future (effective) tax rate and de raio we would use an average </t>
  </si>
  <si>
    <t>to compute an average</t>
  </si>
  <si>
    <t>we will take out extrodinary numbers</t>
  </si>
  <si>
    <t>average:</t>
  </si>
  <si>
    <t>effective tax rate</t>
  </si>
  <si>
    <t>de ratio</t>
  </si>
  <si>
    <t>fiscal year</t>
  </si>
  <si>
    <t>chart 6 - de ratio</t>
  </si>
  <si>
    <t>at 2022 amzn peaked at it's debt, and we expect that she wil lose debt within time,</t>
  </si>
  <si>
    <t>thus, de ratio goes down, but eventually come backs to average terms</t>
  </si>
  <si>
    <t>unlevered beta</t>
  </si>
  <si>
    <t>explanation</t>
  </si>
  <si>
    <t>levered beta</t>
  </si>
  <si>
    <t>the stats are current stats, I like using the current stats as the "estimate" because amzn is stable so the next year's stats should have minimal difference then the current year</t>
  </si>
  <si>
    <t>in the second year, things fall to average, the de ratio goes down because at 2022 amzn raised a lot of debt with is expected to be due in short term</t>
  </si>
  <si>
    <t>Cost of Equity</t>
  </si>
  <si>
    <t>coe = rf+(beta*erp)</t>
  </si>
  <si>
    <t xml:space="preserve">the beta gets closer to 1 because amzn is the 4th biggest company and keeps getting bigger, de ratio getting lower because amzn losses debt </t>
  </si>
  <si>
    <t>equity risk premium represents the premium investors "ask" to invest in the non risk free</t>
  </si>
  <si>
    <t>equity of the us, I believe that because of the ongoing and upcoming war in the middle east,</t>
  </si>
  <si>
    <t>for the next two year there will be a raise in the erp because the market is riskier, after two</t>
  </si>
  <si>
    <t>years, the erp will move back to it's historical average.</t>
  </si>
  <si>
    <t>amazon is a grown company, amazon is far after it's "young growth" phase, thus, we will use in our Discounted Cash Flow model, 5 years</t>
  </si>
  <si>
    <t>with that being said, amazon management stratdegy does include risk taking and new big projects, which is good, but makes the company more</t>
  </si>
  <si>
    <t>riskier, but with higher growth rate.</t>
  </si>
  <si>
    <t>the cost of equity represents the risk of investing in amzn equity, it represents what yeild investors should ask for investing in amzn equity, by the values we calulate our</t>
  </si>
  <si>
    <t>which does make sense if we take into considiration that fiscal 2023 for amzn was a bounce back from 2022 which was a really bad year to amzn.</t>
  </si>
  <si>
    <t>plus taking into considiration that war in the middle east that doesn’t seem to stop for at least the next year, the values we got for the cost of equity does make sense.</t>
  </si>
  <si>
    <t>story is that in fiscal 2024 2025 there will be a rise in the amzn riskiness, but eventually as the company setteles in, it becomes less risky.</t>
  </si>
  <si>
    <t>story</t>
  </si>
  <si>
    <t>Cost of Debt</t>
  </si>
  <si>
    <t>cost of debt = rf + x*country default risk + company default risk</t>
  </si>
  <si>
    <r>
      <rPr>
        <b/>
        <sz val="11"/>
        <color theme="1"/>
        <rFont val="Arial"/>
        <family val="2"/>
        <scheme val="minor"/>
      </rPr>
      <t xml:space="preserve">x = 0; </t>
    </r>
    <r>
      <rPr>
        <sz val="11"/>
        <color theme="1"/>
        <rFont val="Arial"/>
        <family val="2"/>
        <scheme val="minor"/>
      </rPr>
      <t>amzn is a us company and as we discussed, the usa has default risk 0f 0%</t>
    </r>
  </si>
  <si>
    <t xml:space="preserve">cost of debt = rf+company default risk </t>
  </si>
  <si>
    <t xml:space="preserve">there is handfull of ways to calculate a default risk for a company, but fortunately, companies like amazon </t>
  </si>
  <si>
    <t>raise money by issuing bonds, and those bonds are being rated by official rating companies, that rating is the default risk for the copmany issuing the bond.</t>
  </si>
  <si>
    <t>chart 7 - amzn coe estimate</t>
  </si>
  <si>
    <t>chart 8 - amzn corporate bond</t>
  </si>
  <si>
    <t>as you see, a 40 years bond by amzn</t>
  </si>
  <si>
    <t xml:space="preserve"> company</t>
  </si>
  <si>
    <t>rating</t>
  </si>
  <si>
    <t>S&amp;P</t>
  </si>
  <si>
    <t>Fitch</t>
  </si>
  <si>
    <t>AA-</t>
  </si>
  <si>
    <t>AA+</t>
  </si>
  <si>
    <t>SPREAD</t>
  </si>
  <si>
    <t>Rating is</t>
  </si>
  <si>
    <t>Spread is</t>
  </si>
  <si>
    <t>D2/D</t>
  </si>
  <si>
    <t>C2/C</t>
  </si>
  <si>
    <t>Ca2/CC</t>
  </si>
  <si>
    <t>Caa/CCC</t>
  </si>
  <si>
    <t>B3/B-</t>
  </si>
  <si>
    <t>B2/B</t>
  </si>
  <si>
    <t>B1/B+</t>
  </si>
  <si>
    <t>Ba2/BB</t>
  </si>
  <si>
    <t>Ba1/BB+</t>
  </si>
  <si>
    <t>Baa2/BBB</t>
  </si>
  <si>
    <t>A3/A-</t>
  </si>
  <si>
    <t>A2/A</t>
  </si>
  <si>
    <t>A1/A+</t>
  </si>
  <si>
    <t>Aa2/AA</t>
  </si>
  <si>
    <t>Aaa/AAA</t>
  </si>
  <si>
    <t>in my story, as the years go amazon is more stable and less</t>
  </si>
  <si>
    <t>risky, thus it's rating for a bond should be better</t>
  </si>
  <si>
    <t>spread</t>
  </si>
  <si>
    <t>A-</t>
  </si>
  <si>
    <t>A</t>
  </si>
  <si>
    <t>A+</t>
  </si>
  <si>
    <t>AA</t>
  </si>
  <si>
    <t>cost of debt</t>
  </si>
  <si>
    <t>market value of debt</t>
  </si>
  <si>
    <t>year:</t>
  </si>
  <si>
    <t>value:</t>
  </si>
  <si>
    <t xml:space="preserve">present value = </t>
  </si>
  <si>
    <t>thereafter</t>
  </si>
  <si>
    <t>principal</t>
  </si>
  <si>
    <t>avg principal for a year =</t>
  </si>
  <si>
    <t>thereafter in years = thereafter/avg principal for a year =</t>
  </si>
  <si>
    <t>portion</t>
  </si>
  <si>
    <t>weighted avg</t>
  </si>
  <si>
    <t>total</t>
  </si>
  <si>
    <t>prsent value of debt:</t>
  </si>
  <si>
    <t>annual interest expense:</t>
  </si>
  <si>
    <t>cost of debt avg:</t>
  </si>
  <si>
    <t>total debt:</t>
  </si>
  <si>
    <t xml:space="preserve">present value of principal = </t>
  </si>
  <si>
    <t xml:space="preserve">market value of debt = present value of principal + book value of debt = </t>
  </si>
  <si>
    <t>market value of equity:</t>
  </si>
  <si>
    <t xml:space="preserve">current price = </t>
  </si>
  <si>
    <t>shares outstanding =</t>
  </si>
  <si>
    <t>market value of equity =</t>
  </si>
  <si>
    <t>in thousands* -</t>
  </si>
  <si>
    <t>wacc</t>
  </si>
  <si>
    <t>tax rate</t>
  </si>
  <si>
    <t>cost of equity</t>
  </si>
  <si>
    <t>market value of equity</t>
  </si>
  <si>
    <t>WACC</t>
  </si>
  <si>
    <t>while we cannot know the future price, we can give an estimate of how many</t>
  </si>
  <si>
    <t>shares outstanding annual</t>
  </si>
  <si>
    <t>shares outstanding quarterly</t>
  </si>
  <si>
    <t>quarter</t>
  </si>
  <si>
    <t>common shares will be by creating a slope</t>
  </si>
  <si>
    <t>slope = 114.61x + 10591</t>
  </si>
  <si>
    <t>x</t>
  </si>
  <si>
    <t>y</t>
  </si>
  <si>
    <t>shares outstanding</t>
  </si>
  <si>
    <t>price</t>
  </si>
  <si>
    <t>market value equity</t>
  </si>
  <si>
    <t>in mill</t>
  </si>
  <si>
    <t xml:space="preserve"> </t>
  </si>
  <si>
    <t>after tax cod</t>
  </si>
  <si>
    <r>
      <t xml:space="preserve">AMZN VALUATION </t>
    </r>
    <r>
      <rPr>
        <b/>
        <sz val="20"/>
        <color theme="1"/>
        <rFont val="Arial"/>
        <family val="2"/>
        <scheme val="minor"/>
      </rPr>
      <t>by Roi Dayan</t>
    </r>
  </si>
  <si>
    <t>data from sec.gov</t>
  </si>
  <si>
    <t>trading view</t>
  </si>
  <si>
    <t>yahoo finance</t>
  </si>
  <si>
    <t>investing.com</t>
  </si>
  <si>
    <t>Share Price</t>
  </si>
  <si>
    <t>Shares</t>
  </si>
  <si>
    <t>Equity Value</t>
  </si>
  <si>
    <t>- Debt</t>
  </si>
  <si>
    <t>+ Cash</t>
  </si>
  <si>
    <t>Enterprise Value</t>
  </si>
  <si>
    <t>Present Value of Terminal Value</t>
  </si>
  <si>
    <t>Terminal Value</t>
  </si>
  <si>
    <t>Present Value of FCF</t>
  </si>
  <si>
    <t>Unlevered FCF</t>
  </si>
  <si>
    <t>%of revenue</t>
  </si>
  <si>
    <t>% growth</t>
  </si>
  <si>
    <t>Depriciation</t>
  </si>
  <si>
    <t>Change in non cash WC</t>
  </si>
  <si>
    <t>CapEx</t>
  </si>
  <si>
    <t>Tax Rate</t>
  </si>
  <si>
    <t>EBIT</t>
  </si>
  <si>
    <t>Revenue</t>
  </si>
  <si>
    <t>DCF</t>
  </si>
  <si>
    <t>% of sales</t>
  </si>
  <si>
    <t>Change in NWC</t>
  </si>
  <si>
    <t>non cash WC</t>
  </si>
  <si>
    <t>Cash assets</t>
  </si>
  <si>
    <t>WC</t>
  </si>
  <si>
    <t>Depreciation</t>
  </si>
  <si>
    <t>Cash Flow Items</t>
  </si>
  <si>
    <t>% of EBIT</t>
  </si>
  <si>
    <t>Taxes</t>
  </si>
  <si>
    <t>ttm</t>
  </si>
  <si>
    <t>Income Statement</t>
  </si>
  <si>
    <t>Terminal Growth rate</t>
  </si>
  <si>
    <t>Valuation Assumptions</t>
  </si>
  <si>
    <t>Assumptions</t>
  </si>
  <si>
    <t>Today's Share Price</t>
  </si>
  <si>
    <t>Date</t>
  </si>
  <si>
    <t>EBIT*(1-tax rate) - ((cap ex - depreciation) + chg in non cash wc) = FCFF</t>
  </si>
  <si>
    <t>current year:</t>
  </si>
  <si>
    <t>Implied Share Price</t>
  </si>
  <si>
    <t>AMZN</t>
  </si>
  <si>
    <t>Ticker</t>
  </si>
  <si>
    <t>05/13/2024</t>
  </si>
  <si>
    <t>revenue</t>
  </si>
  <si>
    <t>$574,785</t>
  </si>
  <si>
    <t>$513,983</t>
  </si>
  <si>
    <t>$469,822</t>
  </si>
  <si>
    <t>$386,064</t>
  </si>
  <si>
    <t>$280,522</t>
  </si>
  <si>
    <t>$232,887</t>
  </si>
  <si>
    <t>$177,866</t>
  </si>
  <si>
    <t>$135,987</t>
  </si>
  <si>
    <t>$107,006</t>
  </si>
  <si>
    <t>$88,988</t>
  </si>
  <si>
    <t>$74,452</t>
  </si>
  <si>
    <t>$61,093</t>
  </si>
  <si>
    <t>$48,077</t>
  </si>
  <si>
    <t>$34,204</t>
  </si>
  <si>
    <t>$24,509</t>
  </si>
  <si>
    <t>revenue by year</t>
  </si>
  <si>
    <t>forcast</t>
  </si>
  <si>
    <t>slope</t>
  </si>
  <si>
    <t>this dcf is based on regression of past data, to get a hang of what is the fair value if the company preformes absoloutly, by all means, average</t>
  </si>
  <si>
    <t>ebit</t>
  </si>
  <si>
    <t>$36,852</t>
  </si>
  <si>
    <t>$12,248</t>
  </si>
  <si>
    <t>$24,879</t>
  </si>
  <si>
    <t>$22,899</t>
  </si>
  <si>
    <t>$14,541</t>
  </si>
  <si>
    <t>$12,421</t>
  </si>
  <si>
    <t>$4,106</t>
  </si>
  <si>
    <t>$4,186</t>
  </si>
  <si>
    <t>$2,233</t>
  </si>
  <si>
    <t>$178</t>
  </si>
  <si>
    <t>$745</t>
  </si>
  <si>
    <t>$676</t>
  </si>
  <si>
    <t>$862</t>
  </si>
  <si>
    <t>$1,406</t>
  </si>
  <si>
    <t>$1,129</t>
  </si>
  <si>
    <t>Net chg PP&amp;E</t>
  </si>
  <si>
    <t>PP&amp;E</t>
  </si>
  <si>
    <t>$-48,133</t>
  </si>
  <si>
    <t>$-58,321</t>
  </si>
  <si>
    <t>$-55,396</t>
  </si>
  <si>
    <t>$-35,044</t>
  </si>
  <si>
    <t>$-12,689</t>
  </si>
  <si>
    <t>$-11,323</t>
  </si>
  <si>
    <t>$-10,058</t>
  </si>
  <si>
    <t>$-6,737</t>
  </si>
  <si>
    <t>$-4,589</t>
  </si>
  <si>
    <t>$-4,893</t>
  </si>
  <si>
    <t>$-3,444</t>
  </si>
  <si>
    <t>$-3,785</t>
  </si>
  <si>
    <t>$-1,811</t>
  </si>
  <si>
    <t>$-979</t>
  </si>
  <si>
    <t>$-373</t>
  </si>
  <si>
    <t>$48,663</t>
  </si>
  <si>
    <t>$41,921</t>
  </si>
  <si>
    <t>$34,433</t>
  </si>
  <si>
    <t>$25,180</t>
  </si>
  <si>
    <t>$21,789</t>
  </si>
  <si>
    <t>$15,341</t>
  </si>
  <si>
    <t>$11,478</t>
  </si>
  <si>
    <t>$8,116</t>
  </si>
  <si>
    <t>$6,281</t>
  </si>
  <si>
    <t>$4,746</t>
  </si>
  <si>
    <t>$3,253</t>
  </si>
  <si>
    <t>$2,159</t>
  </si>
  <si>
    <t>$1,083</t>
  </si>
  <si>
    <t>$568</t>
  </si>
  <si>
    <t>$378</t>
  </si>
  <si>
    <t>current assets</t>
  </si>
  <si>
    <t>$172,351</t>
  </si>
  <si>
    <t>$146,791</t>
  </si>
  <si>
    <t>$161,580</t>
  </si>
  <si>
    <t>$132,733</t>
  </si>
  <si>
    <t>$96,334</t>
  </si>
  <si>
    <t>$75,101</t>
  </si>
  <si>
    <t>$60,197</t>
  </si>
  <si>
    <t>$45,781</t>
  </si>
  <si>
    <t>$35,705</t>
  </si>
  <si>
    <t>$31,327</t>
  </si>
  <si>
    <t>$24,625</t>
  </si>
  <si>
    <t>$21,296</t>
  </si>
  <si>
    <t>$17,490</t>
  </si>
  <si>
    <t>$13,747</t>
  </si>
  <si>
    <t>$9,797</t>
  </si>
  <si>
    <t>$86,780</t>
  </si>
  <si>
    <t>$70,026</t>
  </si>
  <si>
    <t>$96,049</t>
  </si>
  <si>
    <t>$84,396</t>
  </si>
  <si>
    <t>$55,021</t>
  </si>
  <si>
    <t>$41,250</t>
  </si>
  <si>
    <t>$30,986</t>
  </si>
  <si>
    <t>$25,981</t>
  </si>
  <si>
    <t>$19,808</t>
  </si>
  <si>
    <t>$17,416</t>
  </si>
  <si>
    <t>$12,447</t>
  </si>
  <si>
    <t>$11,448</t>
  </si>
  <si>
    <t>$9,576</t>
  </si>
  <si>
    <t>$8,762</t>
  </si>
  <si>
    <t>$6,366</t>
  </si>
  <si>
    <t>current assets - cush</t>
  </si>
  <si>
    <t>current liabilities</t>
  </si>
  <si>
    <t>$164,917</t>
  </si>
  <si>
    <t>$155,393</t>
  </si>
  <si>
    <t>$142,266</t>
  </si>
  <si>
    <t>$126,385</t>
  </si>
  <si>
    <t>$87,812</t>
  </si>
  <si>
    <t>$68,391</t>
  </si>
  <si>
    <t>$57,883</t>
  </si>
  <si>
    <t>$43,816</t>
  </si>
  <si>
    <t>$33,887</t>
  </si>
  <si>
    <t>$28,089</t>
  </si>
  <si>
    <t>$22,980</t>
  </si>
  <si>
    <t>$19,002</t>
  </si>
  <si>
    <t>$14,896</t>
  </si>
  <si>
    <t>$10,372</t>
  </si>
  <si>
    <t>$7,364</t>
  </si>
  <si>
    <t>% chg</t>
  </si>
  <si>
    <t>wc</t>
  </si>
  <si>
    <t>$58,314</t>
  </si>
  <si>
    <t>$67,150</t>
  </si>
  <si>
    <t>$48,744</t>
  </si>
  <si>
    <t>$31,816</t>
  </si>
  <si>
    <t>$23,414</t>
  </si>
  <si>
    <t>$23,495</t>
  </si>
  <si>
    <t>$24,743</t>
  </si>
  <si>
    <t>$7,694</t>
  </si>
  <si>
    <t>$8,227</t>
  </si>
  <si>
    <t>$8,265</t>
  </si>
  <si>
    <t>$3,191</t>
  </si>
  <si>
    <t>$3,084</t>
  </si>
  <si>
    <t>$255</t>
  </si>
  <si>
    <t>$1,561</t>
  </si>
  <si>
    <t>non debt current liablities</t>
  </si>
  <si>
    <t>$25,451</t>
  </si>
  <si>
    <t>$21,121</t>
  </si>
  <si>
    <t>$23,643</t>
  </si>
  <si>
    <t>$17,017</t>
  </si>
  <si>
    <t>$12,171</t>
  </si>
  <si>
    <t>$17,563</t>
  </si>
  <si>
    <t>$20,975</t>
  </si>
  <si>
    <t>$12,607</t>
  </si>
  <si>
    <t>$9,249</t>
  </si>
  <si>
    <t>$7,410</t>
  </si>
  <si>
    <t>$4,242</t>
  </si>
  <si>
    <t>$2,277</t>
  </si>
  <si>
    <t>$2,370</t>
  </si>
  <si>
    <t>chg in ppe</t>
  </si>
  <si>
    <t>w</t>
  </si>
  <si>
    <t>perpetual growth rate:</t>
  </si>
  <si>
    <t>cash from investing activities</t>
  </si>
  <si>
    <t>$-49,833</t>
  </si>
  <si>
    <t>$-37,601</t>
  </si>
  <si>
    <t>$-58,154</t>
  </si>
  <si>
    <t>$-59,611</t>
  </si>
  <si>
    <t>$-24,281</t>
  </si>
  <si>
    <t>$-12,369</t>
  </si>
  <si>
    <t>$-27,084</t>
  </si>
  <si>
    <t>$-9,516</t>
  </si>
  <si>
    <t>$-6,450</t>
  </si>
  <si>
    <t>$-5,065</t>
  </si>
  <si>
    <t>$-4,276</t>
  </si>
  <si>
    <t>$-3,595</t>
  </si>
  <si>
    <t>$-1,930</t>
  </si>
  <si>
    <t>$-3,360</t>
  </si>
  <si>
    <t>$-2,337</t>
  </si>
  <si>
    <t>%chg</t>
  </si>
  <si>
    <t>forcast by avg %chg</t>
  </si>
  <si>
    <t>AFTER TAX OPERATING INCOME - NET CHG IN PP&amp;E - CHG IN NON CASH WC</t>
  </si>
  <si>
    <t>net chg</t>
  </si>
  <si>
    <t>this dcf is based on Analyst estimates</t>
  </si>
  <si>
    <t>analyst estimate growth</t>
  </si>
  <si>
    <t>conclusions</t>
  </si>
  <si>
    <t>current price</t>
  </si>
  <si>
    <t>186$</t>
  </si>
  <si>
    <t xml:space="preserve">by simple regression model, to predict the future cash flows, we get that the fair of amazon stock is 142$, which is overvalued by 24% </t>
  </si>
  <si>
    <t>with that being said, I think that this is a GOOD SIGN, expecting amazon to generate cash flows by a simple regression is massivly underestimating amazon market power</t>
  </si>
  <si>
    <t>if you believe in amazon ability to stabilaze free cash flow to the firm with it's current power, then amazon fair share price should be much higher.</t>
  </si>
  <si>
    <t xml:space="preserve">this number (142$) represents the fair share value by amazon past growth, (2009-2023), but, as amazon continue to develop, im sure it's growth will be much better then it's past growth. </t>
  </si>
  <si>
    <t>amazon is an amazing company, amazon is by operated by good people with who have visions for the furure</t>
  </si>
  <si>
    <t>and don’t just try to make money on the back of the company</t>
  </si>
  <si>
    <t>we can see that fact taking place in amazon's 2022 price fall, where it went into an investment year and yeilded</t>
  </si>
  <si>
    <t xml:space="preserve">poor results in the 10q's, amazon doesn’t try to perfect it's 10q's but really aim to a long journey torwards success. </t>
  </si>
  <si>
    <t>seeing a future where amazon cant capitalize of that rise in consumer power is really unlikley giving the fact that amazon</t>
  </si>
  <si>
    <t>is currently the biggest retailer in the world.</t>
  </si>
  <si>
    <t>seeing a future where people stop using amazon is just unrealistic, america and the world's consumer power will just keep rising.</t>
  </si>
  <si>
    <t>even if amazon's operation fall short, the fair price would be 142$, which isnt that low, and show just how strong amazon's</t>
  </si>
  <si>
    <t>current operation is.</t>
  </si>
  <si>
    <t>to conclude this valuation, for the long term (3-5 years)</t>
  </si>
  <si>
    <r>
      <t xml:space="preserve">amazon is a </t>
    </r>
    <r>
      <rPr>
        <b/>
        <sz val="11"/>
        <color rgb="FF00B050"/>
        <rFont val="Arial"/>
        <family val="2"/>
        <scheme val="minor"/>
      </rPr>
      <t>STRONG BUY</t>
    </r>
  </si>
  <si>
    <t>where its fair value lays around 300$.</t>
  </si>
  <si>
    <t>which is about 63% yeild.</t>
  </si>
  <si>
    <t>STRONG BUY</t>
  </si>
  <si>
    <t>Roi Dayan - 05/19/24</t>
  </si>
  <si>
    <t>date of valuation: 27 apr 2024 - 19 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</si>
</sst>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 #,##0.00_ ;_ * \-#,##0.00_ ;_ * &quot;-&quot;??_ ;_ @_ "/>
    <numFmt numFmtId="164" formatCode="0.000%"/>
    <numFmt numFmtId="165" formatCode="0.000"/>
    <numFmt numFmtId="166" formatCode="0.000000000%"/>
    <numFmt numFmtId="167" formatCode="_-[$$-409]* #,##0.00_ ;_-[$$-409]* \-#,##0.00\ ;_-[$$-409]* &quot;-&quot;??_ ;_-@_ "/>
    <numFmt numFmtId="168" formatCode="0.0000%"/>
    <numFmt numFmtId="169" formatCode="0.000000%"/>
    <numFmt numFmtId="170" formatCode="0.0000000%"/>
    <numFmt numFmtId="171" formatCode="_([$$-409]* #,##0.00_);_([$$-409]* \(#,##0.00\);_([$$-409]* &quot;-&quot;??_);_(@_)"/>
    <numFmt numFmtId="172" formatCode="&quot;$&quot;#,##0"/>
    <numFmt numFmtId="173" formatCode="0.0%;\(0.0%\)"/>
    <numFmt numFmtId="174" formatCode="0.0%"/>
    <numFmt numFmtId="175" formatCode="&quot;$&quot;#,##0_);[Red]\(&quot;$&quot;#,##0\)"/>
    <numFmt numFmtId="176" formatCode="&quot;$&quot;#,##0.00"/>
  </numFmts>
  <fonts count="40">
    <font>
      <sz val="11"/>
      <color theme="1"/>
      <name val="Arial"/>
      <family val="2"/>
      <scheme val="minor"/>
    </font>
    <font>
      <b/>
      <sz val="26"/>
      <color theme="1"/>
      <name val="Arial"/>
      <family val="2"/>
      <scheme val="minor"/>
    </font>
    <font>
      <sz val="11"/>
      <color theme="1"/>
      <name val="Times New Roman"/>
      <family val="1"/>
      <scheme val="major"/>
    </font>
    <font>
      <sz val="11"/>
      <color theme="1"/>
      <name val="Arial"/>
      <family val="2"/>
      <scheme val="minor"/>
    </font>
    <font>
      <b/>
      <sz val="16"/>
      <color theme="1"/>
      <name val="Arial"/>
      <family val="2"/>
      <scheme val="minor"/>
    </font>
    <font>
      <b/>
      <i/>
      <sz val="10"/>
      <color theme="1"/>
      <name val="Arial"/>
      <family val="2"/>
      <scheme val="minor"/>
    </font>
    <font>
      <sz val="10"/>
      <color theme="1"/>
      <name val="Arial"/>
      <family val="2"/>
      <scheme val="minor"/>
    </font>
    <font>
      <b/>
      <sz val="11"/>
      <color theme="1"/>
      <name val="Arial"/>
      <family val="2"/>
      <scheme val="minor"/>
    </font>
    <font>
      <u/>
      <sz val="11"/>
      <color theme="10"/>
      <name val="Arial"/>
      <family val="2"/>
      <scheme val="minor"/>
    </font>
    <font>
      <sz val="9"/>
      <color rgb="FF333333"/>
      <name val="Arial"/>
      <family val="2"/>
      <scheme val="minor"/>
    </font>
    <font>
      <b/>
      <sz val="10"/>
      <color rgb="FF333333"/>
      <name val="Arial"/>
      <family val="2"/>
      <scheme val="minor"/>
    </font>
    <font>
      <b/>
      <sz val="18"/>
      <color theme="1"/>
      <name val="Arial"/>
      <family val="2"/>
      <scheme val="minor"/>
    </font>
    <font>
      <b/>
      <sz val="20"/>
      <color theme="1"/>
      <name val="Arial"/>
      <family val="2"/>
      <scheme val="minor"/>
    </font>
    <font>
      <sz val="10"/>
      <name val="Times"/>
      <family val="1"/>
    </font>
    <font>
      <sz val="10"/>
      <name val="Arial"/>
      <family val="2"/>
      <scheme val="minor"/>
    </font>
    <font>
      <sz val="12"/>
      <name val="Helvetica"/>
      <family val="2"/>
    </font>
    <font>
      <sz val="10"/>
      <name val="Geneva"/>
      <charset val="177"/>
    </font>
    <font>
      <b/>
      <sz val="10"/>
      <name val="Geneva"/>
      <charset val="177"/>
    </font>
    <font>
      <sz val="11"/>
      <color rgb="FF232A31"/>
      <name val="Arial"/>
      <family val="2"/>
      <scheme val="minor"/>
    </font>
    <font>
      <sz val="9"/>
      <color rgb="FF000000"/>
      <name val="Times New Roman"/>
      <family val="1"/>
    </font>
    <font>
      <b/>
      <sz val="36"/>
      <color theme="1"/>
      <name val="Arial"/>
      <family val="2"/>
      <scheme val="minor"/>
    </font>
    <font>
      <b/>
      <sz val="14"/>
      <color theme="1"/>
      <name val="Arial"/>
      <family val="2"/>
      <scheme val="minor"/>
    </font>
    <font>
      <sz val="11"/>
      <color rgb="FF444444"/>
      <name val="Roboto"/>
    </font>
    <font>
      <b/>
      <sz val="11"/>
      <name val="Arial"/>
      <family val="2"/>
      <scheme val="minor"/>
    </font>
    <font>
      <sz val="11"/>
      <name val="Arial"/>
      <family val="2"/>
      <scheme val="minor"/>
    </font>
    <font>
      <i/>
      <sz val="11"/>
      <color theme="1"/>
      <name val="Arial"/>
      <family val="2"/>
      <scheme val="minor"/>
    </font>
    <font>
      <i/>
      <sz val="11"/>
      <color rgb="FF7030A0"/>
      <name val="Arial"/>
      <family val="2"/>
      <scheme val="minor"/>
    </font>
    <font>
      <i/>
      <sz val="11"/>
      <color rgb="FF00B050"/>
      <name val="Arial"/>
      <family val="2"/>
      <scheme val="minor"/>
    </font>
    <font>
      <sz val="11"/>
      <color rgb="FF7030A0"/>
      <name val="Arial"/>
      <family val="2"/>
      <scheme val="minor"/>
    </font>
    <font>
      <sz val="11"/>
      <color rgb="FF00B050"/>
      <name val="Arial"/>
      <family val="2"/>
      <scheme val="minor"/>
    </font>
    <font>
      <b/>
      <sz val="11"/>
      <color theme="0"/>
      <name val="Arial"/>
      <family val="2"/>
      <scheme val="minor"/>
    </font>
    <font>
      <i/>
      <sz val="11"/>
      <name val="Arial"/>
      <family val="2"/>
      <scheme val="minor"/>
    </font>
    <font>
      <sz val="11"/>
      <color theme="9" tint="-0.249977111117893"/>
      <name val="Arial"/>
      <family val="2"/>
      <scheme val="minor"/>
    </font>
    <font>
      <sz val="11"/>
      <color rgb="FFC00000"/>
      <name val="Arial"/>
      <family val="2"/>
      <scheme val="minor"/>
    </font>
    <font>
      <b/>
      <sz val="14"/>
      <color rgb="FF00B050"/>
      <name val="Times New Roman"/>
      <family val="1"/>
      <scheme val="major"/>
    </font>
    <font>
      <b/>
      <sz val="11"/>
      <color rgb="FFFF0000"/>
      <name val="Arial"/>
      <family val="2"/>
      <scheme val="minor"/>
    </font>
    <font>
      <sz val="11"/>
      <color rgb="FFFF0000"/>
      <name val="Arial"/>
      <family val="2"/>
      <scheme val="minor"/>
    </font>
    <font>
      <b/>
      <sz val="11"/>
      <color rgb="FF00B050"/>
      <name val="Arial"/>
      <family val="2"/>
      <scheme val="minor"/>
    </font>
    <font>
      <sz val="11"/>
      <color theme="0"/>
      <name val="Arial"/>
      <family val="2"/>
      <scheme val="minor"/>
    </font>
    <font>
      <b/>
      <sz val="16"/>
      <color rgb="FF00B050"/>
      <name val="Arial"/>
      <family val="2"/>
      <scheme val="minor"/>
    </font>
  </fonts>
  <fills count="19">
    <fill>
      <patternFill patternType="none"/>
    </fill>
    <fill>
      <patternFill patternType="gray125"/>
    </fill>
    <fill>
      <patternFill patternType="solid">
        <fgColor theme="0" tint="-0.14999847407452621"/>
        <bgColor indexed="64"/>
      </patternFill>
    </fill>
    <fill>
      <patternFill patternType="solid">
        <fgColor theme="7" tint="0.39997558519241921"/>
        <bgColor indexed="64"/>
      </patternFill>
    </fill>
    <fill>
      <patternFill patternType="solid">
        <fgColor theme="0"/>
        <bgColor indexed="64"/>
      </patternFill>
    </fill>
    <fill>
      <patternFill patternType="solid">
        <fgColor theme="0"/>
        <bgColor theme="0" tint="-0.14999847407452621"/>
      </patternFill>
    </fill>
    <fill>
      <patternFill patternType="solid">
        <fgColor rgb="FF00B0F0"/>
        <bgColor indexed="64"/>
      </patternFill>
    </fill>
    <fill>
      <patternFill patternType="solid">
        <fgColor rgb="FF92D050"/>
        <bgColor indexed="64"/>
      </patternFill>
    </fill>
    <fill>
      <patternFill patternType="solid">
        <fgColor theme="0" tint="-0.249977111117893"/>
        <bgColor indexed="64"/>
      </patternFill>
    </fill>
    <fill>
      <patternFill patternType="solid">
        <fgColor theme="7"/>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
      <patternFill patternType="solid">
        <fgColor rgb="FFFFFFFF"/>
        <bgColor indexed="64"/>
      </patternFill>
    </fill>
    <fill>
      <patternFill patternType="solid">
        <fgColor theme="7" tint="0.79998168889431442"/>
        <bgColor indexed="64"/>
      </patternFill>
    </fill>
    <fill>
      <patternFill patternType="solid">
        <fgColor theme="3"/>
        <bgColor indexed="64"/>
      </patternFill>
    </fill>
    <fill>
      <patternFill patternType="solid">
        <fgColor rgb="FFFF0000"/>
        <bgColor indexed="64"/>
      </patternFill>
    </fill>
    <fill>
      <patternFill patternType="solid">
        <fgColor rgb="FF00B050"/>
        <bgColor indexed="64"/>
      </patternFill>
    </fill>
  </fills>
  <borders count="4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rgb="FFDEDEDE"/>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dotted">
        <color indexed="64"/>
      </left>
      <right style="dotted">
        <color indexed="64"/>
      </right>
      <top style="dotted">
        <color indexed="64"/>
      </top>
      <bottom style="thin">
        <color indexed="64"/>
      </bottom>
      <diagonal/>
    </border>
    <border>
      <left/>
      <right/>
      <top/>
      <bottom style="thin">
        <color indexed="64"/>
      </bottom>
      <diagonal/>
    </border>
    <border>
      <left style="dotted">
        <color indexed="64"/>
      </left>
      <right style="dotted">
        <color indexed="64"/>
      </right>
      <top style="dotted">
        <color indexed="64"/>
      </top>
      <bottom style="dotted">
        <color indexed="64"/>
      </bottom>
      <diagonal/>
    </border>
    <border>
      <left/>
      <right/>
      <top style="thin">
        <color indexed="64"/>
      </top>
      <bottom style="thin">
        <color indexed="64"/>
      </bottom>
      <diagonal/>
    </border>
    <border>
      <left/>
      <right style="thin">
        <color indexed="64"/>
      </right>
      <top/>
      <bottom/>
      <diagonal/>
    </border>
    <border>
      <left/>
      <right/>
      <top style="dotted">
        <color indexed="64"/>
      </top>
      <bottom/>
      <diagonal/>
    </border>
    <border>
      <left style="hair">
        <color indexed="64"/>
      </left>
      <right style="hair">
        <color indexed="64"/>
      </right>
      <top style="hair">
        <color indexed="64"/>
      </top>
      <bottom style="hair">
        <color indexed="64"/>
      </bottom>
      <diagonal/>
    </border>
    <border>
      <left/>
      <right/>
      <top style="medium">
        <color rgb="FFDDDDDD"/>
      </top>
      <bottom/>
      <diagonal/>
    </border>
    <border>
      <left/>
      <right/>
      <top style="medium">
        <color indexed="64"/>
      </top>
      <bottom style="medium">
        <color indexed="64"/>
      </bottom>
      <diagonal/>
    </border>
    <border>
      <left style="medium">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
    <xf numFmtId="0" fontId="0" fillId="0" borderId="0"/>
    <xf numFmtId="9" fontId="3" fillId="0" borderId="0" applyFont="0" applyFill="0" applyBorder="0" applyAlignment="0" applyProtection="0"/>
    <xf numFmtId="0" fontId="8" fillId="0" borderId="0" applyNumberFormat="0" applyFill="0" applyBorder="0" applyAlignment="0" applyProtection="0"/>
    <xf numFmtId="43" fontId="3" fillId="0" borderId="0" applyFont="0" applyFill="0" applyBorder="0" applyAlignment="0" applyProtection="0"/>
  </cellStyleXfs>
  <cellXfs count="303">
    <xf numFmtId="0" fontId="0" fillId="0" borderId="0" xfId="0"/>
    <xf numFmtId="0" fontId="2" fillId="0" borderId="0" xfId="0" applyFont="1"/>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xf>
    <xf numFmtId="0" fontId="0" fillId="0" borderId="13" xfId="0" applyBorder="1" applyAlignment="1">
      <alignment horizontal="center"/>
    </xf>
    <xf numFmtId="164" fontId="0" fillId="3" borderId="12" xfId="1" applyNumberFormat="1" applyFont="1" applyFill="1" applyBorder="1"/>
    <xf numFmtId="164" fontId="0" fillId="3" borderId="14" xfId="1" applyNumberFormat="1" applyFont="1" applyFill="1" applyBorder="1"/>
    <xf numFmtId="0" fontId="4" fillId="0" borderId="0" xfId="0" applyFont="1"/>
    <xf numFmtId="0" fontId="0" fillId="4" borderId="0" xfId="0" applyFill="1"/>
    <xf numFmtId="10" fontId="5" fillId="4" borderId="0" xfId="0" applyNumberFormat="1" applyFont="1" applyFill="1" applyAlignment="1">
      <alignment horizontal="center" vertical="center"/>
    </xf>
    <xf numFmtId="0" fontId="6" fillId="5" borderId="0" xfId="0" applyFont="1" applyFill="1" applyAlignment="1">
      <alignment horizontal="center" vertical="center"/>
    </xf>
    <xf numFmtId="10" fontId="6" fillId="4" borderId="0" xfId="0" applyNumberFormat="1" applyFont="1" applyFill="1" applyAlignment="1">
      <alignment horizontal="center" vertical="center"/>
    </xf>
    <xf numFmtId="0" fontId="6" fillId="4" borderId="0" xfId="0" applyFont="1" applyFill="1" applyAlignment="1">
      <alignment horizontal="center" vertical="center"/>
    </xf>
    <xf numFmtId="10" fontId="6" fillId="5" borderId="0" xfId="0" applyNumberFormat="1" applyFont="1" applyFill="1" applyAlignment="1">
      <alignment horizontal="center" vertical="center"/>
    </xf>
    <xf numFmtId="10" fontId="6" fillId="4" borderId="0" xfId="0" applyNumberFormat="1" applyFont="1" applyFill="1" applyAlignment="1">
      <alignment horizontal="center"/>
    </xf>
    <xf numFmtId="1" fontId="6" fillId="4" borderId="0" xfId="0" applyNumberFormat="1" applyFont="1" applyFill="1" applyAlignment="1">
      <alignment horizontal="center"/>
    </xf>
    <xf numFmtId="10" fontId="6" fillId="5" borderId="0" xfId="0" applyNumberFormat="1" applyFont="1" applyFill="1" applyAlignment="1">
      <alignment horizontal="center"/>
    </xf>
    <xf numFmtId="1" fontId="6" fillId="5" borderId="0" xfId="0" applyNumberFormat="1" applyFont="1" applyFill="1" applyAlignment="1">
      <alignment horizontal="center"/>
    </xf>
    <xf numFmtId="10" fontId="0" fillId="4" borderId="0" xfId="0" applyNumberFormat="1" applyFill="1" applyAlignment="1">
      <alignment horizontal="left" vertical="top"/>
    </xf>
    <xf numFmtId="0" fontId="0" fillId="5" borderId="0" xfId="0" applyFill="1" applyAlignment="1">
      <alignment horizontal="center" vertical="center"/>
    </xf>
    <xf numFmtId="0" fontId="0" fillId="5" borderId="0" xfId="0" applyFill="1" applyAlignment="1">
      <alignment horizontal="left" vertical="top"/>
    </xf>
    <xf numFmtId="0" fontId="0" fillId="4" borderId="0" xfId="0" applyFill="1" applyAlignment="1">
      <alignment horizontal="left" vertical="top"/>
    </xf>
    <xf numFmtId="164" fontId="0" fillId="4" borderId="0" xfId="0" applyNumberFormat="1" applyFill="1" applyAlignment="1">
      <alignment horizontal="left" vertical="top"/>
    </xf>
    <xf numFmtId="164" fontId="0" fillId="0" borderId="0" xfId="0" applyNumberFormat="1"/>
    <xf numFmtId="0" fontId="4" fillId="5" borderId="0" xfId="0" applyFont="1" applyFill="1" applyAlignment="1">
      <alignment horizontal="center" vertical="center"/>
    </xf>
    <xf numFmtId="0" fontId="0" fillId="3" borderId="0" xfId="0" applyFill="1"/>
    <xf numFmtId="14" fontId="10" fillId="0" borderId="15" xfId="0" applyNumberFormat="1" applyFont="1" applyBorder="1" applyAlignment="1">
      <alignment vertical="center"/>
    </xf>
    <xf numFmtId="10" fontId="0" fillId="0" borderId="0" xfId="0" applyNumberFormat="1"/>
    <xf numFmtId="10" fontId="8" fillId="0" borderId="0" xfId="2" applyNumberFormat="1" applyAlignment="1">
      <alignment vertical="center"/>
    </xf>
    <xf numFmtId="0" fontId="9" fillId="0" borderId="15" xfId="0" applyFont="1" applyBorder="1" applyAlignment="1">
      <alignment vertical="center"/>
    </xf>
    <xf numFmtId="0" fontId="9" fillId="0" borderId="0" xfId="0" applyFont="1" applyAlignment="1">
      <alignment vertical="center"/>
    </xf>
    <xf numFmtId="10" fontId="0" fillId="3" borderId="0" xfId="0" applyNumberFormat="1" applyFill="1"/>
    <xf numFmtId="0" fontId="7" fillId="0" borderId="0" xfId="0" applyFont="1"/>
    <xf numFmtId="0" fontId="7" fillId="0" borderId="0" xfId="0" applyFont="1" applyAlignment="1">
      <alignment horizontal="center" vertical="center"/>
    </xf>
    <xf numFmtId="0" fontId="0" fillId="0" borderId="0" xfId="0" applyAlignment="1">
      <alignment horizontal="center" vertical="center"/>
    </xf>
    <xf numFmtId="10" fontId="0" fillId="0" borderId="0" xfId="1" applyNumberFormat="1" applyFont="1" applyAlignment="1">
      <alignment horizontal="center" vertical="center"/>
    </xf>
    <xf numFmtId="165" fontId="0" fillId="0" borderId="0" xfId="1" applyNumberFormat="1" applyFont="1" applyAlignment="1">
      <alignment horizontal="center" vertical="center"/>
    </xf>
    <xf numFmtId="0" fontId="7" fillId="0" borderId="17" xfId="0" applyFont="1" applyBorder="1" applyAlignment="1">
      <alignment horizontal="center" vertical="center"/>
    </xf>
    <xf numFmtId="165" fontId="0" fillId="3" borderId="18" xfId="0" applyNumberFormat="1" applyFill="1" applyBorder="1" applyAlignment="1">
      <alignment horizontal="center" vertical="center"/>
    </xf>
    <xf numFmtId="165" fontId="0" fillId="3" borderId="19" xfId="0" applyNumberFormat="1" applyFill="1" applyBorder="1" applyAlignment="1">
      <alignment horizontal="center" vertical="center"/>
    </xf>
    <xf numFmtId="0" fontId="11" fillId="0" borderId="0" xfId="0" applyFont="1"/>
    <xf numFmtId="164" fontId="0" fillId="3" borderId="16" xfId="1" applyNumberFormat="1" applyFont="1" applyFill="1" applyBorder="1" applyAlignment="1">
      <alignment horizontal="center" vertical="center"/>
    </xf>
    <xf numFmtId="0" fontId="7" fillId="0" borderId="9" xfId="0" applyFont="1" applyBorder="1" applyAlignment="1">
      <alignment horizontal="center" vertical="center"/>
    </xf>
    <xf numFmtId="0" fontId="7" fillId="0" borderId="20" xfId="0" applyFont="1"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164" fontId="0" fillId="3" borderId="21" xfId="1" applyNumberFormat="1" applyFont="1" applyFill="1" applyBorder="1" applyAlignment="1">
      <alignment horizontal="center" vertical="center"/>
    </xf>
    <xf numFmtId="0" fontId="7" fillId="6" borderId="17" xfId="0" applyFont="1" applyFill="1" applyBorder="1" applyAlignment="1">
      <alignment horizontal="center" vertical="center"/>
    </xf>
    <xf numFmtId="166" fontId="0" fillId="7" borderId="18" xfId="0" applyNumberFormat="1" applyFill="1" applyBorder="1"/>
    <xf numFmtId="166" fontId="0" fillId="7" borderId="19" xfId="0" applyNumberFormat="1" applyFill="1" applyBorder="1"/>
    <xf numFmtId="0" fontId="0" fillId="0" borderId="16" xfId="0" applyBorder="1"/>
    <xf numFmtId="0" fontId="0" fillId="10" borderId="11" xfId="0" applyFill="1" applyBorder="1"/>
    <xf numFmtId="0" fontId="0" fillId="10" borderId="16" xfId="0" applyFill="1" applyBorder="1"/>
    <xf numFmtId="0" fontId="0" fillId="10" borderId="13" xfId="0" applyFill="1" applyBorder="1"/>
    <xf numFmtId="0" fontId="0" fillId="10" borderId="21" xfId="0" applyFill="1" applyBorder="1"/>
    <xf numFmtId="0" fontId="7" fillId="9" borderId="9" xfId="0" applyFont="1" applyFill="1" applyBorder="1" applyAlignment="1">
      <alignment horizontal="center" vertical="center"/>
    </xf>
    <xf numFmtId="0" fontId="7" fillId="9" borderId="20" xfId="0" applyFont="1" applyFill="1" applyBorder="1" applyAlignment="1">
      <alignment horizontal="center" vertical="center"/>
    </xf>
    <xf numFmtId="0" fontId="7" fillId="9" borderId="10" xfId="0" applyFont="1" applyFill="1" applyBorder="1" applyAlignment="1">
      <alignment horizontal="center" vertical="center"/>
    </xf>
    <xf numFmtId="0" fontId="13" fillId="0" borderId="16" xfId="0" applyFont="1" applyBorder="1" applyAlignment="1">
      <alignment horizontal="center"/>
    </xf>
    <xf numFmtId="0" fontId="14" fillId="0" borderId="16" xfId="0" applyFont="1" applyBorder="1" applyAlignment="1">
      <alignment horizontal="center"/>
    </xf>
    <xf numFmtId="10" fontId="15" fillId="0" borderId="22" xfId="1" applyNumberFormat="1" applyFont="1" applyBorder="1" applyAlignment="1">
      <alignment horizontal="center"/>
    </xf>
    <xf numFmtId="10" fontId="0" fillId="10" borderId="12" xfId="0" applyNumberFormat="1" applyFill="1" applyBorder="1"/>
    <xf numFmtId="10" fontId="0" fillId="10" borderId="14" xfId="0" applyNumberFormat="1" applyFill="1" applyBorder="1"/>
    <xf numFmtId="0" fontId="7" fillId="0" borderId="16" xfId="0" applyFont="1" applyBorder="1"/>
    <xf numFmtId="0" fontId="7" fillId="0" borderId="16" xfId="0" applyFont="1" applyBorder="1" applyAlignment="1">
      <alignment horizontal="center" vertical="center"/>
    </xf>
    <xf numFmtId="10" fontId="0" fillId="0" borderId="16" xfId="0" applyNumberFormat="1" applyBorder="1"/>
    <xf numFmtId="0" fontId="7" fillId="9" borderId="16" xfId="0" applyFont="1" applyFill="1" applyBorder="1" applyAlignment="1">
      <alignment horizontal="center" vertical="center"/>
    </xf>
    <xf numFmtId="0" fontId="0" fillId="9" borderId="16" xfId="0" applyFill="1" applyBorder="1" applyAlignment="1">
      <alignment horizontal="center"/>
    </xf>
    <xf numFmtId="164" fontId="0" fillId="3" borderId="16" xfId="1" applyNumberFormat="1" applyFont="1" applyFill="1" applyBorder="1"/>
    <xf numFmtId="0" fontId="7" fillId="9" borderId="23" xfId="0" applyFont="1" applyFill="1" applyBorder="1" applyAlignment="1">
      <alignment horizontal="center" vertical="center"/>
    </xf>
    <xf numFmtId="10" fontId="0" fillId="3" borderId="23" xfId="0" applyNumberFormat="1" applyFill="1" applyBorder="1"/>
    <xf numFmtId="0" fontId="7" fillId="9" borderId="17" xfId="0" applyFont="1" applyFill="1" applyBorder="1" applyAlignment="1">
      <alignment horizontal="center" vertical="center"/>
    </xf>
    <xf numFmtId="164" fontId="0" fillId="7" borderId="18" xfId="0" applyNumberFormat="1" applyFill="1" applyBorder="1"/>
    <xf numFmtId="164" fontId="0" fillId="7" borderId="19" xfId="0" applyNumberFormat="1" applyFill="1" applyBorder="1"/>
    <xf numFmtId="167" fontId="0" fillId="0" borderId="16" xfId="0" applyNumberFormat="1" applyBorder="1"/>
    <xf numFmtId="167" fontId="0" fillId="11" borderId="16" xfId="0" applyNumberFormat="1" applyFill="1" applyBorder="1"/>
    <xf numFmtId="0" fontId="16" fillId="0" borderId="16" xfId="0" applyFont="1" applyBorder="1"/>
    <xf numFmtId="167" fontId="17" fillId="11" borderId="16" xfId="0" applyNumberFormat="1" applyFont="1" applyFill="1" applyBorder="1"/>
    <xf numFmtId="167" fontId="0" fillId="0" borderId="0" xfId="0" applyNumberFormat="1"/>
    <xf numFmtId="9" fontId="0" fillId="0" borderId="0" xfId="1" applyFont="1"/>
    <xf numFmtId="0" fontId="7" fillId="0" borderId="26" xfId="0" applyFont="1" applyBorder="1"/>
    <xf numFmtId="0" fontId="0" fillId="12" borderId="25" xfId="0" applyFill="1" applyBorder="1"/>
    <xf numFmtId="167" fontId="18" fillId="0" borderId="0" xfId="0" applyNumberFormat="1" applyFont="1"/>
    <xf numFmtId="3" fontId="18" fillId="0" borderId="0" xfId="0" applyNumberFormat="1" applyFont="1" applyAlignment="1">
      <alignment vertical="center"/>
    </xf>
    <xf numFmtId="167" fontId="0" fillId="12" borderId="0" xfId="0" applyNumberFormat="1" applyFill="1"/>
    <xf numFmtId="167" fontId="0" fillId="12" borderId="24" xfId="0" applyNumberFormat="1" applyFill="1" applyBorder="1"/>
    <xf numFmtId="3" fontId="19" fillId="0" borderId="0" xfId="0" applyNumberFormat="1" applyFont="1"/>
    <xf numFmtId="0" fontId="0" fillId="0" borderId="16" xfId="0" applyBorder="1" applyAlignment="1">
      <alignment horizontal="center" vertical="center"/>
    </xf>
    <xf numFmtId="0" fontId="0" fillId="12" borderId="16" xfId="0" applyFill="1" applyBorder="1"/>
    <xf numFmtId="0" fontId="0" fillId="12" borderId="16" xfId="0" applyFill="1" applyBorder="1" applyAlignment="1">
      <alignment horizontal="center" vertical="center"/>
    </xf>
    <xf numFmtId="167" fontId="0" fillId="0" borderId="23" xfId="0" applyNumberFormat="1" applyBorder="1"/>
    <xf numFmtId="0" fontId="0" fillId="12" borderId="23" xfId="0" applyFill="1" applyBorder="1"/>
    <xf numFmtId="0" fontId="0" fillId="13" borderId="27" xfId="0" applyFill="1" applyBorder="1" applyAlignment="1">
      <alignment horizontal="center"/>
    </xf>
    <xf numFmtId="168" fontId="0" fillId="0" borderId="16" xfId="1" applyNumberFormat="1" applyFont="1" applyBorder="1"/>
    <xf numFmtId="169" fontId="0" fillId="0" borderId="16" xfId="1" applyNumberFormat="1" applyFont="1" applyBorder="1"/>
    <xf numFmtId="10" fontId="0" fillId="0" borderId="16" xfId="1" applyNumberFormat="1" applyFont="1" applyBorder="1" applyAlignment="1">
      <alignment horizontal="center" vertical="center"/>
    </xf>
    <xf numFmtId="0" fontId="7" fillId="4" borderId="0" xfId="0" applyFont="1" applyFill="1"/>
    <xf numFmtId="167" fontId="0" fillId="4" borderId="0" xfId="0" applyNumberFormat="1" applyFill="1"/>
    <xf numFmtId="3" fontId="19" fillId="4" borderId="0" xfId="0" applyNumberFormat="1" applyFont="1" applyFill="1"/>
    <xf numFmtId="0" fontId="21" fillId="0" borderId="0" xfId="0" applyFont="1"/>
    <xf numFmtId="14" fontId="22" fillId="14" borderId="16" xfId="0" applyNumberFormat="1" applyFont="1" applyFill="1" applyBorder="1" applyAlignment="1">
      <alignment horizontal="center" vertical="center" wrapText="1"/>
    </xf>
    <xf numFmtId="3" fontId="22" fillId="14" borderId="16" xfId="0" applyNumberFormat="1" applyFont="1" applyFill="1" applyBorder="1" applyAlignment="1">
      <alignment horizontal="center" vertical="center" wrapText="1"/>
    </xf>
    <xf numFmtId="0" fontId="22" fillId="14" borderId="16" xfId="0" applyFont="1" applyFill="1" applyBorder="1" applyAlignment="1">
      <alignment horizontal="center" vertical="center" wrapText="1"/>
    </xf>
    <xf numFmtId="3" fontId="0" fillId="0" borderId="0" xfId="0" applyNumberFormat="1"/>
    <xf numFmtId="0" fontId="22" fillId="14" borderId="0" xfId="0" applyFont="1" applyFill="1" applyAlignment="1">
      <alignment horizontal="center" vertical="center" wrapText="1"/>
    </xf>
    <xf numFmtId="0" fontId="7" fillId="9" borderId="16" xfId="0" applyFont="1" applyFill="1" applyBorder="1" applyAlignment="1">
      <alignment horizontal="center"/>
    </xf>
    <xf numFmtId="43" fontId="0" fillId="0" borderId="16" xfId="3" applyFont="1" applyBorder="1"/>
    <xf numFmtId="43" fontId="0" fillId="0" borderId="16" xfId="3" applyFont="1" applyBorder="1" applyAlignment="1">
      <alignment horizontal="center" vertical="center"/>
    </xf>
    <xf numFmtId="43" fontId="0" fillId="0" borderId="0" xfId="3" applyFont="1"/>
    <xf numFmtId="0" fontId="7" fillId="9" borderId="23" xfId="0" applyFont="1" applyFill="1" applyBorder="1" applyAlignment="1">
      <alignment horizontal="center"/>
    </xf>
    <xf numFmtId="0" fontId="0" fillId="0" borderId="23" xfId="0" applyBorder="1"/>
    <xf numFmtId="167" fontId="0" fillId="15" borderId="18" xfId="0" applyNumberFormat="1" applyFill="1" applyBorder="1"/>
    <xf numFmtId="167" fontId="0" fillId="15" borderId="19" xfId="0" applyNumberFormat="1" applyFill="1" applyBorder="1"/>
    <xf numFmtId="0" fontId="7" fillId="11" borderId="17" xfId="0" applyFont="1" applyFill="1" applyBorder="1" applyAlignment="1">
      <alignment horizontal="center" vertical="center"/>
    </xf>
    <xf numFmtId="170" fontId="0" fillId="12" borderId="17" xfId="1" applyNumberFormat="1" applyFont="1" applyFill="1" applyBorder="1"/>
    <xf numFmtId="0" fontId="1" fillId="4" borderId="0" xfId="0" applyFont="1" applyFill="1" applyAlignment="1">
      <alignment horizontal="center" vertical="center"/>
    </xf>
    <xf numFmtId="3" fontId="0" fillId="0" borderId="31" xfId="0" applyNumberFormat="1" applyBorder="1" applyAlignment="1">
      <alignment horizontal="right"/>
    </xf>
    <xf numFmtId="0" fontId="0" fillId="0" borderId="32" xfId="0" applyBorder="1"/>
    <xf numFmtId="0" fontId="0" fillId="0" borderId="32" xfId="0" quotePrefix="1" applyBorder="1"/>
    <xf numFmtId="172" fontId="0" fillId="0" borderId="33" xfId="0" applyNumberFormat="1" applyBorder="1" applyAlignment="1">
      <alignment horizontal="right"/>
    </xf>
    <xf numFmtId="0" fontId="0" fillId="0" borderId="0" xfId="0" quotePrefix="1"/>
    <xf numFmtId="14" fontId="0" fillId="0" borderId="0" xfId="0" applyNumberFormat="1"/>
    <xf numFmtId="0" fontId="7" fillId="0" borderId="13" xfId="0" applyFont="1" applyBorder="1"/>
    <xf numFmtId="37" fontId="0" fillId="0" borderId="0" xfId="0" applyNumberFormat="1"/>
    <xf numFmtId="167" fontId="7" fillId="4" borderId="16" xfId="0" applyNumberFormat="1" applyFont="1" applyFill="1" applyBorder="1" applyAlignment="1">
      <alignment horizontal="center" vertical="center"/>
    </xf>
    <xf numFmtId="0" fontId="0" fillId="0" borderId="10" xfId="0" applyBorder="1"/>
    <xf numFmtId="0" fontId="7" fillId="0" borderId="9" xfId="0" applyFont="1" applyBorder="1"/>
    <xf numFmtId="0" fontId="0" fillId="0" borderId="35" xfId="0" applyBorder="1"/>
    <xf numFmtId="0" fontId="25" fillId="0" borderId="0" xfId="0" applyFont="1"/>
    <xf numFmtId="173" fontId="26" fillId="0" borderId="0" xfId="1" applyNumberFormat="1" applyFont="1" applyBorder="1"/>
    <xf numFmtId="173" fontId="25" fillId="0" borderId="0" xfId="1" applyNumberFormat="1" applyFont="1" applyBorder="1"/>
    <xf numFmtId="173" fontId="25" fillId="0" borderId="35" xfId="1" applyNumberFormat="1" applyFont="1" applyBorder="1"/>
    <xf numFmtId="0" fontId="27" fillId="0" borderId="0" xfId="0" applyFont="1"/>
    <xf numFmtId="174" fontId="0" fillId="0" borderId="0" xfId="0" applyNumberFormat="1"/>
    <xf numFmtId="0" fontId="24" fillId="4" borderId="0" xfId="0" applyFont="1" applyFill="1"/>
    <xf numFmtId="37" fontId="28" fillId="0" borderId="35" xfId="0" applyNumberFormat="1" applyFont="1" applyBorder="1"/>
    <xf numFmtId="37" fontId="28" fillId="0" borderId="0" xfId="0" applyNumberFormat="1" applyFont="1"/>
    <xf numFmtId="0" fontId="29" fillId="0" borderId="0" xfId="0" applyFont="1"/>
    <xf numFmtId="3" fontId="28" fillId="0" borderId="0" xfId="0" applyNumberFormat="1" applyFont="1"/>
    <xf numFmtId="3" fontId="28" fillId="0" borderId="35" xfId="0" applyNumberFormat="1" applyFont="1" applyBorder="1"/>
    <xf numFmtId="174" fontId="24" fillId="4" borderId="0" xfId="1" applyNumberFormat="1" applyFont="1" applyFill="1"/>
    <xf numFmtId="0" fontId="7" fillId="0" borderId="35" xfId="0" applyFont="1" applyBorder="1"/>
    <xf numFmtId="175" fontId="24" fillId="4" borderId="0" xfId="0" applyNumberFormat="1" applyFont="1" applyFill="1"/>
    <xf numFmtId="174" fontId="26" fillId="0" borderId="0" xfId="1" applyNumberFormat="1" applyFont="1" applyFill="1" applyBorder="1"/>
    <xf numFmtId="174" fontId="25" fillId="0" borderId="35" xfId="1" applyNumberFormat="1" applyFont="1" applyBorder="1"/>
    <xf numFmtId="174" fontId="25" fillId="0" borderId="0" xfId="1" applyNumberFormat="1" applyFont="1"/>
    <xf numFmtId="3" fontId="24" fillId="4" borderId="0" xfId="0" applyNumberFormat="1" applyFont="1" applyFill="1"/>
    <xf numFmtId="174" fontId="0" fillId="0" borderId="0" xfId="1" applyNumberFormat="1" applyFont="1"/>
    <xf numFmtId="1" fontId="0" fillId="0" borderId="0" xfId="0" applyNumberFormat="1"/>
    <xf numFmtId="0" fontId="30" fillId="16" borderId="0" xfId="0" applyFont="1" applyFill="1"/>
    <xf numFmtId="0" fontId="30" fillId="16" borderId="0" xfId="0" applyFont="1" applyFill="1" applyAlignment="1">
      <alignment horizontal="center" vertical="center"/>
    </xf>
    <xf numFmtId="0" fontId="0" fillId="16" borderId="0" xfId="0" applyFill="1"/>
    <xf numFmtId="174" fontId="31" fillId="4" borderId="0" xfId="1" applyNumberFormat="1" applyFont="1" applyFill="1"/>
    <xf numFmtId="174" fontId="31" fillId="4" borderId="0" xfId="1" applyNumberFormat="1" applyFont="1" applyFill="1" applyBorder="1"/>
    <xf numFmtId="173" fontId="25" fillId="0" borderId="0" xfId="1" applyNumberFormat="1" applyFont="1"/>
    <xf numFmtId="0" fontId="31" fillId="4" borderId="0" xfId="0" applyFont="1" applyFill="1"/>
    <xf numFmtId="37" fontId="32" fillId="4" borderId="35" xfId="0" applyNumberFormat="1" applyFont="1" applyFill="1" applyBorder="1"/>
    <xf numFmtId="37" fontId="32" fillId="4" borderId="0" xfId="0" applyNumberFormat="1" applyFont="1" applyFill="1"/>
    <xf numFmtId="3" fontId="24" fillId="4" borderId="35" xfId="0" applyNumberFormat="1" applyFont="1" applyFill="1" applyBorder="1"/>
    <xf numFmtId="174" fontId="31" fillId="4" borderId="35" xfId="1" applyNumberFormat="1" applyFont="1" applyFill="1" applyBorder="1"/>
    <xf numFmtId="3" fontId="33" fillId="4" borderId="0" xfId="0" applyNumberFormat="1" applyFont="1" applyFill="1"/>
    <xf numFmtId="3" fontId="32" fillId="4" borderId="35" xfId="0" applyNumberFormat="1" applyFont="1" applyFill="1" applyBorder="1"/>
    <xf numFmtId="3" fontId="32" fillId="4" borderId="0" xfId="0" applyNumberFormat="1" applyFont="1" applyFill="1"/>
    <xf numFmtId="0" fontId="24" fillId="4" borderId="35" xfId="0" applyFont="1" applyFill="1" applyBorder="1"/>
    <xf numFmtId="0" fontId="23" fillId="4" borderId="0" xfId="0" applyFont="1" applyFill="1"/>
    <xf numFmtId="14" fontId="30" fillId="16" borderId="35" xfId="0" applyNumberFormat="1" applyFont="1" applyFill="1" applyBorder="1" applyAlignment="1">
      <alignment horizontal="center"/>
    </xf>
    <xf numFmtId="174" fontId="0" fillId="15" borderId="33" xfId="0" applyNumberFormat="1" applyFill="1" applyBorder="1" applyAlignment="1">
      <alignment horizontal="center"/>
    </xf>
    <xf numFmtId="171" fontId="0" fillId="0" borderId="0" xfId="0" applyNumberFormat="1"/>
    <xf numFmtId="0" fontId="0" fillId="4" borderId="36" xfId="0" applyFill="1" applyBorder="1" applyAlignment="1">
      <alignment horizontal="center"/>
    </xf>
    <xf numFmtId="176" fontId="0" fillId="0" borderId="33" xfId="0" applyNumberFormat="1" applyBorder="1" applyAlignment="1">
      <alignment horizontal="center"/>
    </xf>
    <xf numFmtId="14" fontId="0" fillId="15" borderId="37" xfId="0" applyNumberFormat="1" applyFill="1" applyBorder="1" applyAlignment="1">
      <alignment horizontal="center"/>
    </xf>
    <xf numFmtId="0" fontId="0" fillId="0" borderId="33" xfId="0" applyBorder="1" applyAlignment="1">
      <alignment horizontal="center"/>
    </xf>
    <xf numFmtId="0" fontId="0" fillId="15" borderId="37" xfId="0" applyFill="1" applyBorder="1" applyAlignment="1">
      <alignment horizontal="center"/>
    </xf>
    <xf numFmtId="0" fontId="4" fillId="0" borderId="32" xfId="0" applyFont="1" applyBorder="1"/>
    <xf numFmtId="0" fontId="22" fillId="14" borderId="38" xfId="0" applyFont="1" applyFill="1" applyBorder="1" applyAlignment="1">
      <alignment horizontal="center" vertical="center" wrapText="1"/>
    </xf>
    <xf numFmtId="14" fontId="22" fillId="14" borderId="38" xfId="0" applyNumberFormat="1" applyFont="1" applyFill="1" applyBorder="1" applyAlignment="1">
      <alignment horizontal="center" vertical="center" wrapText="1"/>
    </xf>
    <xf numFmtId="0" fontId="0" fillId="0" borderId="0" xfId="1" applyNumberFormat="1" applyFont="1"/>
    <xf numFmtId="0" fontId="24" fillId="4" borderId="0" xfId="1" applyNumberFormat="1" applyFont="1" applyFill="1"/>
    <xf numFmtId="167" fontId="24" fillId="4" borderId="0" xfId="0" applyNumberFormat="1" applyFont="1" applyFill="1"/>
    <xf numFmtId="0" fontId="0" fillId="0" borderId="0" xfId="0" applyAlignment="1">
      <alignment horizontal="center"/>
    </xf>
    <xf numFmtId="167" fontId="32" fillId="4" borderId="0" xfId="0" applyNumberFormat="1" applyFont="1" applyFill="1"/>
    <xf numFmtId="167" fontId="29" fillId="4" borderId="0" xfId="0" applyNumberFormat="1" applyFont="1" applyFill="1"/>
    <xf numFmtId="167" fontId="32" fillId="4" borderId="35" xfId="0" applyNumberFormat="1" applyFont="1" applyFill="1" applyBorder="1"/>
    <xf numFmtId="0" fontId="30" fillId="4" borderId="0" xfId="0" applyFont="1" applyFill="1"/>
    <xf numFmtId="0" fontId="0" fillId="9" borderId="0" xfId="0" applyFill="1"/>
    <xf numFmtId="167" fontId="0" fillId="9" borderId="0" xfId="0" applyNumberFormat="1" applyFill="1"/>
    <xf numFmtId="174" fontId="0" fillId="0" borderId="35" xfId="1" applyNumberFormat="1" applyFont="1" applyBorder="1"/>
    <xf numFmtId="0" fontId="34" fillId="0" borderId="0" xfId="0" applyFont="1" applyAlignment="1">
      <alignment vertical="center"/>
    </xf>
    <xf numFmtId="174" fontId="28" fillId="0" borderId="0" xfId="1" applyNumberFormat="1" applyFont="1"/>
    <xf numFmtId="174" fontId="28" fillId="0" borderId="35" xfId="1" applyNumberFormat="1" applyFont="1" applyBorder="1"/>
    <xf numFmtId="174" fontId="29" fillId="0" borderId="0" xfId="1" applyNumberFormat="1" applyFont="1"/>
    <xf numFmtId="0" fontId="22" fillId="14" borderId="38" xfId="0" applyFont="1" applyFill="1" applyBorder="1" applyAlignment="1">
      <alignment horizontal="right" vertical="center" wrapText="1"/>
    </xf>
    <xf numFmtId="167" fontId="29" fillId="0" borderId="0" xfId="0" applyNumberFormat="1" applyFont="1"/>
    <xf numFmtId="167" fontId="29" fillId="0" borderId="35" xfId="0" applyNumberFormat="1" applyFont="1" applyBorder="1"/>
    <xf numFmtId="167" fontId="36" fillId="0" borderId="0" xfId="0" applyNumberFormat="1" applyFont="1"/>
    <xf numFmtId="3" fontId="35" fillId="0" borderId="0" xfId="0" applyNumberFormat="1" applyFont="1"/>
    <xf numFmtId="0" fontId="0" fillId="9" borderId="1" xfId="0" applyFill="1" applyBorder="1"/>
    <xf numFmtId="167" fontId="0" fillId="0" borderId="3" xfId="0" applyNumberFormat="1" applyBorder="1"/>
    <xf numFmtId="0" fontId="0" fillId="9" borderId="4" xfId="0" applyFill="1" applyBorder="1"/>
    <xf numFmtId="167" fontId="0" fillId="0" borderId="5" xfId="0" applyNumberFormat="1" applyBorder="1"/>
    <xf numFmtId="0" fontId="0" fillId="9" borderId="6" xfId="0" applyFill="1" applyBorder="1"/>
    <xf numFmtId="167" fontId="0" fillId="0" borderId="8" xfId="0" applyNumberFormat="1" applyBorder="1"/>
    <xf numFmtId="174" fontId="31" fillId="0" borderId="0" xfId="1" applyNumberFormat="1" applyFont="1" applyFill="1" applyBorder="1"/>
    <xf numFmtId="167" fontId="24" fillId="0" borderId="0" xfId="0" applyNumberFormat="1" applyFont="1"/>
    <xf numFmtId="0" fontId="0" fillId="0" borderId="41" xfId="0" applyBorder="1"/>
    <xf numFmtId="170" fontId="7" fillId="4" borderId="42" xfId="1" applyNumberFormat="1" applyFont="1" applyFill="1" applyBorder="1" applyAlignment="1">
      <alignment horizontal="center" vertical="center"/>
    </xf>
    <xf numFmtId="167" fontId="7" fillId="7" borderId="28" xfId="0" applyNumberFormat="1" applyFont="1" applyFill="1" applyBorder="1"/>
    <xf numFmtId="167" fontId="7" fillId="7" borderId="29" xfId="0" applyNumberFormat="1" applyFont="1" applyFill="1" applyBorder="1"/>
    <xf numFmtId="167" fontId="7" fillId="7" borderId="30" xfId="0" applyNumberFormat="1" applyFont="1" applyFill="1" applyBorder="1"/>
    <xf numFmtId="0" fontId="0" fillId="0" borderId="26" xfId="0" applyBorder="1"/>
    <xf numFmtId="167" fontId="24" fillId="0" borderId="32" xfId="0" applyNumberFormat="1" applyFont="1" applyBorder="1"/>
    <xf numFmtId="167" fontId="0" fillId="11" borderId="0" xfId="0" applyNumberFormat="1" applyFill="1"/>
    <xf numFmtId="167" fontId="23" fillId="0" borderId="0" xfId="0" applyNumberFormat="1" applyFont="1"/>
    <xf numFmtId="3" fontId="18" fillId="0" borderId="0" xfId="0" applyNumberFormat="1" applyFont="1"/>
    <xf numFmtId="171" fontId="7" fillId="17" borderId="0" xfId="0" applyNumberFormat="1" applyFont="1" applyFill="1"/>
    <xf numFmtId="0" fontId="0" fillId="9" borderId="16" xfId="0" applyFill="1" applyBorder="1"/>
    <xf numFmtId="167" fontId="0" fillId="9" borderId="16" xfId="0" applyNumberFormat="1" applyFill="1" applyBorder="1"/>
    <xf numFmtId="0" fontId="0" fillId="4" borderId="43" xfId="0" applyFill="1" applyBorder="1"/>
    <xf numFmtId="174" fontId="28" fillId="4" borderId="0" xfId="1" applyNumberFormat="1" applyFont="1" applyFill="1" applyBorder="1"/>
    <xf numFmtId="0" fontId="0" fillId="4" borderId="0" xfId="0" quotePrefix="1" applyFill="1"/>
    <xf numFmtId="9" fontId="0" fillId="4" borderId="0" xfId="0" applyNumberFormat="1" applyFill="1"/>
    <xf numFmtId="14" fontId="0" fillId="4" borderId="0" xfId="0" applyNumberFormat="1" applyFill="1"/>
    <xf numFmtId="167" fontId="23" fillId="4" borderId="0" xfId="0" applyNumberFormat="1" applyFont="1" applyFill="1"/>
    <xf numFmtId="172" fontId="0" fillId="4" borderId="0" xfId="0" applyNumberFormat="1" applyFill="1" applyAlignment="1">
      <alignment horizontal="right"/>
    </xf>
    <xf numFmtId="167" fontId="18" fillId="4" borderId="0" xfId="0" applyNumberFormat="1" applyFont="1" applyFill="1"/>
    <xf numFmtId="3" fontId="0" fillId="4" borderId="0" xfId="0" applyNumberFormat="1" applyFill="1" applyAlignment="1">
      <alignment horizontal="right"/>
    </xf>
    <xf numFmtId="171" fontId="7" fillId="4" borderId="0" xfId="0" applyNumberFormat="1" applyFont="1" applyFill="1"/>
    <xf numFmtId="167" fontId="7" fillId="4" borderId="0" xfId="0" applyNumberFormat="1" applyFont="1" applyFill="1" applyAlignment="1">
      <alignment horizontal="center" vertical="center"/>
    </xf>
    <xf numFmtId="170" fontId="7" fillId="4" borderId="0" xfId="1" applyNumberFormat="1" applyFont="1" applyFill="1" applyBorder="1" applyAlignment="1">
      <alignment horizontal="center" vertical="center"/>
    </xf>
    <xf numFmtId="167" fontId="7" fillId="4" borderId="0" xfId="0" applyNumberFormat="1" applyFont="1" applyFill="1"/>
    <xf numFmtId="9" fontId="0" fillId="0" borderId="0" xfId="0" applyNumberFormat="1"/>
    <xf numFmtId="0" fontId="37" fillId="0" borderId="26" xfId="0" applyFont="1" applyBorder="1"/>
    <xf numFmtId="0" fontId="0" fillId="0" borderId="39" xfId="0" applyBorder="1"/>
    <xf numFmtId="0" fontId="24" fillId="4" borderId="25" xfId="0" applyFont="1" applyFill="1" applyBorder="1"/>
    <xf numFmtId="10" fontId="0" fillId="7" borderId="24" xfId="0" applyNumberFormat="1" applyFill="1" applyBorder="1"/>
    <xf numFmtId="173" fontId="25" fillId="4" borderId="0" xfId="1" applyNumberFormat="1" applyFont="1" applyFill="1"/>
    <xf numFmtId="173" fontId="25" fillId="4" borderId="0" xfId="1" applyNumberFormat="1" applyFont="1" applyFill="1" applyBorder="1"/>
    <xf numFmtId="167" fontId="29" fillId="4" borderId="35" xfId="0" applyNumberFormat="1" applyFont="1" applyFill="1" applyBorder="1"/>
    <xf numFmtId="170" fontId="0" fillId="0" borderId="0" xfId="0" applyNumberFormat="1"/>
    <xf numFmtId="168" fontId="0" fillId="0" borderId="0" xfId="1" applyNumberFormat="1" applyFont="1"/>
    <xf numFmtId="170" fontId="0" fillId="0" borderId="0" xfId="1" applyNumberFormat="1" applyFont="1"/>
    <xf numFmtId="171" fontId="23" fillId="18" borderId="0" xfId="0" applyNumberFormat="1" applyFont="1" applyFill="1"/>
    <xf numFmtId="9" fontId="23" fillId="17" borderId="0" xfId="1" applyFont="1" applyFill="1" applyAlignment="1">
      <alignment horizontal="center" vertical="center"/>
    </xf>
    <xf numFmtId="0" fontId="38" fillId="4" borderId="0" xfId="0" applyFont="1" applyFill="1"/>
    <xf numFmtId="174" fontId="24" fillId="4" borderId="0" xfId="1" applyNumberFormat="1" applyFont="1" applyFill="1" applyBorder="1"/>
    <xf numFmtId="0" fontId="23" fillId="4" borderId="1" xfId="0" applyFont="1" applyFill="1" applyBorder="1"/>
    <xf numFmtId="0" fontId="0" fillId="4" borderId="2" xfId="0" applyFill="1" applyBorder="1"/>
    <xf numFmtId="3" fontId="28" fillId="4" borderId="2" xfId="0" applyNumberFormat="1" applyFont="1" applyFill="1" applyBorder="1"/>
    <xf numFmtId="167" fontId="32" fillId="4" borderId="2" xfId="0" applyNumberFormat="1" applyFont="1" applyFill="1" applyBorder="1"/>
    <xf numFmtId="0" fontId="0" fillId="0" borderId="3" xfId="0" applyBorder="1"/>
    <xf numFmtId="0" fontId="0" fillId="4" borderId="4" xfId="0" applyFill="1" applyBorder="1"/>
    <xf numFmtId="0" fontId="0" fillId="4" borderId="5" xfId="0" applyFill="1" applyBorder="1"/>
    <xf numFmtId="0" fontId="24" fillId="4" borderId="4" xfId="0" applyFont="1" applyFill="1" applyBorder="1"/>
    <xf numFmtId="174" fontId="29" fillId="4" borderId="5" xfId="1" applyNumberFormat="1" applyFont="1" applyFill="1" applyBorder="1"/>
    <xf numFmtId="174" fontId="0" fillId="4" borderId="0" xfId="1" applyNumberFormat="1" applyFont="1" applyFill="1" applyBorder="1"/>
    <xf numFmtId="174" fontId="29" fillId="4" borderId="0" xfId="1" applyNumberFormat="1" applyFont="1" applyFill="1" applyBorder="1"/>
    <xf numFmtId="0" fontId="29" fillId="4" borderId="4" xfId="0" applyFont="1" applyFill="1" applyBorder="1"/>
    <xf numFmtId="167" fontId="29" fillId="4" borderId="0" xfId="1" applyNumberFormat="1" applyFont="1" applyFill="1" applyBorder="1"/>
    <xf numFmtId="167" fontId="24" fillId="4" borderId="0" xfId="1" applyNumberFormat="1" applyFont="1" applyFill="1" applyBorder="1"/>
    <xf numFmtId="167" fontId="29" fillId="4" borderId="5" xfId="1" applyNumberFormat="1" applyFont="1" applyFill="1" applyBorder="1"/>
    <xf numFmtId="167" fontId="29" fillId="4" borderId="6" xfId="0" applyNumberFormat="1" applyFont="1" applyFill="1" applyBorder="1"/>
    <xf numFmtId="167" fontId="29" fillId="4" borderId="7" xfId="0" applyNumberFormat="1" applyFont="1" applyFill="1" applyBorder="1"/>
    <xf numFmtId="167" fontId="36" fillId="4" borderId="7" xfId="0" applyNumberFormat="1" applyFont="1" applyFill="1" applyBorder="1"/>
    <xf numFmtId="167" fontId="36" fillId="4" borderId="8" xfId="0" applyNumberFormat="1" applyFont="1" applyFill="1"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2" fillId="8" borderId="1" xfId="0" applyFont="1" applyFill="1" applyBorder="1" applyAlignment="1">
      <alignment horizontal="center" vertical="center"/>
    </xf>
    <xf numFmtId="0" fontId="12" fillId="8" borderId="2" xfId="0" applyFont="1" applyFill="1" applyBorder="1" applyAlignment="1">
      <alignment horizontal="center" vertical="center"/>
    </xf>
    <xf numFmtId="0" fontId="12" fillId="8" borderId="3" xfId="0" applyFont="1" applyFill="1" applyBorder="1" applyAlignment="1">
      <alignment horizontal="center" vertical="center"/>
    </xf>
    <xf numFmtId="0" fontId="12" fillId="8" borderId="4" xfId="0" applyFont="1" applyFill="1" applyBorder="1" applyAlignment="1">
      <alignment horizontal="center" vertical="center"/>
    </xf>
    <xf numFmtId="0" fontId="12" fillId="8" borderId="0" xfId="0" applyFont="1" applyFill="1" applyAlignment="1">
      <alignment horizontal="center" vertical="center"/>
    </xf>
    <xf numFmtId="0" fontId="12" fillId="8" borderId="5" xfId="0" applyFont="1" applyFill="1" applyBorder="1" applyAlignment="1">
      <alignment horizontal="center" vertical="center"/>
    </xf>
    <xf numFmtId="0" fontId="12" fillId="8" borderId="6" xfId="0" applyFont="1" applyFill="1" applyBorder="1" applyAlignment="1">
      <alignment horizontal="center" vertical="center"/>
    </xf>
    <xf numFmtId="0" fontId="12" fillId="8" borderId="7" xfId="0" applyFont="1" applyFill="1" applyBorder="1" applyAlignment="1">
      <alignment horizontal="center" vertical="center"/>
    </xf>
    <xf numFmtId="0" fontId="12" fillId="8" borderId="8" xfId="0" applyFont="1" applyFill="1" applyBorder="1" applyAlignment="1">
      <alignment horizontal="center" vertical="center"/>
    </xf>
    <xf numFmtId="0" fontId="7" fillId="0" borderId="0" xfId="0" applyFont="1" applyAlignment="1">
      <alignment horizontal="center"/>
    </xf>
    <xf numFmtId="0" fontId="20" fillId="8" borderId="9" xfId="0" applyFont="1" applyFill="1" applyBorder="1" applyAlignment="1">
      <alignment horizontal="center" vertical="center"/>
    </xf>
    <xf numFmtId="0" fontId="20" fillId="8" borderId="20" xfId="0" applyFont="1" applyFill="1" applyBorder="1" applyAlignment="1">
      <alignment horizontal="center" vertical="center"/>
    </xf>
    <xf numFmtId="0" fontId="20" fillId="8" borderId="10" xfId="0" applyFont="1" applyFill="1" applyBorder="1" applyAlignment="1">
      <alignment horizontal="center" vertical="center"/>
    </xf>
    <xf numFmtId="0" fontId="20" fillId="8" borderId="11" xfId="0" applyFont="1" applyFill="1" applyBorder="1" applyAlignment="1">
      <alignment horizontal="center" vertical="center"/>
    </xf>
    <xf numFmtId="0" fontId="20" fillId="8" borderId="16" xfId="0" applyFont="1" applyFill="1" applyBorder="1" applyAlignment="1">
      <alignment horizontal="center" vertical="center"/>
    </xf>
    <xf numFmtId="0" fontId="20" fillId="8" borderId="12" xfId="0" applyFont="1" applyFill="1" applyBorder="1" applyAlignment="1">
      <alignment horizontal="center" vertical="center"/>
    </xf>
    <xf numFmtId="0" fontId="20" fillId="8" borderId="13" xfId="0" applyFont="1" applyFill="1" applyBorder="1" applyAlignment="1">
      <alignment horizontal="center" vertical="center"/>
    </xf>
    <xf numFmtId="0" fontId="20" fillId="8" borderId="21" xfId="0" applyFont="1" applyFill="1" applyBorder="1" applyAlignment="1">
      <alignment horizontal="center" vertical="center"/>
    </xf>
    <xf numFmtId="0" fontId="20" fillId="8" borderId="14" xfId="0" applyFont="1" applyFill="1" applyBorder="1" applyAlignment="1">
      <alignment horizontal="center" vertical="center"/>
    </xf>
    <xf numFmtId="0" fontId="7" fillId="11" borderId="26" xfId="0" applyFont="1" applyFill="1" applyBorder="1" applyAlignment="1">
      <alignment horizontal="center"/>
    </xf>
    <xf numFmtId="0" fontId="7" fillId="11" borderId="39" xfId="0" applyFont="1" applyFill="1" applyBorder="1" applyAlignment="1">
      <alignment horizontal="center"/>
    </xf>
    <xf numFmtId="0" fontId="7" fillId="11" borderId="25" xfId="0" applyFont="1" applyFill="1" applyBorder="1" applyAlignment="1">
      <alignment horizontal="center"/>
    </xf>
    <xf numFmtId="0" fontId="7" fillId="0" borderId="40" xfId="0" applyFont="1" applyBorder="1" applyAlignment="1">
      <alignment horizontal="center"/>
    </xf>
    <xf numFmtId="0" fontId="7" fillId="0" borderId="34" xfId="0" applyFont="1" applyBorder="1" applyAlignment="1">
      <alignment horizontal="center"/>
    </xf>
    <xf numFmtId="0" fontId="7" fillId="4" borderId="0" xfId="0" applyFont="1" applyFill="1" applyAlignment="1">
      <alignment horizontal="center"/>
    </xf>
    <xf numFmtId="0" fontId="39" fillId="0" borderId="0" xfId="0" applyFont="1" applyAlignment="1">
      <alignment horizontal="center" vertical="center"/>
    </xf>
    <xf numFmtId="0" fontId="1" fillId="3" borderId="28" xfId="0" applyFont="1" applyFill="1" applyBorder="1" applyAlignment="1">
      <alignment horizontal="center" vertical="top"/>
    </xf>
    <xf numFmtId="0" fontId="1" fillId="3" borderId="29" xfId="0" applyFont="1" applyFill="1" applyBorder="1" applyAlignment="1">
      <alignment horizontal="center" vertical="top"/>
    </xf>
    <xf numFmtId="0" fontId="1" fillId="3" borderId="30" xfId="0" applyFont="1" applyFill="1" applyBorder="1" applyAlignment="1">
      <alignment horizontal="center" vertical="top"/>
    </xf>
  </cellXfs>
  <cellStyles count="4">
    <cellStyle name="Comma" xfId="3" builtinId="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7.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i="1" u="none" strike="noStrike" baseline="0">
                <a:solidFill>
                  <a:srgbClr val="000000"/>
                </a:solidFill>
                <a:latin typeface="Times"/>
                <a:ea typeface="Times"/>
                <a:cs typeface="Times"/>
              </a:defRPr>
            </a:pPr>
            <a:r>
              <a:rPr lang="en-US"/>
              <a:t>Implied Equity Risk Premium for US Equity Market: 1960-2022</a:t>
            </a:r>
          </a:p>
        </c:rich>
      </c:tx>
      <c:layout>
        <c:manualLayout>
          <c:xMode val="edge"/>
          <c:yMode val="edge"/>
          <c:x val="0.22017021425734248"/>
          <c:y val="4.0488773510298115E-2"/>
        </c:manualLayout>
      </c:layout>
      <c:overlay val="0"/>
      <c:spPr>
        <a:noFill/>
        <a:ln w="25400">
          <a:noFill/>
        </a:ln>
      </c:spPr>
    </c:title>
    <c:autoTitleDeleted val="0"/>
    <c:plotArea>
      <c:layout>
        <c:manualLayout>
          <c:layoutTarget val="inner"/>
          <c:xMode val="edge"/>
          <c:yMode val="edge"/>
          <c:x val="8.0989876265466818E-2"/>
          <c:y val="0.10695555832044698"/>
          <c:w val="0.89333333333333331"/>
          <c:h val="0.77559912854030499"/>
        </c:manualLayout>
      </c:layout>
      <c:lineChart>
        <c:grouping val="standard"/>
        <c:varyColors val="0"/>
        <c:ser>
          <c:idx val="12"/>
          <c:order val="0"/>
          <c:tx>
            <c:strRef>
              <c:f>'[1]Historical Impl Premiums'!$N$7</c:f>
              <c:strCache>
                <c:ptCount val="1"/>
                <c:pt idx="0">
                  <c:v>Implied Premium (DDM)</c:v>
                </c:pt>
              </c:strCache>
            </c:strRef>
          </c:tx>
          <c:spPr>
            <a:ln w="25400">
              <a:solidFill>
                <a:srgbClr val="000000"/>
              </a:solidFill>
              <a:prstDash val="solid"/>
            </a:ln>
          </c:spPr>
          <c:marker>
            <c:symbol val="circle"/>
            <c:size val="6"/>
            <c:spPr>
              <a:solidFill>
                <a:srgbClr val="003300"/>
              </a:solidFill>
              <a:ln>
                <a:solidFill>
                  <a:srgbClr val="000000"/>
                </a:solidFill>
                <a:prstDash val="solid"/>
              </a:ln>
            </c:spPr>
          </c:marker>
          <c:cat>
            <c:numRef>
              <c:f>'[1]Historical Impl Premiums'!$A$8:$A$71</c:f>
              <c:numCache>
                <c:formatCode>General</c:formatCode>
                <c:ptCount val="64"/>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pt idx="62">
                  <c:v>2022</c:v>
                </c:pt>
                <c:pt idx="63">
                  <c:v>2023</c:v>
                </c:pt>
              </c:numCache>
            </c:numRef>
          </c:cat>
          <c:val>
            <c:numRef>
              <c:f>'[1]Historical Impl Premiums'!$Q$8:$Q$71</c:f>
              <c:numCache>
                <c:formatCode>General</c:formatCode>
                <c:ptCount val="64"/>
                <c:pt idx="1">
                  <c:v>2.92E-2</c:v>
                </c:pt>
                <c:pt idx="2">
                  <c:v>3.56E-2</c:v>
                </c:pt>
                <c:pt idx="3">
                  <c:v>3.3799999999999997E-2</c:v>
                </c:pt>
                <c:pt idx="4">
                  <c:v>3.3099999999999997E-2</c:v>
                </c:pt>
                <c:pt idx="5">
                  <c:v>3.32E-2</c:v>
                </c:pt>
                <c:pt idx="6">
                  <c:v>3.6799999999999999E-2</c:v>
                </c:pt>
                <c:pt idx="7">
                  <c:v>3.2000000000000001E-2</c:v>
                </c:pt>
                <c:pt idx="8">
                  <c:v>0.03</c:v>
                </c:pt>
                <c:pt idx="9">
                  <c:v>3.7400000000000003E-2</c:v>
                </c:pt>
                <c:pt idx="10">
                  <c:v>3.4099999999999998E-2</c:v>
                </c:pt>
                <c:pt idx="11">
                  <c:v>3.09E-2</c:v>
                </c:pt>
                <c:pt idx="12">
                  <c:v>2.7199999999999998E-2</c:v>
                </c:pt>
                <c:pt idx="13">
                  <c:v>4.2999999999999997E-2</c:v>
                </c:pt>
                <c:pt idx="14">
                  <c:v>5.5899999999999998E-2</c:v>
                </c:pt>
                <c:pt idx="15">
                  <c:v>4.1300000000000003E-2</c:v>
                </c:pt>
                <c:pt idx="16">
                  <c:v>4.5499999999999999E-2</c:v>
                </c:pt>
                <c:pt idx="17">
                  <c:v>5.9200000000000003E-2</c:v>
                </c:pt>
                <c:pt idx="18">
                  <c:v>5.7200000000000001E-2</c:v>
                </c:pt>
                <c:pt idx="19">
                  <c:v>6.4500000000000002E-2</c:v>
                </c:pt>
                <c:pt idx="20">
                  <c:v>5.0299999999999997E-2</c:v>
                </c:pt>
                <c:pt idx="21">
                  <c:v>5.7299999999999997E-2</c:v>
                </c:pt>
                <c:pt idx="22">
                  <c:v>4.9000000000000002E-2</c:v>
                </c:pt>
                <c:pt idx="23">
                  <c:v>4.3099999999999999E-2</c:v>
                </c:pt>
                <c:pt idx="24">
                  <c:v>5.11E-2</c:v>
                </c:pt>
                <c:pt idx="25">
                  <c:v>3.8399999999999997E-2</c:v>
                </c:pt>
                <c:pt idx="26">
                  <c:v>3.5799999999999998E-2</c:v>
                </c:pt>
                <c:pt idx="27">
                  <c:v>3.9899999999999998E-2</c:v>
                </c:pt>
                <c:pt idx="28">
                  <c:v>3.7699999999999997E-2</c:v>
                </c:pt>
                <c:pt idx="29">
                  <c:v>3.5099999999999999E-2</c:v>
                </c:pt>
                <c:pt idx="30">
                  <c:v>3.8899999999999997E-2</c:v>
                </c:pt>
                <c:pt idx="31">
                  <c:v>3.4799999999999998E-2</c:v>
                </c:pt>
                <c:pt idx="32">
                  <c:v>3.5499999999999997E-2</c:v>
                </c:pt>
                <c:pt idx="33">
                  <c:v>3.1699999999999999E-2</c:v>
                </c:pt>
                <c:pt idx="34">
                  <c:v>3.5499999999999997E-2</c:v>
                </c:pt>
                <c:pt idx="35">
                  <c:v>3.2899999999999999E-2</c:v>
                </c:pt>
                <c:pt idx="36">
                  <c:v>3.2000000000000001E-2</c:v>
                </c:pt>
                <c:pt idx="37">
                  <c:v>2.7300000000000001E-2</c:v>
                </c:pt>
                <c:pt idx="38">
                  <c:v>2.2599999999999999E-2</c:v>
                </c:pt>
                <c:pt idx="39">
                  <c:v>2.0500000000000001E-2</c:v>
                </c:pt>
                <c:pt idx="40">
                  <c:v>2.87E-2</c:v>
                </c:pt>
                <c:pt idx="41">
                  <c:v>3.6200000000000003E-2</c:v>
                </c:pt>
                <c:pt idx="42">
                  <c:v>4.1000000000000002E-2</c:v>
                </c:pt>
                <c:pt idx="43">
                  <c:v>3.6900000000000002E-2</c:v>
                </c:pt>
                <c:pt idx="44">
                  <c:v>3.6499999999999998E-2</c:v>
                </c:pt>
                <c:pt idx="45">
                  <c:v>4.0800000000000003E-2</c:v>
                </c:pt>
                <c:pt idx="46">
                  <c:v>4.1599999999999998E-2</c:v>
                </c:pt>
                <c:pt idx="47">
                  <c:v>4.3700000000000003E-2</c:v>
                </c:pt>
                <c:pt idx="48">
                  <c:v>6.4299999999999996E-2</c:v>
                </c:pt>
                <c:pt idx="49">
                  <c:v>4.36E-2</c:v>
                </c:pt>
                <c:pt idx="50">
                  <c:v>5.1999999999999998E-2</c:v>
                </c:pt>
                <c:pt idx="51">
                  <c:v>6.0100000000000001E-2</c:v>
                </c:pt>
                <c:pt idx="52">
                  <c:v>5.7799999999999997E-2</c:v>
                </c:pt>
                <c:pt idx="53">
                  <c:v>4.9599999999999998E-2</c:v>
                </c:pt>
                <c:pt idx="54">
                  <c:v>5.7799999999999997E-2</c:v>
                </c:pt>
                <c:pt idx="55">
                  <c:v>6.1199999999999997E-2</c:v>
                </c:pt>
                <c:pt idx="56">
                  <c:v>5.6899999999999999E-2</c:v>
                </c:pt>
                <c:pt idx="57">
                  <c:v>5.0799999999999998E-2</c:v>
                </c:pt>
                <c:pt idx="58">
                  <c:v>5.96E-2</c:v>
                </c:pt>
                <c:pt idx="59">
                  <c:v>5.1999999999999998E-2</c:v>
                </c:pt>
                <c:pt idx="60">
                  <c:v>4.7199999999999999E-2</c:v>
                </c:pt>
                <c:pt idx="61">
                  <c:v>4.24E-2</c:v>
                </c:pt>
                <c:pt idx="62">
                  <c:v>5.9400000000000001E-2</c:v>
                </c:pt>
                <c:pt idx="63">
                  <c:v>4.5999999999999999E-2</c:v>
                </c:pt>
              </c:numCache>
            </c:numRef>
          </c:val>
          <c:smooth val="0"/>
          <c:extLst>
            <c:ext xmlns:c16="http://schemas.microsoft.com/office/drawing/2014/chart" uri="{C3380CC4-5D6E-409C-BE32-E72D297353CC}">
              <c16:uniqueId val="{00000000-211E-41A6-8F6E-19D1DE478E85}"/>
            </c:ext>
          </c:extLst>
        </c:ser>
        <c:dLbls>
          <c:showLegendKey val="0"/>
          <c:showVal val="0"/>
          <c:showCatName val="0"/>
          <c:showSerName val="0"/>
          <c:showPercent val="0"/>
          <c:showBubbleSize val="0"/>
        </c:dLbls>
        <c:marker val="1"/>
        <c:smooth val="0"/>
        <c:axId val="1138378911"/>
        <c:axId val="1"/>
      </c:lineChart>
      <c:catAx>
        <c:axId val="1138378911"/>
        <c:scaling>
          <c:orientation val="minMax"/>
        </c:scaling>
        <c:delete val="0"/>
        <c:axPos val="b"/>
        <c:majorGridlines>
          <c:spPr>
            <a:ln w="3175">
              <a:solidFill>
                <a:srgbClr val="808080"/>
              </a:solidFill>
              <a:prstDash val="solid"/>
            </a:ln>
          </c:spPr>
        </c:majorGridlines>
        <c:title>
          <c:tx>
            <c:rich>
              <a:bodyPr/>
              <a:lstStyle/>
              <a:p>
                <a:pPr>
                  <a:defRPr sz="1000" b="0" i="0" u="none" strike="noStrike" baseline="0">
                    <a:solidFill>
                      <a:srgbClr val="000000"/>
                    </a:solidFill>
                    <a:latin typeface="Times"/>
                    <a:ea typeface="Times"/>
                    <a:cs typeface="Times"/>
                  </a:defRPr>
                </a:pPr>
                <a:r>
                  <a:rPr lang="en-US"/>
                  <a:t>Year</a:t>
                </a:r>
              </a:p>
            </c:rich>
          </c:tx>
          <c:layout>
            <c:manualLayout>
              <c:xMode val="edge"/>
              <c:yMode val="edge"/>
              <c:x val="0.5229630365195449"/>
              <c:y val="0.94771240931128153"/>
            </c:manualLayout>
          </c:layout>
          <c:overlay val="0"/>
          <c:spPr>
            <a:noFill/>
            <a:ln w="25400">
              <a:noFill/>
            </a:ln>
          </c:spPr>
        </c:title>
        <c:numFmt formatCode="General" sourceLinked="1"/>
        <c:majorTickMark val="out"/>
        <c:minorTickMark val="in"/>
        <c:tickLblPos val="nextTo"/>
        <c:spPr>
          <a:ln w="3175">
            <a:solidFill>
              <a:srgbClr val="000000"/>
            </a:solidFill>
            <a:prstDash val="solid"/>
          </a:ln>
        </c:spPr>
        <c:txPr>
          <a:bodyPr rot="5400000" vert="horz"/>
          <a:lstStyle/>
          <a:p>
            <a:pPr rtl="0">
              <a:defRPr sz="1000" b="0" i="0" u="none" strike="noStrike" baseline="0">
                <a:solidFill>
                  <a:srgbClr val="000000"/>
                </a:solidFill>
                <a:latin typeface="Times"/>
                <a:ea typeface="Times"/>
                <a:cs typeface="Times"/>
              </a:defRPr>
            </a:pPr>
            <a:endParaRPr lang="he-IL"/>
          </a:p>
        </c:txPr>
        <c:crossAx val="1"/>
        <c:crosses val="autoZero"/>
        <c:auto val="0"/>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000" b="0" i="0" u="none" strike="noStrike" baseline="0">
                    <a:solidFill>
                      <a:srgbClr val="000000"/>
                    </a:solidFill>
                    <a:latin typeface="Times"/>
                    <a:ea typeface="Times"/>
                    <a:cs typeface="Times"/>
                  </a:defRPr>
                </a:pPr>
                <a:r>
                  <a:rPr lang="en-US"/>
                  <a:t>Implied Premium</a:t>
                </a:r>
              </a:p>
            </c:rich>
          </c:tx>
          <c:layout>
            <c:manualLayout>
              <c:xMode val="edge"/>
              <c:yMode val="edge"/>
              <c:x val="1.0370452580667773E-2"/>
              <c:y val="0.4270154385723618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rtl="0">
              <a:defRPr sz="1000" b="0" i="0" u="none" strike="noStrike" baseline="0">
                <a:solidFill>
                  <a:srgbClr val="000000"/>
                </a:solidFill>
                <a:latin typeface="Times"/>
                <a:ea typeface="Times"/>
                <a:cs typeface="Times"/>
              </a:defRPr>
            </a:pPr>
            <a:endParaRPr lang="he-IL"/>
          </a:p>
        </c:txPr>
        <c:crossAx val="1138378911"/>
        <c:crosses val="autoZero"/>
        <c:crossBetween val="between"/>
      </c:valAx>
      <c:spPr>
        <a:solidFill>
          <a:srgbClr val="FFFFFF"/>
        </a:solidFill>
        <a:ln w="12700">
          <a:solidFill>
            <a:srgbClr val="808080"/>
          </a:solidFill>
          <a:prstDash val="solid"/>
        </a:ln>
      </c:spPr>
    </c:plotArea>
    <c:plotVisOnly val="1"/>
    <c:dispBlanksAs val="gap"/>
    <c:showDLblsOverMax val="0"/>
  </c:chart>
  <c:spPr>
    <a:noFill/>
    <a:ln w="9525">
      <a:noFill/>
    </a:ln>
  </c:spPr>
  <c:txPr>
    <a:bodyPr/>
    <a:lstStyle/>
    <a:p>
      <a:pPr>
        <a:defRPr sz="1000" b="0" i="0" u="none" strike="noStrike" baseline="0">
          <a:solidFill>
            <a:srgbClr val="000000"/>
          </a:solidFill>
          <a:latin typeface="Times"/>
          <a:ea typeface="Times"/>
          <a:cs typeface="Times"/>
        </a:defRPr>
      </a:pPr>
      <a:endParaRPr lang="he-IL"/>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chart 5 - amzn effective tax rate yearly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cat>
            <c:numRef>
              <c:f>Equity!$O$109:$O$119</c:f>
              <c:numCache>
                <c:formatCode>m/d/yyyy</c:formatCode>
                <c:ptCount val="11"/>
                <c:pt idx="0">
                  <c:v>45291</c:v>
                </c:pt>
                <c:pt idx="1">
                  <c:v>44926</c:v>
                </c:pt>
                <c:pt idx="2">
                  <c:v>44561</c:v>
                </c:pt>
                <c:pt idx="3">
                  <c:v>44196</c:v>
                </c:pt>
                <c:pt idx="4">
                  <c:v>43830</c:v>
                </c:pt>
                <c:pt idx="5">
                  <c:v>43465</c:v>
                </c:pt>
                <c:pt idx="6">
                  <c:v>43100</c:v>
                </c:pt>
                <c:pt idx="7">
                  <c:v>42735</c:v>
                </c:pt>
                <c:pt idx="8">
                  <c:v>42369</c:v>
                </c:pt>
                <c:pt idx="9">
                  <c:v>42004</c:v>
                </c:pt>
                <c:pt idx="10">
                  <c:v>41639</c:v>
                </c:pt>
              </c:numCache>
            </c:numRef>
          </c:cat>
          <c:val>
            <c:numRef>
              <c:f>Equity!$P$109:$P$119</c:f>
              <c:numCache>
                <c:formatCode>0.00%</c:formatCode>
                <c:ptCount val="11"/>
                <c:pt idx="0">
                  <c:v>0.19</c:v>
                </c:pt>
                <c:pt idx="1">
                  <c:v>0.54200000000000004</c:v>
                </c:pt>
                <c:pt idx="2">
                  <c:v>0.126</c:v>
                </c:pt>
                <c:pt idx="3">
                  <c:v>0.11799999999999999</c:v>
                </c:pt>
                <c:pt idx="4">
                  <c:v>0.17</c:v>
                </c:pt>
                <c:pt idx="5">
                  <c:v>0.106</c:v>
                </c:pt>
                <c:pt idx="6">
                  <c:v>0.20200000000000001</c:v>
                </c:pt>
                <c:pt idx="7">
                  <c:v>0.375</c:v>
                </c:pt>
                <c:pt idx="8">
                  <c:v>0.61399999999999999</c:v>
                </c:pt>
                <c:pt idx="9">
                  <c:v>-2.2570000000000001</c:v>
                </c:pt>
                <c:pt idx="10">
                  <c:v>0.37</c:v>
                </c:pt>
              </c:numCache>
            </c:numRef>
          </c:val>
          <c:extLst>
            <c:ext xmlns:c16="http://schemas.microsoft.com/office/drawing/2014/chart" uri="{C3380CC4-5D6E-409C-BE32-E72D297353CC}">
              <c16:uniqueId val="{00000000-A83C-4F00-A8F2-A165E606D326}"/>
            </c:ext>
          </c:extLst>
        </c:ser>
        <c:dLbls>
          <c:showLegendKey val="0"/>
          <c:showVal val="0"/>
          <c:showCatName val="0"/>
          <c:showSerName val="0"/>
          <c:showPercent val="0"/>
          <c:showBubbleSize val="0"/>
        </c:dLbls>
        <c:gapWidth val="219"/>
        <c:overlap val="-27"/>
        <c:axId val="101125711"/>
        <c:axId val="101121871"/>
      </c:barChart>
      <c:dateAx>
        <c:axId val="10112571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01121871"/>
        <c:crosses val="autoZero"/>
        <c:auto val="1"/>
        <c:lblOffset val="100"/>
        <c:baseTimeUnit val="years"/>
      </c:dateAx>
      <c:valAx>
        <c:axId val="1011218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011257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of equity estimate 5 years - AMZN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manualLayout>
          <c:layoutTarget val="inner"/>
          <c:xMode val="edge"/>
          <c:yMode val="edge"/>
          <c:x val="0.12169967593768215"/>
          <c:y val="0.17302051924190875"/>
          <c:w val="0.84488098637043629"/>
          <c:h val="0.72174779584267079"/>
        </c:manualLayout>
      </c:layout>
      <c:barChart>
        <c:barDir val="col"/>
        <c:grouping val="clustered"/>
        <c:varyColors val="0"/>
        <c:ser>
          <c:idx val="0"/>
          <c:order val="0"/>
          <c:spPr>
            <a:solidFill>
              <a:schemeClr val="tx1"/>
            </a:solidFill>
            <a:ln>
              <a:noFill/>
            </a:ln>
            <a:effectLst/>
          </c:spPr>
          <c:invertIfNegative val="0"/>
          <c:dPt>
            <c:idx val="0"/>
            <c:invertIfNegative val="0"/>
            <c:bubble3D val="0"/>
            <c:spPr>
              <a:solidFill>
                <a:schemeClr val="tx1"/>
              </a:solidFill>
              <a:ln>
                <a:solidFill>
                  <a:schemeClr val="tx1"/>
                </a:solidFill>
              </a:ln>
              <a:effectLst/>
            </c:spPr>
            <c:extLst>
              <c:ext xmlns:c16="http://schemas.microsoft.com/office/drawing/2014/chart" uri="{C3380CC4-5D6E-409C-BE32-E72D297353CC}">
                <c16:uniqueId val="{00000003-AA21-4EDE-897A-1E05DE528284}"/>
              </c:ext>
            </c:extLst>
          </c:dPt>
          <c:dPt>
            <c:idx val="1"/>
            <c:invertIfNegative val="0"/>
            <c:bubble3D val="0"/>
            <c:spPr>
              <a:solidFill>
                <a:srgbClr val="FF0000"/>
              </a:solidFill>
              <a:ln>
                <a:noFill/>
              </a:ln>
              <a:effectLst/>
            </c:spPr>
            <c:extLst>
              <c:ext xmlns:c16="http://schemas.microsoft.com/office/drawing/2014/chart" uri="{C3380CC4-5D6E-409C-BE32-E72D297353CC}">
                <c16:uniqueId val="{00000004-AA21-4EDE-897A-1E05DE528284}"/>
              </c:ext>
            </c:extLst>
          </c:dPt>
          <c:dPt>
            <c:idx val="2"/>
            <c:invertIfNegative val="0"/>
            <c:bubble3D val="0"/>
            <c:spPr>
              <a:solidFill>
                <a:srgbClr val="00B050"/>
              </a:solidFill>
              <a:ln>
                <a:noFill/>
              </a:ln>
              <a:effectLst/>
            </c:spPr>
            <c:extLst>
              <c:ext xmlns:c16="http://schemas.microsoft.com/office/drawing/2014/chart" uri="{C3380CC4-5D6E-409C-BE32-E72D297353CC}">
                <c16:uniqueId val="{00000005-AA21-4EDE-897A-1E05DE528284}"/>
              </c:ext>
            </c:extLst>
          </c:dPt>
          <c:dPt>
            <c:idx val="3"/>
            <c:invertIfNegative val="0"/>
            <c:bubble3D val="0"/>
            <c:spPr>
              <a:solidFill>
                <a:srgbClr val="00B050"/>
              </a:solidFill>
              <a:ln>
                <a:noFill/>
              </a:ln>
              <a:effectLst/>
            </c:spPr>
            <c:extLst>
              <c:ext xmlns:c16="http://schemas.microsoft.com/office/drawing/2014/chart" uri="{C3380CC4-5D6E-409C-BE32-E72D297353CC}">
                <c16:uniqueId val="{00000006-AA21-4EDE-897A-1E05DE528284}"/>
              </c:ext>
            </c:extLst>
          </c:dPt>
          <c:dPt>
            <c:idx val="4"/>
            <c:invertIfNegative val="0"/>
            <c:bubble3D val="0"/>
            <c:spPr>
              <a:solidFill>
                <a:srgbClr val="00B050"/>
              </a:solidFill>
              <a:ln>
                <a:noFill/>
              </a:ln>
              <a:effectLst/>
            </c:spPr>
            <c:extLst>
              <c:ext xmlns:c16="http://schemas.microsoft.com/office/drawing/2014/chart" uri="{C3380CC4-5D6E-409C-BE32-E72D297353CC}">
                <c16:uniqueId val="{00000007-AA21-4EDE-897A-1E05DE5282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olid"/>
              </a:ln>
              <a:effectLst/>
            </c:spPr>
            <c:trendlineType val="log"/>
            <c:dispRSqr val="0"/>
            <c:dispEq val="0"/>
          </c:trendline>
          <c:cat>
            <c:numRef>
              <c:f>Equity!$J$158:$J$162</c:f>
              <c:numCache>
                <c:formatCode>General</c:formatCode>
                <c:ptCount val="5"/>
                <c:pt idx="0">
                  <c:v>2024</c:v>
                </c:pt>
                <c:pt idx="1">
                  <c:v>2025</c:v>
                </c:pt>
                <c:pt idx="2">
                  <c:v>2026</c:v>
                </c:pt>
                <c:pt idx="3">
                  <c:v>2027</c:v>
                </c:pt>
                <c:pt idx="4">
                  <c:v>2028</c:v>
                </c:pt>
              </c:numCache>
            </c:numRef>
          </c:cat>
          <c:val>
            <c:numRef>
              <c:f>Equity!$K$158:$K$162</c:f>
              <c:numCache>
                <c:formatCode>0.00%</c:formatCode>
                <c:ptCount val="5"/>
                <c:pt idx="0">
                  <c:v>0.10886026343999999</c:v>
                </c:pt>
                <c:pt idx="1">
                  <c:v>0.109204882</c:v>
                </c:pt>
                <c:pt idx="2">
                  <c:v>0.1048904448</c:v>
                </c:pt>
                <c:pt idx="3">
                  <c:v>0.10008046271999999</c:v>
                </c:pt>
                <c:pt idx="4">
                  <c:v>9.4648121599999996E-2</c:v>
                </c:pt>
              </c:numCache>
            </c:numRef>
          </c:val>
          <c:extLst>
            <c:ext xmlns:c16="http://schemas.microsoft.com/office/drawing/2014/chart" uri="{C3380CC4-5D6E-409C-BE32-E72D297353CC}">
              <c16:uniqueId val="{00000000-AA21-4EDE-897A-1E05DE528284}"/>
            </c:ext>
          </c:extLst>
        </c:ser>
        <c:dLbls>
          <c:dLblPos val="outEnd"/>
          <c:showLegendKey val="0"/>
          <c:showVal val="1"/>
          <c:showCatName val="0"/>
          <c:showSerName val="0"/>
          <c:showPercent val="0"/>
          <c:showBubbleSize val="0"/>
        </c:dLbls>
        <c:gapWidth val="219"/>
        <c:overlap val="-27"/>
        <c:axId val="75932735"/>
        <c:axId val="75934175"/>
      </c:barChart>
      <c:catAx>
        <c:axId val="75932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75934175"/>
        <c:crosses val="autoZero"/>
        <c:auto val="1"/>
        <c:lblAlgn val="ctr"/>
        <c:lblOffset val="100"/>
        <c:noMultiLvlLbl val="0"/>
      </c:catAx>
      <c:valAx>
        <c:axId val="759341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75932735"/>
        <c:crosses val="autoZero"/>
        <c:crossBetween val="between"/>
      </c:valAx>
      <c:spPr>
        <a:noFill/>
        <a:ln>
          <a:solidFill>
            <a:schemeClr val="accent1"/>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Equity!$O$180</c:f>
              <c:strCache>
                <c:ptCount val="1"/>
                <c:pt idx="0">
                  <c:v>shares outstanding annual</c:v>
                </c:pt>
              </c:strCache>
            </c:strRef>
          </c:tx>
          <c:spPr>
            <a:solidFill>
              <a:schemeClr val="accent1"/>
            </a:solidFill>
            <a:ln>
              <a:noFill/>
            </a:ln>
            <a:effectLst/>
          </c:spPr>
          <c:invertIfNegative val="0"/>
          <c:trendline>
            <c:spPr>
              <a:ln w="19050" cap="rnd">
                <a:solidFill>
                  <a:srgbClr val="00B050"/>
                </a:solidFill>
                <a:prstDash val="solid"/>
              </a:ln>
              <a:effectLst/>
            </c:spPr>
            <c:trendlineType val="linear"/>
            <c:dispRSqr val="0"/>
            <c:dispEq val="1"/>
            <c:trendlineLbl>
              <c:layout>
                <c:manualLayout>
                  <c:x val="0.35380224912552033"/>
                  <c:y val="-0.38515848037156647"/>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a:p>
                    <a:pPr>
                      <a:defRPr/>
                    </a:pPr>
                    <a:endParaRPr lang="he-IL"/>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trendlineLbl>
          </c:trendline>
          <c:cat>
            <c:numRef>
              <c:f>Equity!$N$181:$N$195</c:f>
              <c:numCache>
                <c:formatCode>General</c:formatCode>
                <c:ptCount val="15"/>
                <c:pt idx="0">
                  <c:v>2023</c:v>
                </c:pt>
                <c:pt idx="1">
                  <c:v>2022</c:v>
                </c:pt>
                <c:pt idx="2">
                  <c:v>2021</c:v>
                </c:pt>
                <c:pt idx="3">
                  <c:v>2020</c:v>
                </c:pt>
                <c:pt idx="4">
                  <c:v>2019</c:v>
                </c:pt>
                <c:pt idx="5">
                  <c:v>2018</c:v>
                </c:pt>
                <c:pt idx="6">
                  <c:v>2017</c:v>
                </c:pt>
                <c:pt idx="7">
                  <c:v>2016</c:v>
                </c:pt>
                <c:pt idx="8">
                  <c:v>2015</c:v>
                </c:pt>
                <c:pt idx="9">
                  <c:v>2014</c:v>
                </c:pt>
                <c:pt idx="10">
                  <c:v>2013</c:v>
                </c:pt>
                <c:pt idx="11">
                  <c:v>2012</c:v>
                </c:pt>
                <c:pt idx="12">
                  <c:v>2011</c:v>
                </c:pt>
                <c:pt idx="13">
                  <c:v>2010</c:v>
                </c:pt>
                <c:pt idx="14">
                  <c:v>2009</c:v>
                </c:pt>
              </c:numCache>
            </c:numRef>
          </c:cat>
          <c:val>
            <c:numRef>
              <c:f>Equity!$O$181:$O$195</c:f>
              <c:numCache>
                <c:formatCode>#,##0</c:formatCode>
                <c:ptCount val="15"/>
                <c:pt idx="0">
                  <c:v>10492</c:v>
                </c:pt>
                <c:pt idx="1">
                  <c:v>10189</c:v>
                </c:pt>
                <c:pt idx="2">
                  <c:v>10296</c:v>
                </c:pt>
                <c:pt idx="3">
                  <c:v>10198</c:v>
                </c:pt>
                <c:pt idx="4">
                  <c:v>10080</c:v>
                </c:pt>
                <c:pt idx="5">
                  <c:v>10000</c:v>
                </c:pt>
                <c:pt idx="6">
                  <c:v>9860</c:v>
                </c:pt>
                <c:pt idx="7">
                  <c:v>9680</c:v>
                </c:pt>
                <c:pt idx="8">
                  <c:v>9540</c:v>
                </c:pt>
                <c:pt idx="9">
                  <c:v>9240</c:v>
                </c:pt>
                <c:pt idx="10">
                  <c:v>9300</c:v>
                </c:pt>
                <c:pt idx="11">
                  <c:v>9060</c:v>
                </c:pt>
                <c:pt idx="12">
                  <c:v>9220</c:v>
                </c:pt>
                <c:pt idx="13">
                  <c:v>9120</c:v>
                </c:pt>
                <c:pt idx="14">
                  <c:v>8840</c:v>
                </c:pt>
              </c:numCache>
            </c:numRef>
          </c:val>
          <c:extLst>
            <c:ext xmlns:c16="http://schemas.microsoft.com/office/drawing/2014/chart" uri="{C3380CC4-5D6E-409C-BE32-E72D297353CC}">
              <c16:uniqueId val="{00000000-4D8D-4A2F-BA71-899F21AA1AC4}"/>
            </c:ext>
          </c:extLst>
        </c:ser>
        <c:dLbls>
          <c:showLegendKey val="0"/>
          <c:showVal val="0"/>
          <c:showCatName val="0"/>
          <c:showSerName val="0"/>
          <c:showPercent val="0"/>
          <c:showBubbleSize val="0"/>
        </c:dLbls>
        <c:gapWidth val="219"/>
        <c:overlap val="-27"/>
        <c:axId val="854057599"/>
        <c:axId val="854055679"/>
      </c:barChart>
      <c:catAx>
        <c:axId val="85405759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854055679"/>
        <c:crosses val="autoZero"/>
        <c:auto val="1"/>
        <c:lblAlgn val="ctr"/>
        <c:lblOffset val="100"/>
        <c:noMultiLvlLbl val="0"/>
      </c:catAx>
      <c:valAx>
        <c:axId val="854055679"/>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8540575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000843953076194E-2"/>
          <c:y val="4.2314596333070276E-2"/>
          <c:w val="0.88672147669905166"/>
          <c:h val="0.88111062355342518"/>
        </c:manualLayout>
      </c:layout>
      <c:barChart>
        <c:barDir val="col"/>
        <c:grouping val="clustered"/>
        <c:varyColors val="0"/>
        <c:ser>
          <c:idx val="0"/>
          <c:order val="0"/>
          <c:spPr>
            <a:solidFill>
              <a:schemeClr val="accent1"/>
            </a:solidFill>
            <a:ln>
              <a:noFill/>
            </a:ln>
            <a:effectLst/>
          </c:spPr>
          <c:invertIfNegative val="0"/>
          <c:trendline>
            <c:spPr>
              <a:ln w="19050" cap="rnd">
                <a:solidFill>
                  <a:schemeClr val="accent1"/>
                </a:solidFill>
                <a:prstDash val="solid"/>
              </a:ln>
              <a:effectLst/>
            </c:spPr>
            <c:trendlineType val="linear"/>
            <c:dispRSqr val="1"/>
            <c:dispEq val="1"/>
            <c:trendlineLbl>
              <c:layout>
                <c:manualLayout>
                  <c:x val="-0.49245806400831826"/>
                  <c:y val="-3.214719196063559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trendlineLbl>
          </c:trendline>
          <c:cat>
            <c:numRef>
              <c:f>Equity!$N$213:$N$227</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Equity!$O$213:$O$227</c:f>
              <c:numCache>
                <c:formatCode>#,##0</c:formatCode>
                <c:ptCount val="15"/>
                <c:pt idx="0">
                  <c:v>8840</c:v>
                </c:pt>
                <c:pt idx="1">
                  <c:v>9120</c:v>
                </c:pt>
                <c:pt idx="2">
                  <c:v>9220</c:v>
                </c:pt>
                <c:pt idx="3">
                  <c:v>9060</c:v>
                </c:pt>
                <c:pt idx="4">
                  <c:v>9300</c:v>
                </c:pt>
                <c:pt idx="5">
                  <c:v>9240</c:v>
                </c:pt>
                <c:pt idx="6">
                  <c:v>9540</c:v>
                </c:pt>
                <c:pt idx="7">
                  <c:v>9680</c:v>
                </c:pt>
                <c:pt idx="8">
                  <c:v>9860</c:v>
                </c:pt>
                <c:pt idx="9">
                  <c:v>10000</c:v>
                </c:pt>
                <c:pt idx="10">
                  <c:v>10080</c:v>
                </c:pt>
                <c:pt idx="11">
                  <c:v>10198</c:v>
                </c:pt>
                <c:pt idx="12">
                  <c:v>10296</c:v>
                </c:pt>
                <c:pt idx="13">
                  <c:v>10189</c:v>
                </c:pt>
                <c:pt idx="14">
                  <c:v>10492</c:v>
                </c:pt>
              </c:numCache>
            </c:numRef>
          </c:val>
          <c:extLst>
            <c:ext xmlns:c16="http://schemas.microsoft.com/office/drawing/2014/chart" uri="{C3380CC4-5D6E-409C-BE32-E72D297353CC}">
              <c16:uniqueId val="{00000000-F95D-4966-AD04-ACC57AEC2E18}"/>
            </c:ext>
          </c:extLst>
        </c:ser>
        <c:dLbls>
          <c:showLegendKey val="0"/>
          <c:showVal val="0"/>
          <c:showCatName val="0"/>
          <c:showSerName val="0"/>
          <c:showPercent val="0"/>
          <c:showBubbleSize val="0"/>
        </c:dLbls>
        <c:gapWidth val="219"/>
        <c:overlap val="-27"/>
        <c:axId val="914964399"/>
        <c:axId val="914934639"/>
      </c:barChart>
      <c:catAx>
        <c:axId val="914964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914934639"/>
        <c:crosses val="autoZero"/>
        <c:auto val="1"/>
        <c:lblAlgn val="ctr"/>
        <c:lblOffset val="100"/>
        <c:noMultiLvlLbl val="0"/>
      </c:catAx>
      <c:valAx>
        <c:axId val="9149346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9149643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of debt AMZN 5 years estimate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Debt!$J$86</c:f>
              <c:strCache>
                <c:ptCount val="1"/>
                <c:pt idx="0">
                  <c:v>cost of debt</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00B050"/>
                </a:solidFill>
                <a:prstDash val="solid"/>
              </a:ln>
              <a:effectLst/>
            </c:spPr>
            <c:trendlineType val="log"/>
            <c:dispRSqr val="0"/>
            <c:dispEq val="0"/>
          </c:trendline>
          <c:cat>
            <c:numRef>
              <c:f>Debt!$I$87:$I$91</c:f>
              <c:numCache>
                <c:formatCode>General</c:formatCode>
                <c:ptCount val="5"/>
                <c:pt idx="0">
                  <c:v>1</c:v>
                </c:pt>
                <c:pt idx="1">
                  <c:v>2</c:v>
                </c:pt>
                <c:pt idx="2">
                  <c:v>3</c:v>
                </c:pt>
                <c:pt idx="3">
                  <c:v>4</c:v>
                </c:pt>
                <c:pt idx="4">
                  <c:v>5</c:v>
                </c:pt>
              </c:numCache>
            </c:numRef>
          </c:cat>
          <c:val>
            <c:numRef>
              <c:f>Debt!$J$87:$J$91</c:f>
              <c:numCache>
                <c:formatCode>0.000%</c:formatCode>
                <c:ptCount val="5"/>
                <c:pt idx="0">
                  <c:v>5.722E-2</c:v>
                </c:pt>
                <c:pt idx="1">
                  <c:v>5.6610000000000001E-2</c:v>
                </c:pt>
                <c:pt idx="2">
                  <c:v>5.2999999999999999E-2</c:v>
                </c:pt>
                <c:pt idx="3">
                  <c:v>5.2429999999999997E-2</c:v>
                </c:pt>
                <c:pt idx="4">
                  <c:v>4.9200000000000001E-2</c:v>
                </c:pt>
              </c:numCache>
            </c:numRef>
          </c:val>
          <c:extLst>
            <c:ext xmlns:c16="http://schemas.microsoft.com/office/drawing/2014/chart" uri="{C3380CC4-5D6E-409C-BE32-E72D297353CC}">
              <c16:uniqueId val="{00000000-3A23-4157-858E-87E3E88B0D29}"/>
            </c:ext>
          </c:extLst>
        </c:ser>
        <c:dLbls>
          <c:showLegendKey val="0"/>
          <c:showVal val="0"/>
          <c:showCatName val="0"/>
          <c:showSerName val="0"/>
          <c:showPercent val="0"/>
          <c:showBubbleSize val="0"/>
        </c:dLbls>
        <c:gapWidth val="219"/>
        <c:overlap val="-27"/>
        <c:axId val="318001408"/>
        <c:axId val="318001888"/>
      </c:barChart>
      <c:catAx>
        <c:axId val="318001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318001888"/>
        <c:crosses val="autoZero"/>
        <c:auto val="1"/>
        <c:lblAlgn val="ctr"/>
        <c:lblOffset val="100"/>
        <c:noMultiLvlLbl val="0"/>
      </c:catAx>
      <c:valAx>
        <c:axId val="31800188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3180014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of equity estimate 5 years - AMZN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manualLayout>
          <c:layoutTarget val="inner"/>
          <c:xMode val="edge"/>
          <c:yMode val="edge"/>
          <c:x val="0.12169967593768215"/>
          <c:y val="0.17302051924190875"/>
          <c:w val="0.84488098637043629"/>
          <c:h val="0.72174779584267079"/>
        </c:manualLayout>
      </c:layout>
      <c:barChart>
        <c:barDir val="col"/>
        <c:grouping val="clustered"/>
        <c:varyColors val="0"/>
        <c:ser>
          <c:idx val="0"/>
          <c:order val="0"/>
          <c:spPr>
            <a:solidFill>
              <a:schemeClr val="tx1"/>
            </a:solidFill>
            <a:ln>
              <a:noFill/>
            </a:ln>
            <a:effectLst/>
          </c:spPr>
          <c:invertIfNegative val="0"/>
          <c:dPt>
            <c:idx val="0"/>
            <c:invertIfNegative val="0"/>
            <c:bubble3D val="0"/>
            <c:spPr>
              <a:solidFill>
                <a:schemeClr val="tx1"/>
              </a:solidFill>
              <a:ln>
                <a:solidFill>
                  <a:schemeClr val="tx1"/>
                </a:solidFill>
              </a:ln>
              <a:effectLst/>
            </c:spPr>
            <c:extLst>
              <c:ext xmlns:c16="http://schemas.microsoft.com/office/drawing/2014/chart" uri="{C3380CC4-5D6E-409C-BE32-E72D297353CC}">
                <c16:uniqueId val="{00000001-4DB2-42EA-83DF-1A513D1BB1E0}"/>
              </c:ext>
            </c:extLst>
          </c:dPt>
          <c:dPt>
            <c:idx val="1"/>
            <c:invertIfNegative val="0"/>
            <c:bubble3D val="0"/>
            <c:spPr>
              <a:solidFill>
                <a:srgbClr val="FF0000"/>
              </a:solidFill>
              <a:ln>
                <a:noFill/>
              </a:ln>
              <a:effectLst/>
            </c:spPr>
            <c:extLst>
              <c:ext xmlns:c16="http://schemas.microsoft.com/office/drawing/2014/chart" uri="{C3380CC4-5D6E-409C-BE32-E72D297353CC}">
                <c16:uniqueId val="{00000003-4DB2-42EA-83DF-1A513D1BB1E0}"/>
              </c:ext>
            </c:extLst>
          </c:dPt>
          <c:dPt>
            <c:idx val="2"/>
            <c:invertIfNegative val="0"/>
            <c:bubble3D val="0"/>
            <c:spPr>
              <a:solidFill>
                <a:srgbClr val="00B050"/>
              </a:solidFill>
              <a:ln>
                <a:noFill/>
              </a:ln>
              <a:effectLst/>
            </c:spPr>
            <c:extLst>
              <c:ext xmlns:c16="http://schemas.microsoft.com/office/drawing/2014/chart" uri="{C3380CC4-5D6E-409C-BE32-E72D297353CC}">
                <c16:uniqueId val="{00000005-4DB2-42EA-83DF-1A513D1BB1E0}"/>
              </c:ext>
            </c:extLst>
          </c:dPt>
          <c:dPt>
            <c:idx val="3"/>
            <c:invertIfNegative val="0"/>
            <c:bubble3D val="0"/>
            <c:spPr>
              <a:solidFill>
                <a:srgbClr val="00B050"/>
              </a:solidFill>
              <a:ln>
                <a:noFill/>
              </a:ln>
              <a:effectLst/>
            </c:spPr>
            <c:extLst>
              <c:ext xmlns:c16="http://schemas.microsoft.com/office/drawing/2014/chart" uri="{C3380CC4-5D6E-409C-BE32-E72D297353CC}">
                <c16:uniqueId val="{00000007-4DB2-42EA-83DF-1A513D1BB1E0}"/>
              </c:ext>
            </c:extLst>
          </c:dPt>
          <c:dPt>
            <c:idx val="4"/>
            <c:invertIfNegative val="0"/>
            <c:bubble3D val="0"/>
            <c:spPr>
              <a:solidFill>
                <a:srgbClr val="00B050"/>
              </a:solidFill>
              <a:ln>
                <a:noFill/>
              </a:ln>
              <a:effectLst/>
            </c:spPr>
            <c:extLst>
              <c:ext xmlns:c16="http://schemas.microsoft.com/office/drawing/2014/chart" uri="{C3380CC4-5D6E-409C-BE32-E72D297353CC}">
                <c16:uniqueId val="{00000009-4DB2-42EA-83DF-1A513D1BB1E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olid"/>
              </a:ln>
              <a:effectLst/>
            </c:spPr>
            <c:trendlineType val="log"/>
            <c:dispRSqr val="0"/>
            <c:dispEq val="0"/>
          </c:trendline>
          <c:cat>
            <c:numRef>
              <c:f>Equity!$J$158:$J$162</c:f>
              <c:numCache>
                <c:formatCode>General</c:formatCode>
                <c:ptCount val="5"/>
                <c:pt idx="0">
                  <c:v>2024</c:v>
                </c:pt>
                <c:pt idx="1">
                  <c:v>2025</c:v>
                </c:pt>
                <c:pt idx="2">
                  <c:v>2026</c:v>
                </c:pt>
                <c:pt idx="3">
                  <c:v>2027</c:v>
                </c:pt>
                <c:pt idx="4">
                  <c:v>2028</c:v>
                </c:pt>
              </c:numCache>
            </c:numRef>
          </c:cat>
          <c:val>
            <c:numRef>
              <c:f>Equity!$K$158:$K$162</c:f>
              <c:numCache>
                <c:formatCode>0.00%</c:formatCode>
                <c:ptCount val="5"/>
                <c:pt idx="0">
                  <c:v>0.10886026343999999</c:v>
                </c:pt>
                <c:pt idx="1">
                  <c:v>0.109204882</c:v>
                </c:pt>
                <c:pt idx="2">
                  <c:v>0.1048904448</c:v>
                </c:pt>
                <c:pt idx="3">
                  <c:v>0.10008046271999999</c:v>
                </c:pt>
                <c:pt idx="4">
                  <c:v>9.4648121599999996E-2</c:v>
                </c:pt>
              </c:numCache>
            </c:numRef>
          </c:val>
          <c:extLst>
            <c:ext xmlns:c16="http://schemas.microsoft.com/office/drawing/2014/chart" uri="{C3380CC4-5D6E-409C-BE32-E72D297353CC}">
              <c16:uniqueId val="{0000000B-4DB2-42EA-83DF-1A513D1BB1E0}"/>
            </c:ext>
          </c:extLst>
        </c:ser>
        <c:dLbls>
          <c:dLblPos val="outEnd"/>
          <c:showLegendKey val="0"/>
          <c:showVal val="1"/>
          <c:showCatName val="0"/>
          <c:showSerName val="0"/>
          <c:showPercent val="0"/>
          <c:showBubbleSize val="0"/>
        </c:dLbls>
        <c:gapWidth val="219"/>
        <c:overlap val="-27"/>
        <c:axId val="75932735"/>
        <c:axId val="75934175"/>
      </c:barChart>
      <c:catAx>
        <c:axId val="75932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75934175"/>
        <c:crosses val="autoZero"/>
        <c:auto val="1"/>
        <c:lblAlgn val="ctr"/>
        <c:lblOffset val="100"/>
        <c:noMultiLvlLbl val="0"/>
      </c:catAx>
      <c:valAx>
        <c:axId val="759341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75932735"/>
        <c:crosses val="autoZero"/>
        <c:crossBetween val="between"/>
      </c:valAx>
      <c:spPr>
        <a:noFill/>
        <a:ln>
          <a:solidFill>
            <a:schemeClr val="accent1"/>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of debt AMZN 5 years estimate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Debt!$J$86</c:f>
              <c:strCache>
                <c:ptCount val="1"/>
                <c:pt idx="0">
                  <c:v>cost of debt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00B050"/>
                </a:solidFill>
                <a:prstDash val="solid"/>
              </a:ln>
              <a:effectLst/>
            </c:spPr>
            <c:trendlineType val="log"/>
            <c:dispRSqr val="0"/>
            <c:dispEq val="0"/>
          </c:trendline>
          <c:cat>
            <c:numRef>
              <c:f>Debt!$I$87:$I$91</c:f>
              <c:numCache>
                <c:formatCode>General</c:formatCode>
                <c:ptCount val="5"/>
                <c:pt idx="0">
                  <c:v>1</c:v>
                </c:pt>
                <c:pt idx="1">
                  <c:v>2</c:v>
                </c:pt>
                <c:pt idx="2">
                  <c:v>3</c:v>
                </c:pt>
                <c:pt idx="3">
                  <c:v>4</c:v>
                </c:pt>
                <c:pt idx="4">
                  <c:v>5</c:v>
                </c:pt>
              </c:numCache>
            </c:numRef>
          </c:cat>
          <c:val>
            <c:numRef>
              <c:f>Debt!$J$87:$J$91</c:f>
              <c:numCache>
                <c:formatCode>0.000%</c:formatCode>
                <c:ptCount val="5"/>
                <c:pt idx="0">
                  <c:v>5.722E-2</c:v>
                </c:pt>
                <c:pt idx="1">
                  <c:v>5.6610000000000001E-2</c:v>
                </c:pt>
                <c:pt idx="2">
                  <c:v>5.2999999999999999E-2</c:v>
                </c:pt>
                <c:pt idx="3">
                  <c:v>5.2429999999999997E-2</c:v>
                </c:pt>
                <c:pt idx="4">
                  <c:v>4.9200000000000001E-2</c:v>
                </c:pt>
              </c:numCache>
            </c:numRef>
          </c:val>
          <c:extLst>
            <c:ext xmlns:c16="http://schemas.microsoft.com/office/drawing/2014/chart" uri="{C3380CC4-5D6E-409C-BE32-E72D297353CC}">
              <c16:uniqueId val="{00000001-1AB7-4C43-B422-88BF4CC9841F}"/>
            </c:ext>
          </c:extLst>
        </c:ser>
        <c:dLbls>
          <c:showLegendKey val="0"/>
          <c:showVal val="0"/>
          <c:showCatName val="0"/>
          <c:showSerName val="0"/>
          <c:showPercent val="0"/>
          <c:showBubbleSize val="0"/>
        </c:dLbls>
        <c:gapWidth val="219"/>
        <c:overlap val="-27"/>
        <c:axId val="318001408"/>
        <c:axId val="318001888"/>
      </c:barChart>
      <c:catAx>
        <c:axId val="318001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318001888"/>
        <c:crosses val="autoZero"/>
        <c:auto val="1"/>
        <c:lblAlgn val="ctr"/>
        <c:lblOffset val="100"/>
        <c:noMultiLvlLbl val="0"/>
      </c:catAx>
      <c:valAx>
        <c:axId val="31800188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3180014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WACC!$E$40</c:f>
              <c:strCache>
                <c:ptCount val="1"/>
                <c:pt idx="0">
                  <c:v>WACC</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e-I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92D050"/>
                </a:solidFill>
                <a:prstDash val="solid"/>
              </a:ln>
              <a:effectLst/>
            </c:spPr>
            <c:trendlineType val="linear"/>
            <c:dispRSqr val="0"/>
            <c:dispEq val="0"/>
          </c:trendline>
          <c:cat>
            <c:numRef>
              <c:f>WACC!$D$41:$D$45</c:f>
              <c:numCache>
                <c:formatCode>General</c:formatCode>
                <c:ptCount val="5"/>
                <c:pt idx="0">
                  <c:v>1</c:v>
                </c:pt>
                <c:pt idx="1">
                  <c:v>2</c:v>
                </c:pt>
                <c:pt idx="2">
                  <c:v>3</c:v>
                </c:pt>
                <c:pt idx="3">
                  <c:v>4</c:v>
                </c:pt>
                <c:pt idx="4">
                  <c:v>5</c:v>
                </c:pt>
              </c:numCache>
            </c:numRef>
          </c:cat>
          <c:val>
            <c:numRef>
              <c:f>WACC!$E$41:$E$45</c:f>
              <c:numCache>
                <c:formatCode>0.0000000%</c:formatCode>
                <c:ptCount val="5"/>
                <c:pt idx="0">
                  <c:v>0.10455081648322602</c:v>
                </c:pt>
                <c:pt idx="1">
                  <c:v>0.10498938058777225</c:v>
                </c:pt>
                <c:pt idx="2">
                  <c:v>0.10080201476295884</c:v>
                </c:pt>
                <c:pt idx="3">
                  <c:v>9.6324186332645126E-2</c:v>
                </c:pt>
                <c:pt idx="4">
                  <c:v>9.1108330970312901E-2</c:v>
                </c:pt>
              </c:numCache>
            </c:numRef>
          </c:val>
          <c:extLst>
            <c:ext xmlns:c16="http://schemas.microsoft.com/office/drawing/2014/chart" uri="{C3380CC4-5D6E-409C-BE32-E72D297353CC}">
              <c16:uniqueId val="{00000000-E9A2-4215-8E57-0DA7C3B70753}"/>
            </c:ext>
          </c:extLst>
        </c:ser>
        <c:dLbls>
          <c:showLegendKey val="0"/>
          <c:showVal val="0"/>
          <c:showCatName val="0"/>
          <c:showSerName val="0"/>
          <c:showPercent val="0"/>
          <c:showBubbleSize val="0"/>
        </c:dLbls>
        <c:gapWidth val="219"/>
        <c:overlap val="-27"/>
        <c:axId val="914937519"/>
        <c:axId val="914949039"/>
      </c:barChart>
      <c:catAx>
        <c:axId val="914937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914949039"/>
        <c:crosses val="autoZero"/>
        <c:auto val="1"/>
        <c:lblAlgn val="ctr"/>
        <c:lblOffset val="100"/>
        <c:noMultiLvlLbl val="0"/>
      </c:catAx>
      <c:valAx>
        <c:axId val="914949039"/>
        <c:scaling>
          <c:orientation val="minMax"/>
        </c:scaling>
        <c:delete val="0"/>
        <c:axPos val="l"/>
        <c:majorGridlines>
          <c:spPr>
            <a:ln w="9525" cap="flat" cmpd="sng" algn="ctr">
              <a:solidFill>
                <a:schemeClr val="tx1">
                  <a:lumMod val="15000"/>
                  <a:lumOff val="85000"/>
                </a:schemeClr>
              </a:solidFill>
              <a:round/>
            </a:ln>
            <a:effectLst/>
          </c:spPr>
        </c:majorGridlines>
        <c:numFmt formatCode="0.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9149375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Market Value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WACC!$J$41</c:f>
              <c:strCache>
                <c:ptCount val="1"/>
                <c:pt idx="0">
                  <c:v>market value of equity</c:v>
                </c:pt>
              </c:strCache>
            </c:strRef>
          </c:tx>
          <c:spPr>
            <a:solidFill>
              <a:schemeClr val="accent1"/>
            </a:solidFill>
            <a:ln>
              <a:noFill/>
            </a:ln>
            <a:effectLst/>
          </c:spPr>
          <c:invertIfNegative val="0"/>
          <c:cat>
            <c:numRef>
              <c:f>WACC!$I$42:$I$46</c:f>
              <c:numCache>
                <c:formatCode>General</c:formatCode>
                <c:ptCount val="5"/>
                <c:pt idx="0">
                  <c:v>1</c:v>
                </c:pt>
                <c:pt idx="1">
                  <c:v>2</c:v>
                </c:pt>
                <c:pt idx="2">
                  <c:v>3</c:v>
                </c:pt>
                <c:pt idx="3">
                  <c:v>4</c:v>
                </c:pt>
                <c:pt idx="4">
                  <c:v>5</c:v>
                </c:pt>
              </c:numCache>
            </c:numRef>
          </c:cat>
          <c:val>
            <c:numRef>
              <c:f>WACC!$J$42:$J$46</c:f>
              <c:numCache>
                <c:formatCode>_-[$$-409]* #,##0.00_ ;_-[$$-409]* \-#,##0.00\ ;_-[$$-409]* "-"??_ ;_-@_ </c:formatCode>
                <c:ptCount val="5"/>
                <c:pt idx="0">
                  <c:v>1985640.8542857144</c:v>
                </c:pt>
                <c:pt idx="1">
                  <c:v>2007127.4014285714</c:v>
                </c:pt>
                <c:pt idx="2">
                  <c:v>2028613.9485714284</c:v>
                </c:pt>
                <c:pt idx="3">
                  <c:v>2050100.4957142854</c:v>
                </c:pt>
                <c:pt idx="4">
                  <c:v>2071587.0428571426</c:v>
                </c:pt>
              </c:numCache>
            </c:numRef>
          </c:val>
          <c:extLst>
            <c:ext xmlns:c16="http://schemas.microsoft.com/office/drawing/2014/chart" uri="{C3380CC4-5D6E-409C-BE32-E72D297353CC}">
              <c16:uniqueId val="{00000000-93CD-46E4-8001-D3319D5EA06F}"/>
            </c:ext>
          </c:extLst>
        </c:ser>
        <c:ser>
          <c:idx val="1"/>
          <c:order val="1"/>
          <c:tx>
            <c:strRef>
              <c:f>WACC!$K$41</c:f>
              <c:strCache>
                <c:ptCount val="1"/>
                <c:pt idx="0">
                  <c:v>market value of debt</c:v>
                </c:pt>
              </c:strCache>
            </c:strRef>
          </c:tx>
          <c:spPr>
            <a:solidFill>
              <a:schemeClr val="accent2"/>
            </a:solidFill>
            <a:ln>
              <a:noFill/>
            </a:ln>
            <a:effectLst/>
          </c:spPr>
          <c:invertIfNegative val="0"/>
          <c:cat>
            <c:numRef>
              <c:f>WACC!$I$42:$I$46</c:f>
              <c:numCache>
                <c:formatCode>General</c:formatCode>
                <c:ptCount val="5"/>
                <c:pt idx="0">
                  <c:v>1</c:v>
                </c:pt>
                <c:pt idx="1">
                  <c:v>2</c:v>
                </c:pt>
                <c:pt idx="2">
                  <c:v>3</c:v>
                </c:pt>
                <c:pt idx="3">
                  <c:v>4</c:v>
                </c:pt>
                <c:pt idx="4">
                  <c:v>5</c:v>
                </c:pt>
              </c:numCache>
            </c:numRef>
          </c:cat>
          <c:val>
            <c:numRef>
              <c:f>WACC!$K$42:$K$46</c:f>
              <c:numCache>
                <c:formatCode>_-[$$-409]* #,##0.00_ ;_-[$$-409]* \-#,##0.00\ ;_-[$$-409]* "-"??_ ;_-@_ </c:formatCode>
                <c:ptCount val="5"/>
                <c:pt idx="0">
                  <c:v>148480.86234529049</c:v>
                </c:pt>
                <c:pt idx="1">
                  <c:v>148480.86234529049</c:v>
                </c:pt>
                <c:pt idx="2">
                  <c:v>148480.86234529049</c:v>
                </c:pt>
                <c:pt idx="3">
                  <c:v>148480.86234529049</c:v>
                </c:pt>
                <c:pt idx="4">
                  <c:v>148480.86234529049</c:v>
                </c:pt>
              </c:numCache>
            </c:numRef>
          </c:val>
          <c:extLst>
            <c:ext xmlns:c16="http://schemas.microsoft.com/office/drawing/2014/chart" uri="{C3380CC4-5D6E-409C-BE32-E72D297353CC}">
              <c16:uniqueId val="{00000001-93CD-46E4-8001-D3319D5EA06F}"/>
            </c:ext>
          </c:extLst>
        </c:ser>
        <c:dLbls>
          <c:showLegendKey val="0"/>
          <c:showVal val="0"/>
          <c:showCatName val="0"/>
          <c:showSerName val="0"/>
          <c:showPercent val="0"/>
          <c:showBubbleSize val="0"/>
        </c:dLbls>
        <c:gapWidth val="219"/>
        <c:overlap val="-27"/>
        <c:axId val="650876127"/>
        <c:axId val="650867007"/>
      </c:barChart>
      <c:catAx>
        <c:axId val="65087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650867007"/>
        <c:crosses val="autoZero"/>
        <c:auto val="1"/>
        <c:lblAlgn val="ctr"/>
        <c:lblOffset val="100"/>
        <c:noMultiLvlLbl val="0"/>
      </c:catAx>
      <c:valAx>
        <c:axId val="650867007"/>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650876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he-IL"/>
        </a:p>
      </c:txPr>
    </c:title>
    <c:autoTitleDeleted val="0"/>
    <c:plotArea>
      <c:layout>
        <c:manualLayout>
          <c:layoutTarget val="inner"/>
          <c:xMode val="edge"/>
          <c:yMode val="edge"/>
          <c:x val="9.4080927384076987E-2"/>
          <c:y val="0.15986111111111112"/>
          <c:w val="0.87258573928258965"/>
          <c:h val="0.60370625546806644"/>
        </c:manualLayout>
      </c:layout>
      <c:barChart>
        <c:barDir val="col"/>
        <c:grouping val="clustered"/>
        <c:varyColors val="0"/>
        <c:ser>
          <c:idx val="0"/>
          <c:order val="0"/>
          <c:tx>
            <c:strRef>
              <c:f>'DCF by regression '!$Y$11</c:f>
              <c:strCache>
                <c:ptCount val="1"/>
                <c:pt idx="0">
                  <c:v>revenue by year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trendline>
            <c:spPr>
              <a:ln w="19050" cap="rnd">
                <a:solidFill>
                  <a:schemeClr val="accent1"/>
                </a:solidFill>
                <a:prstDash val="sysDash"/>
              </a:ln>
              <a:effectLst/>
            </c:spPr>
            <c:trendlineType val="linear"/>
            <c:dispRSqr val="1"/>
            <c:dispEq val="1"/>
            <c:trendlineLbl>
              <c:layout>
                <c:manualLayout>
                  <c:x val="-0.65953871391076113"/>
                  <c:y val="-3.023148148148148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he-IL"/>
                </a:p>
              </c:txPr>
            </c:trendlineLbl>
          </c:trendline>
          <c:cat>
            <c:strRef>
              <c:f>'DCF by regression '!$X$12:$X$26</c:f>
              <c:strCache>
                <c:ptCount val="15"/>
                <c:pt idx="0">
                  <c:v>$24,509</c:v>
                </c:pt>
                <c:pt idx="1">
                  <c:v>$34,204</c:v>
                </c:pt>
                <c:pt idx="2">
                  <c:v>$48,077</c:v>
                </c:pt>
                <c:pt idx="3">
                  <c:v>$61,093</c:v>
                </c:pt>
                <c:pt idx="4">
                  <c:v>$74,452</c:v>
                </c:pt>
                <c:pt idx="5">
                  <c:v>$88,988</c:v>
                </c:pt>
                <c:pt idx="6">
                  <c:v>$107,006</c:v>
                </c:pt>
                <c:pt idx="7">
                  <c:v>$135,987</c:v>
                </c:pt>
                <c:pt idx="8">
                  <c:v>$177,866</c:v>
                </c:pt>
                <c:pt idx="9">
                  <c:v>$232,887</c:v>
                </c:pt>
                <c:pt idx="10">
                  <c:v>$280,522</c:v>
                </c:pt>
                <c:pt idx="11">
                  <c:v>$386,064</c:v>
                </c:pt>
                <c:pt idx="12">
                  <c:v>$469,822</c:v>
                </c:pt>
                <c:pt idx="13">
                  <c:v>$513,983</c:v>
                </c:pt>
                <c:pt idx="14">
                  <c:v>$574,785</c:v>
                </c:pt>
              </c:strCache>
            </c:strRef>
          </c:cat>
          <c:val>
            <c:numRef>
              <c:f>'DCF by regression '!$Y$12:$Y$26</c:f>
              <c:numCache>
                <c:formatCode>General</c:formatCod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val>
          <c:extLst>
            <c:ext xmlns:c16="http://schemas.microsoft.com/office/drawing/2014/chart" uri="{C3380CC4-5D6E-409C-BE32-E72D297353CC}">
              <c16:uniqueId val="{00000000-DB34-478C-B39E-FBE8C5BD2DD0}"/>
            </c:ext>
          </c:extLst>
        </c:ser>
        <c:dLbls>
          <c:showLegendKey val="0"/>
          <c:showVal val="0"/>
          <c:showCatName val="0"/>
          <c:showSerName val="0"/>
          <c:showPercent val="0"/>
          <c:showBubbleSize val="0"/>
        </c:dLbls>
        <c:gapWidth val="100"/>
        <c:overlap val="-24"/>
        <c:axId val="1648614319"/>
        <c:axId val="1648607119"/>
      </c:barChart>
      <c:catAx>
        <c:axId val="164861431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he-IL"/>
          </a:p>
        </c:txPr>
        <c:crossAx val="1648607119"/>
        <c:crosses val="autoZero"/>
        <c:auto val="1"/>
        <c:lblAlgn val="ctr"/>
        <c:lblOffset val="100"/>
        <c:noMultiLvlLbl val="0"/>
      </c:catAx>
      <c:valAx>
        <c:axId val="1648607119"/>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he-IL"/>
          </a:p>
        </c:txPr>
        <c:crossAx val="16486143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tx>
            <c:strRef>
              <c:f>'DCF estimations'!$F$2</c:f>
              <c:strCache>
                <c:ptCount val="1"/>
                <c:pt idx="0">
                  <c:v>revenue by year</c:v>
                </c:pt>
              </c:strCache>
            </c:strRef>
          </c:tx>
          <c:spPr>
            <a:solidFill>
              <a:srgbClr val="00B050"/>
            </a:solidFill>
            <a:ln>
              <a:noFill/>
            </a:ln>
            <a:effectLst/>
          </c:spPr>
          <c:invertIfNegative val="0"/>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trendlineLbl>
          </c:trendline>
          <c:cat>
            <c:numRef>
              <c:f>'DCF estimations'!$G$9:$G$17</c:f>
              <c:numCache>
                <c:formatCode>General</c:formatCode>
                <c:ptCount val="9"/>
                <c:pt idx="0">
                  <c:v>7</c:v>
                </c:pt>
                <c:pt idx="1">
                  <c:v>8</c:v>
                </c:pt>
                <c:pt idx="2">
                  <c:v>9</c:v>
                </c:pt>
                <c:pt idx="3">
                  <c:v>10</c:v>
                </c:pt>
                <c:pt idx="4">
                  <c:v>11</c:v>
                </c:pt>
                <c:pt idx="5">
                  <c:v>12</c:v>
                </c:pt>
                <c:pt idx="6">
                  <c:v>13</c:v>
                </c:pt>
                <c:pt idx="7">
                  <c:v>14</c:v>
                </c:pt>
                <c:pt idx="8">
                  <c:v>15</c:v>
                </c:pt>
              </c:numCache>
            </c:numRef>
          </c:cat>
          <c:val>
            <c:numRef>
              <c:f>'DCF estimations'!$F$9:$F$17</c:f>
              <c:numCache>
                <c:formatCode>_-[$$-409]* #,##0.00_ ;_-[$$-409]* \-#,##0.00\ ;_-[$$-409]* "-"??_ ;_-@_ </c:formatCode>
                <c:ptCount val="9"/>
                <c:pt idx="0">
                  <c:v>107006</c:v>
                </c:pt>
                <c:pt idx="1">
                  <c:v>135987</c:v>
                </c:pt>
                <c:pt idx="2">
                  <c:v>177866</c:v>
                </c:pt>
                <c:pt idx="3">
                  <c:v>232887</c:v>
                </c:pt>
                <c:pt idx="4">
                  <c:v>280522</c:v>
                </c:pt>
                <c:pt idx="5">
                  <c:v>386064</c:v>
                </c:pt>
                <c:pt idx="6">
                  <c:v>462822</c:v>
                </c:pt>
                <c:pt idx="7">
                  <c:v>513983</c:v>
                </c:pt>
                <c:pt idx="8">
                  <c:v>574785</c:v>
                </c:pt>
              </c:numCache>
            </c:numRef>
          </c:val>
          <c:extLst>
            <c:ext xmlns:c16="http://schemas.microsoft.com/office/drawing/2014/chart" uri="{C3380CC4-5D6E-409C-BE32-E72D297353CC}">
              <c16:uniqueId val="{00000000-28D7-4D57-8681-142F5F047781}"/>
            </c:ext>
          </c:extLst>
        </c:ser>
        <c:dLbls>
          <c:showLegendKey val="0"/>
          <c:showVal val="0"/>
          <c:showCatName val="0"/>
          <c:showSerName val="0"/>
          <c:showPercent val="0"/>
          <c:showBubbleSize val="0"/>
        </c:dLbls>
        <c:gapWidth val="219"/>
        <c:overlap val="-27"/>
        <c:axId val="697322592"/>
        <c:axId val="697330272"/>
      </c:barChart>
      <c:catAx>
        <c:axId val="69732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697330272"/>
        <c:crosses val="autoZero"/>
        <c:auto val="1"/>
        <c:lblAlgn val="ctr"/>
        <c:lblOffset val="100"/>
        <c:noMultiLvlLbl val="0"/>
      </c:catAx>
      <c:valAx>
        <c:axId val="69733027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6973225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forcast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dPt>
            <c:idx val="15"/>
            <c:invertIfNegative val="0"/>
            <c:bubble3D val="0"/>
            <c:spPr>
              <a:solidFill>
                <a:srgbClr val="00B050"/>
              </a:solidFill>
              <a:ln>
                <a:noFill/>
              </a:ln>
              <a:effectLst/>
            </c:spPr>
            <c:extLst>
              <c:ext xmlns:c16="http://schemas.microsoft.com/office/drawing/2014/chart" uri="{C3380CC4-5D6E-409C-BE32-E72D297353CC}">
                <c16:uniqueId val="{00000002-9289-434A-AD94-44AAF486AD12}"/>
              </c:ext>
            </c:extLst>
          </c:dPt>
          <c:cat>
            <c:numRef>
              <c:f>'DCF estimations'!$E$3:$E$22</c:f>
              <c:numCache>
                <c:formatCode>General</c:formatCode>
                <c:ptCount val="20"/>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pt idx="16">
                  <c:v>2025</c:v>
                </c:pt>
                <c:pt idx="17">
                  <c:v>2026</c:v>
                </c:pt>
                <c:pt idx="18">
                  <c:v>2027</c:v>
                </c:pt>
                <c:pt idx="19">
                  <c:v>2028</c:v>
                </c:pt>
              </c:numCache>
            </c:numRef>
          </c:cat>
          <c:val>
            <c:numRef>
              <c:f>'DCF estimations'!$F$3:$F$22</c:f>
              <c:numCache>
                <c:formatCode>_-[$$-409]* #,##0.00_ ;_-[$$-409]* \-#,##0.00\ ;_-[$$-409]* "-"??_ ;_-@_ </c:formatCode>
                <c:ptCount val="20"/>
                <c:pt idx="0">
                  <c:v>24509</c:v>
                </c:pt>
                <c:pt idx="1">
                  <c:v>34204</c:v>
                </c:pt>
                <c:pt idx="2">
                  <c:v>48007</c:v>
                </c:pt>
                <c:pt idx="3">
                  <c:v>61093</c:v>
                </c:pt>
                <c:pt idx="4">
                  <c:v>74452</c:v>
                </c:pt>
                <c:pt idx="5">
                  <c:v>88988</c:v>
                </c:pt>
                <c:pt idx="6">
                  <c:v>107006</c:v>
                </c:pt>
                <c:pt idx="7">
                  <c:v>135987</c:v>
                </c:pt>
                <c:pt idx="8">
                  <c:v>177866</c:v>
                </c:pt>
                <c:pt idx="9">
                  <c:v>232887</c:v>
                </c:pt>
                <c:pt idx="10">
                  <c:v>280522</c:v>
                </c:pt>
                <c:pt idx="11">
                  <c:v>386064</c:v>
                </c:pt>
                <c:pt idx="12">
                  <c:v>462822</c:v>
                </c:pt>
                <c:pt idx="13">
                  <c:v>513983</c:v>
                </c:pt>
                <c:pt idx="14">
                  <c:v>574785</c:v>
                </c:pt>
                <c:pt idx="15">
                  <c:v>633224.74285714282</c:v>
                </c:pt>
                <c:pt idx="16">
                  <c:v>672801.28928571427</c:v>
                </c:pt>
                <c:pt idx="17">
                  <c:v>712377.83571428573</c:v>
                </c:pt>
                <c:pt idx="18">
                  <c:v>751954.38214285707</c:v>
                </c:pt>
                <c:pt idx="19">
                  <c:v>791530.92857142852</c:v>
                </c:pt>
              </c:numCache>
            </c:numRef>
          </c:val>
          <c:extLst>
            <c:ext xmlns:c16="http://schemas.microsoft.com/office/drawing/2014/chart" uri="{C3380CC4-5D6E-409C-BE32-E72D297353CC}">
              <c16:uniqueId val="{00000000-9289-434A-AD94-44AAF486AD12}"/>
            </c:ext>
          </c:extLst>
        </c:ser>
        <c:dLbls>
          <c:showLegendKey val="0"/>
          <c:showVal val="0"/>
          <c:showCatName val="0"/>
          <c:showSerName val="0"/>
          <c:showPercent val="0"/>
          <c:showBubbleSize val="0"/>
        </c:dLbls>
        <c:gapWidth val="219"/>
        <c:overlap val="-27"/>
        <c:axId val="1885060495"/>
        <c:axId val="1885061935"/>
      </c:barChart>
      <c:catAx>
        <c:axId val="1885060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885061935"/>
        <c:crosses val="autoZero"/>
        <c:auto val="1"/>
        <c:lblAlgn val="ctr"/>
        <c:lblOffset val="100"/>
        <c:noMultiLvlLbl val="0"/>
      </c:catAx>
      <c:valAx>
        <c:axId val="188506193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8850604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trendline>
            <c:spPr>
              <a:ln w="19050" cap="rnd">
                <a:solidFill>
                  <a:schemeClr val="accent1"/>
                </a:solidFill>
                <a:prstDash val="sysDot"/>
              </a:ln>
              <a:effectLst/>
            </c:spPr>
            <c:trendlineType val="poly"/>
            <c:order val="2"/>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trendlineLbl>
          </c:trendline>
          <c:cat>
            <c:numRef>
              <c:f>'DCF estimations'!$E$3:$E$17</c:f>
              <c:numCache>
                <c:formatCode>General</c:formatCod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'DCF estimations'!$F$3:$F$17</c:f>
              <c:numCache>
                <c:formatCode>_-[$$-409]* #,##0.00_ ;_-[$$-409]* \-#,##0.00\ ;_-[$$-409]* "-"??_ ;_-@_ </c:formatCode>
                <c:ptCount val="15"/>
                <c:pt idx="0">
                  <c:v>24509</c:v>
                </c:pt>
                <c:pt idx="1">
                  <c:v>34204</c:v>
                </c:pt>
                <c:pt idx="2">
                  <c:v>48007</c:v>
                </c:pt>
                <c:pt idx="3">
                  <c:v>61093</c:v>
                </c:pt>
                <c:pt idx="4">
                  <c:v>74452</c:v>
                </c:pt>
                <c:pt idx="5">
                  <c:v>88988</c:v>
                </c:pt>
                <c:pt idx="6">
                  <c:v>107006</c:v>
                </c:pt>
                <c:pt idx="7">
                  <c:v>135987</c:v>
                </c:pt>
                <c:pt idx="8">
                  <c:v>177866</c:v>
                </c:pt>
                <c:pt idx="9">
                  <c:v>232887</c:v>
                </c:pt>
                <c:pt idx="10">
                  <c:v>280522</c:v>
                </c:pt>
                <c:pt idx="11">
                  <c:v>386064</c:v>
                </c:pt>
                <c:pt idx="12">
                  <c:v>462822</c:v>
                </c:pt>
                <c:pt idx="13">
                  <c:v>513983</c:v>
                </c:pt>
                <c:pt idx="14">
                  <c:v>574785</c:v>
                </c:pt>
              </c:numCache>
            </c:numRef>
          </c:val>
          <c:extLst>
            <c:ext xmlns:c16="http://schemas.microsoft.com/office/drawing/2014/chart" uri="{C3380CC4-5D6E-409C-BE32-E72D297353CC}">
              <c16:uniqueId val="{00000000-05C0-414E-990F-74188753EE1A}"/>
            </c:ext>
          </c:extLst>
        </c:ser>
        <c:dLbls>
          <c:showLegendKey val="0"/>
          <c:showVal val="0"/>
          <c:showCatName val="0"/>
          <c:showSerName val="0"/>
          <c:showPercent val="0"/>
          <c:showBubbleSize val="0"/>
        </c:dLbls>
        <c:gapWidth val="219"/>
        <c:overlap val="-27"/>
        <c:axId val="1885049935"/>
        <c:axId val="1885052335"/>
      </c:barChart>
      <c:catAx>
        <c:axId val="1885049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885052335"/>
        <c:crosses val="autoZero"/>
        <c:auto val="1"/>
        <c:lblAlgn val="ctr"/>
        <c:lblOffset val="100"/>
        <c:noMultiLvlLbl val="0"/>
      </c:catAx>
      <c:valAx>
        <c:axId val="188505233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8850499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EBIT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trendline>
            <c:spPr>
              <a:ln w="19050" cap="rnd">
                <a:solidFill>
                  <a:schemeClr val="accent1"/>
                </a:solidFill>
                <a:prstDash val="sysDot"/>
              </a:ln>
              <a:effectLst/>
            </c:spPr>
            <c:trendlineType val="exp"/>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trendlineLbl>
          </c:trendline>
          <c:cat>
            <c:numRef>
              <c:f>'DCF estimations'!$G$37:$G$51</c:f>
              <c:numCache>
                <c:formatCode>General</c:formatCod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'DCF estimations'!$H$37:$H$51</c:f>
              <c:numCache>
                <c:formatCode>_-[$$-409]* #,##0.00_ ;_-[$$-409]* \-#,##0.00\ ;_-[$$-409]* "-"??_ ;_-@_ </c:formatCode>
                <c:ptCount val="15"/>
                <c:pt idx="0">
                  <c:v>1129</c:v>
                </c:pt>
                <c:pt idx="1">
                  <c:v>1406</c:v>
                </c:pt>
                <c:pt idx="2">
                  <c:v>862</c:v>
                </c:pt>
                <c:pt idx="3">
                  <c:v>676</c:v>
                </c:pt>
                <c:pt idx="4">
                  <c:v>745</c:v>
                </c:pt>
                <c:pt idx="5">
                  <c:v>178</c:v>
                </c:pt>
                <c:pt idx="6">
                  <c:v>2233</c:v>
                </c:pt>
                <c:pt idx="7">
                  <c:v>4186</c:v>
                </c:pt>
                <c:pt idx="8">
                  <c:v>4106</c:v>
                </c:pt>
                <c:pt idx="9">
                  <c:v>12421</c:v>
                </c:pt>
                <c:pt idx="10">
                  <c:v>14541</c:v>
                </c:pt>
                <c:pt idx="11">
                  <c:v>22899</c:v>
                </c:pt>
                <c:pt idx="12">
                  <c:v>24879</c:v>
                </c:pt>
                <c:pt idx="13">
                  <c:v>12248</c:v>
                </c:pt>
                <c:pt idx="14">
                  <c:v>36852</c:v>
                </c:pt>
              </c:numCache>
            </c:numRef>
          </c:val>
          <c:extLst>
            <c:ext xmlns:c16="http://schemas.microsoft.com/office/drawing/2014/chart" uri="{C3380CC4-5D6E-409C-BE32-E72D297353CC}">
              <c16:uniqueId val="{00000000-9355-4B98-9F65-A18D235FF29F}"/>
            </c:ext>
          </c:extLst>
        </c:ser>
        <c:dLbls>
          <c:showLegendKey val="0"/>
          <c:showVal val="0"/>
          <c:showCatName val="0"/>
          <c:showSerName val="0"/>
          <c:showPercent val="0"/>
          <c:showBubbleSize val="0"/>
        </c:dLbls>
        <c:gapWidth val="219"/>
        <c:overlap val="-27"/>
        <c:axId val="697329312"/>
        <c:axId val="697331232"/>
      </c:barChart>
      <c:catAx>
        <c:axId val="69732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697331232"/>
        <c:crosses val="autoZero"/>
        <c:auto val="1"/>
        <c:lblAlgn val="ctr"/>
        <c:lblOffset val="100"/>
        <c:noMultiLvlLbl val="0"/>
      </c:catAx>
      <c:valAx>
        <c:axId val="69733123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697329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EBIT</a:t>
            </a:r>
            <a:r>
              <a:rPr lang="en-US" baseline="0"/>
              <a:t> - no starting years and no one time losses</a:t>
            </a:r>
            <a:endParaRPr lang="en-US"/>
          </a:p>
        </c:rich>
      </c:tx>
      <c:layout>
        <c:manualLayout>
          <c:xMode val="edge"/>
          <c:yMode val="edge"/>
          <c:x val="0.15671532404603269"/>
          <c:y val="2.77779291429401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trendlineLbl>
          </c:trendline>
          <c:cat>
            <c:numRef>
              <c:f>'DCF estimations'!$I$54:$I$59</c:f>
              <c:numCache>
                <c:formatCode>General</c:formatCode>
                <c:ptCount val="6"/>
                <c:pt idx="0">
                  <c:v>2016</c:v>
                </c:pt>
                <c:pt idx="1">
                  <c:v>2018</c:v>
                </c:pt>
                <c:pt idx="2">
                  <c:v>2019</c:v>
                </c:pt>
                <c:pt idx="3">
                  <c:v>2020</c:v>
                </c:pt>
                <c:pt idx="4">
                  <c:v>2021</c:v>
                </c:pt>
                <c:pt idx="5">
                  <c:v>2023</c:v>
                </c:pt>
              </c:numCache>
            </c:numRef>
          </c:cat>
          <c:val>
            <c:numRef>
              <c:f>'DCF estimations'!$H$54:$H$59</c:f>
              <c:numCache>
                <c:formatCode>_-[$$-409]* #,##0.00_ ;_-[$$-409]* \-#,##0.00\ ;_-[$$-409]* "-"??_ ;_-@_ </c:formatCode>
                <c:ptCount val="6"/>
                <c:pt idx="0">
                  <c:v>4186</c:v>
                </c:pt>
                <c:pt idx="1">
                  <c:v>12421</c:v>
                </c:pt>
                <c:pt idx="2">
                  <c:v>14541</c:v>
                </c:pt>
                <c:pt idx="3">
                  <c:v>22899</c:v>
                </c:pt>
                <c:pt idx="4">
                  <c:v>24879</c:v>
                </c:pt>
                <c:pt idx="5">
                  <c:v>36852</c:v>
                </c:pt>
              </c:numCache>
            </c:numRef>
          </c:val>
          <c:extLst>
            <c:ext xmlns:c16="http://schemas.microsoft.com/office/drawing/2014/chart" uri="{C3380CC4-5D6E-409C-BE32-E72D297353CC}">
              <c16:uniqueId val="{00000000-CA23-463C-8B43-08151AFCB5B2}"/>
            </c:ext>
          </c:extLst>
        </c:ser>
        <c:dLbls>
          <c:showLegendKey val="0"/>
          <c:showVal val="0"/>
          <c:showCatName val="0"/>
          <c:showSerName val="0"/>
          <c:showPercent val="0"/>
          <c:showBubbleSize val="0"/>
        </c:dLbls>
        <c:gapWidth val="219"/>
        <c:overlap val="-27"/>
        <c:axId val="1563693759"/>
        <c:axId val="1563694719"/>
      </c:barChart>
      <c:catAx>
        <c:axId val="1563693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563694719"/>
        <c:crosses val="autoZero"/>
        <c:auto val="1"/>
        <c:lblAlgn val="ctr"/>
        <c:lblOffset val="100"/>
        <c:noMultiLvlLbl val="0"/>
      </c:catAx>
      <c:valAx>
        <c:axId val="1563694719"/>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5636937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a:t>
            </a:r>
            <a:r>
              <a:rPr lang="en-US" baseline="0"/>
              <a:t> chg PP&amp;E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trendline>
            <c:spPr>
              <a:ln w="19050" cap="rnd">
                <a:solidFill>
                  <a:schemeClr val="accent1"/>
                </a:solidFill>
                <a:prstDash val="sysDot"/>
              </a:ln>
              <a:effectLst/>
            </c:spPr>
            <c:trendlineType val="linear"/>
            <c:dispRSqr val="1"/>
            <c:dispEq val="1"/>
            <c:trendlineLbl>
              <c:layout>
                <c:manualLayout>
                  <c:x val="-0.28917870355135827"/>
                  <c:y val="-2.8122460087469749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trendlineLbl>
          </c:trendline>
          <c:cat>
            <c:numRef>
              <c:f>'DCF estimations'!$J$73:$J$87</c:f>
              <c:numCache>
                <c:formatCode>General</c:formatCod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'DCF estimations'!$K$73:$K$87</c:f>
              <c:numCache>
                <c:formatCode>_-[$$-409]* #,##0.00_ ;_-[$$-409]* \-#,##0.00\ ;_-[$$-409]* "-"??_ ;_-@_ </c:formatCode>
                <c:ptCount val="15"/>
                <c:pt idx="0">
                  <c:v>-373</c:v>
                </c:pt>
                <c:pt idx="1">
                  <c:v>-979</c:v>
                </c:pt>
                <c:pt idx="2">
                  <c:v>-1811</c:v>
                </c:pt>
                <c:pt idx="3">
                  <c:v>-3785</c:v>
                </c:pt>
                <c:pt idx="4">
                  <c:v>-3444</c:v>
                </c:pt>
                <c:pt idx="5">
                  <c:v>-4893</c:v>
                </c:pt>
                <c:pt idx="6">
                  <c:v>-4589</c:v>
                </c:pt>
                <c:pt idx="7">
                  <c:v>-6737</c:v>
                </c:pt>
                <c:pt idx="8">
                  <c:v>-10058</c:v>
                </c:pt>
                <c:pt idx="9">
                  <c:v>-11323</c:v>
                </c:pt>
                <c:pt idx="10">
                  <c:v>-12689</c:v>
                </c:pt>
                <c:pt idx="11">
                  <c:v>-35044</c:v>
                </c:pt>
                <c:pt idx="12">
                  <c:v>-55396</c:v>
                </c:pt>
                <c:pt idx="13">
                  <c:v>-58321</c:v>
                </c:pt>
                <c:pt idx="14">
                  <c:v>-48133</c:v>
                </c:pt>
              </c:numCache>
            </c:numRef>
          </c:val>
          <c:extLst>
            <c:ext xmlns:c16="http://schemas.microsoft.com/office/drawing/2014/chart" uri="{C3380CC4-5D6E-409C-BE32-E72D297353CC}">
              <c16:uniqueId val="{00000000-91DF-4B9E-9F4C-9EDE340DFCF6}"/>
            </c:ext>
          </c:extLst>
        </c:ser>
        <c:dLbls>
          <c:showLegendKey val="0"/>
          <c:showVal val="0"/>
          <c:showCatName val="0"/>
          <c:showSerName val="0"/>
          <c:showPercent val="0"/>
          <c:showBubbleSize val="0"/>
        </c:dLbls>
        <c:gapWidth val="219"/>
        <c:overlap val="-27"/>
        <c:axId val="1871213151"/>
        <c:axId val="1871221311"/>
      </c:barChart>
      <c:catAx>
        <c:axId val="1871213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871221311"/>
        <c:crosses val="autoZero"/>
        <c:auto val="1"/>
        <c:lblAlgn val="ctr"/>
        <c:lblOffset val="100"/>
        <c:noMultiLvlLbl val="0"/>
      </c:catAx>
      <c:valAx>
        <c:axId val="187122131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8712131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Depriciation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trendlineLbl>
          </c:trendline>
          <c:trendline>
            <c:spPr>
              <a:ln w="19050" cap="rnd">
                <a:solidFill>
                  <a:schemeClr val="accent1"/>
                </a:solidFill>
                <a:prstDash val="sysDot"/>
              </a:ln>
              <a:effectLst/>
            </c:spPr>
            <c:trendlineType val="poly"/>
            <c:order val="2"/>
            <c:dispRSqr val="0"/>
            <c:dispEq val="0"/>
          </c:trendline>
          <c:cat>
            <c:numRef>
              <c:f>'DCF estimations'!$J$98:$J$112</c:f>
              <c:numCache>
                <c:formatCode>General</c:formatCod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'DCF estimations'!$K$98:$K$112</c:f>
              <c:numCache>
                <c:formatCode>_-[$$-409]* #,##0.00_ ;_-[$$-409]* \-#,##0.00\ ;_-[$$-409]* "-"??_ ;_-@_ </c:formatCode>
                <c:ptCount val="15"/>
                <c:pt idx="0">
                  <c:v>378</c:v>
                </c:pt>
                <c:pt idx="1">
                  <c:v>568</c:v>
                </c:pt>
                <c:pt idx="2">
                  <c:v>1083</c:v>
                </c:pt>
                <c:pt idx="3">
                  <c:v>2159</c:v>
                </c:pt>
                <c:pt idx="4">
                  <c:v>3253</c:v>
                </c:pt>
                <c:pt idx="5">
                  <c:v>4746</c:v>
                </c:pt>
                <c:pt idx="6">
                  <c:v>6281</c:v>
                </c:pt>
                <c:pt idx="7">
                  <c:v>8116</c:v>
                </c:pt>
                <c:pt idx="8">
                  <c:v>11478</c:v>
                </c:pt>
                <c:pt idx="9">
                  <c:v>15341</c:v>
                </c:pt>
                <c:pt idx="10">
                  <c:v>21789</c:v>
                </c:pt>
                <c:pt idx="11">
                  <c:v>25180</c:v>
                </c:pt>
                <c:pt idx="12">
                  <c:v>34433</c:v>
                </c:pt>
                <c:pt idx="13">
                  <c:v>41921</c:v>
                </c:pt>
                <c:pt idx="14">
                  <c:v>48663</c:v>
                </c:pt>
              </c:numCache>
            </c:numRef>
          </c:val>
          <c:extLst>
            <c:ext xmlns:c16="http://schemas.microsoft.com/office/drawing/2014/chart" uri="{C3380CC4-5D6E-409C-BE32-E72D297353CC}">
              <c16:uniqueId val="{00000000-F489-4A93-92D1-18DF5053CB72}"/>
            </c:ext>
          </c:extLst>
        </c:ser>
        <c:dLbls>
          <c:showLegendKey val="0"/>
          <c:showVal val="0"/>
          <c:showCatName val="0"/>
          <c:showSerName val="0"/>
          <c:showPercent val="0"/>
          <c:showBubbleSize val="0"/>
        </c:dLbls>
        <c:gapWidth val="219"/>
        <c:overlap val="-27"/>
        <c:axId val="1902679295"/>
        <c:axId val="1902678815"/>
      </c:barChart>
      <c:catAx>
        <c:axId val="190267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902678815"/>
        <c:crosses val="autoZero"/>
        <c:auto val="1"/>
        <c:lblAlgn val="ctr"/>
        <c:lblOffset val="100"/>
        <c:noMultiLvlLbl val="0"/>
      </c:catAx>
      <c:valAx>
        <c:axId val="190267881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9026792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Current</a:t>
            </a:r>
            <a:r>
              <a:rPr lang="en-US" baseline="0"/>
              <a:t> Assets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numRef>
              <c:f>'DCF estimations'!$I$123:$I$137</c:f>
              <c:numCache>
                <c:formatCode>General</c:formatCod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'DCF estimations'!$J$123:$J$137</c:f>
              <c:numCache>
                <c:formatCode>_-[$$-409]* #,##0.00_ ;_-[$$-409]* \-#,##0.00\ ;_-[$$-409]* "-"??_ ;_-@_ </c:formatCode>
                <c:ptCount val="15"/>
                <c:pt idx="0">
                  <c:v>9797</c:v>
                </c:pt>
                <c:pt idx="1">
                  <c:v>13747</c:v>
                </c:pt>
                <c:pt idx="2">
                  <c:v>17490</c:v>
                </c:pt>
                <c:pt idx="3">
                  <c:v>21296</c:v>
                </c:pt>
                <c:pt idx="4">
                  <c:v>24625</c:v>
                </c:pt>
                <c:pt idx="5">
                  <c:v>31327</c:v>
                </c:pt>
                <c:pt idx="6">
                  <c:v>35705</c:v>
                </c:pt>
                <c:pt idx="7">
                  <c:v>45781</c:v>
                </c:pt>
                <c:pt idx="8">
                  <c:v>60197</c:v>
                </c:pt>
                <c:pt idx="9">
                  <c:v>75101</c:v>
                </c:pt>
                <c:pt idx="10">
                  <c:v>96334</c:v>
                </c:pt>
                <c:pt idx="11">
                  <c:v>132733</c:v>
                </c:pt>
                <c:pt idx="12">
                  <c:v>161580</c:v>
                </c:pt>
                <c:pt idx="13">
                  <c:v>146791</c:v>
                </c:pt>
                <c:pt idx="14">
                  <c:v>172351</c:v>
                </c:pt>
              </c:numCache>
            </c:numRef>
          </c:val>
          <c:extLst>
            <c:ext xmlns:c16="http://schemas.microsoft.com/office/drawing/2014/chart" uri="{C3380CC4-5D6E-409C-BE32-E72D297353CC}">
              <c16:uniqueId val="{00000000-85B2-45D2-838C-4B7B62485522}"/>
            </c:ext>
          </c:extLst>
        </c:ser>
        <c:dLbls>
          <c:showLegendKey val="0"/>
          <c:showVal val="0"/>
          <c:showCatName val="0"/>
          <c:showSerName val="0"/>
          <c:showPercent val="0"/>
          <c:showBubbleSize val="0"/>
        </c:dLbls>
        <c:gapWidth val="219"/>
        <c:overlap val="-27"/>
        <c:axId val="697335072"/>
        <c:axId val="697328832"/>
      </c:barChart>
      <c:catAx>
        <c:axId val="697335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697328832"/>
        <c:crosses val="autoZero"/>
        <c:auto val="1"/>
        <c:lblAlgn val="ctr"/>
        <c:lblOffset val="100"/>
        <c:noMultiLvlLbl val="0"/>
      </c:catAx>
      <c:valAx>
        <c:axId val="69732883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697335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current cash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cat>
            <c:numRef>
              <c:f>'DCF estimations'!$I$144:$I$158</c:f>
              <c:numCache>
                <c:formatCode>General</c:formatCod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'DCF estimations'!$J$144:$J$158</c:f>
              <c:numCache>
                <c:formatCode>_-[$$-409]* #,##0.00_ ;_-[$$-409]* \-#,##0.00\ ;_-[$$-409]* "-"??_ ;_-@_ </c:formatCode>
                <c:ptCount val="15"/>
                <c:pt idx="0">
                  <c:v>6366</c:v>
                </c:pt>
                <c:pt idx="1">
                  <c:v>8762</c:v>
                </c:pt>
                <c:pt idx="2">
                  <c:v>9576</c:v>
                </c:pt>
                <c:pt idx="3">
                  <c:v>11448</c:v>
                </c:pt>
                <c:pt idx="4">
                  <c:v>12447</c:v>
                </c:pt>
                <c:pt idx="5">
                  <c:v>17416</c:v>
                </c:pt>
                <c:pt idx="6">
                  <c:v>19808</c:v>
                </c:pt>
                <c:pt idx="7">
                  <c:v>25981</c:v>
                </c:pt>
                <c:pt idx="8">
                  <c:v>30986</c:v>
                </c:pt>
                <c:pt idx="9">
                  <c:v>41250</c:v>
                </c:pt>
                <c:pt idx="10">
                  <c:v>55021</c:v>
                </c:pt>
                <c:pt idx="11">
                  <c:v>84396</c:v>
                </c:pt>
                <c:pt idx="12">
                  <c:v>96049</c:v>
                </c:pt>
                <c:pt idx="13">
                  <c:v>70026</c:v>
                </c:pt>
                <c:pt idx="14">
                  <c:v>86780</c:v>
                </c:pt>
              </c:numCache>
            </c:numRef>
          </c:val>
          <c:extLst>
            <c:ext xmlns:c16="http://schemas.microsoft.com/office/drawing/2014/chart" uri="{C3380CC4-5D6E-409C-BE32-E72D297353CC}">
              <c16:uniqueId val="{00000000-6632-4840-81F4-DFCFAEA90F3A}"/>
            </c:ext>
          </c:extLst>
        </c:ser>
        <c:dLbls>
          <c:showLegendKey val="0"/>
          <c:showVal val="0"/>
          <c:showCatName val="0"/>
          <c:showSerName val="0"/>
          <c:showPercent val="0"/>
          <c:showBubbleSize val="0"/>
        </c:dLbls>
        <c:gapWidth val="219"/>
        <c:overlap val="-27"/>
        <c:axId val="1871221791"/>
        <c:axId val="1871222271"/>
      </c:barChart>
      <c:catAx>
        <c:axId val="1871221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871222271"/>
        <c:crosses val="autoZero"/>
        <c:auto val="1"/>
        <c:lblAlgn val="ctr"/>
        <c:lblOffset val="100"/>
        <c:noMultiLvlLbl val="0"/>
      </c:catAx>
      <c:valAx>
        <c:axId val="187122227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8712217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Current liabilities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numRef>
              <c:f>'DCF estimations'!$H$176:$H$190</c:f>
              <c:numCache>
                <c:formatCode>General</c:formatCod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'DCF estimations'!$I$176:$I$190</c:f>
              <c:numCache>
                <c:formatCode>_-[$$-409]* #,##0.00_ ;_-[$$-409]* \-#,##0.00\ ;_-[$$-409]* "-"??_ ;_-@_ </c:formatCode>
                <c:ptCount val="15"/>
                <c:pt idx="0">
                  <c:v>7364</c:v>
                </c:pt>
                <c:pt idx="1">
                  <c:v>10372</c:v>
                </c:pt>
                <c:pt idx="2">
                  <c:v>14896</c:v>
                </c:pt>
                <c:pt idx="3">
                  <c:v>19002</c:v>
                </c:pt>
                <c:pt idx="4">
                  <c:v>22980</c:v>
                </c:pt>
                <c:pt idx="5">
                  <c:v>28089</c:v>
                </c:pt>
                <c:pt idx="6">
                  <c:v>33887</c:v>
                </c:pt>
                <c:pt idx="7">
                  <c:v>43816</c:v>
                </c:pt>
                <c:pt idx="8">
                  <c:v>57883</c:v>
                </c:pt>
                <c:pt idx="9">
                  <c:v>68391</c:v>
                </c:pt>
                <c:pt idx="10">
                  <c:v>87812</c:v>
                </c:pt>
                <c:pt idx="11">
                  <c:v>126385</c:v>
                </c:pt>
                <c:pt idx="12">
                  <c:v>142266</c:v>
                </c:pt>
                <c:pt idx="13">
                  <c:v>155393</c:v>
                </c:pt>
                <c:pt idx="14">
                  <c:v>164917</c:v>
                </c:pt>
              </c:numCache>
            </c:numRef>
          </c:val>
          <c:extLst>
            <c:ext xmlns:c16="http://schemas.microsoft.com/office/drawing/2014/chart" uri="{C3380CC4-5D6E-409C-BE32-E72D297353CC}">
              <c16:uniqueId val="{00000000-767B-4298-A515-16FD27D746BE}"/>
            </c:ext>
          </c:extLst>
        </c:ser>
        <c:dLbls>
          <c:showLegendKey val="0"/>
          <c:showVal val="0"/>
          <c:showCatName val="0"/>
          <c:showSerName val="0"/>
          <c:showPercent val="0"/>
          <c:showBubbleSize val="0"/>
        </c:dLbls>
        <c:gapWidth val="219"/>
        <c:overlap val="-27"/>
        <c:axId val="230605743"/>
        <c:axId val="230616303"/>
      </c:barChart>
      <c:catAx>
        <c:axId val="230605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30616303"/>
        <c:crosses val="autoZero"/>
        <c:auto val="1"/>
        <c:lblAlgn val="ctr"/>
        <c:lblOffset val="100"/>
        <c:noMultiLvlLbl val="0"/>
      </c:catAx>
      <c:valAx>
        <c:axId val="23061630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306057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numRef>
              <c:f>'DCF estimations'!$H$198:$H$211</c:f>
              <c:numCache>
                <c:formatCode>General</c:formatCode>
                <c:ptCount val="14"/>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numCache>
            </c:numRef>
          </c:cat>
          <c:val>
            <c:numRef>
              <c:f>'DCF estimations'!$I$198:$I$211</c:f>
              <c:numCache>
                <c:formatCode>_-[$$-409]* #,##0.00_ ;_-[$$-409]* \-#,##0.00\ ;_-[$$-409]* "-"??_ ;_-@_ </c:formatCode>
                <c:ptCount val="14"/>
                <c:pt idx="0">
                  <c:v>1561</c:v>
                </c:pt>
                <c:pt idx="1">
                  <c:v>255</c:v>
                </c:pt>
                <c:pt idx="2">
                  <c:v>3084</c:v>
                </c:pt>
                <c:pt idx="3">
                  <c:v>3191</c:v>
                </c:pt>
                <c:pt idx="4">
                  <c:v>8265</c:v>
                </c:pt>
                <c:pt idx="5">
                  <c:v>8227</c:v>
                </c:pt>
                <c:pt idx="6">
                  <c:v>7694</c:v>
                </c:pt>
                <c:pt idx="7">
                  <c:v>24743</c:v>
                </c:pt>
                <c:pt idx="8">
                  <c:v>23495</c:v>
                </c:pt>
                <c:pt idx="9">
                  <c:v>23414</c:v>
                </c:pt>
                <c:pt idx="10">
                  <c:v>31816</c:v>
                </c:pt>
                <c:pt idx="11">
                  <c:v>48744</c:v>
                </c:pt>
                <c:pt idx="12">
                  <c:v>67150</c:v>
                </c:pt>
                <c:pt idx="13">
                  <c:v>58314</c:v>
                </c:pt>
              </c:numCache>
            </c:numRef>
          </c:val>
          <c:extLst>
            <c:ext xmlns:c16="http://schemas.microsoft.com/office/drawing/2014/chart" uri="{C3380CC4-5D6E-409C-BE32-E72D297353CC}">
              <c16:uniqueId val="{00000000-A465-42BF-94CD-EB815FCFF958}"/>
            </c:ext>
          </c:extLst>
        </c:ser>
        <c:dLbls>
          <c:showLegendKey val="0"/>
          <c:showVal val="0"/>
          <c:showCatName val="0"/>
          <c:showSerName val="0"/>
          <c:showPercent val="0"/>
          <c:showBubbleSize val="0"/>
        </c:dLbls>
        <c:gapWidth val="219"/>
        <c:overlap val="-27"/>
        <c:axId val="229485791"/>
        <c:axId val="229492031"/>
      </c:barChart>
      <c:catAx>
        <c:axId val="22948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29492031"/>
        <c:crosses val="autoZero"/>
        <c:auto val="1"/>
        <c:lblAlgn val="ctr"/>
        <c:lblOffset val="100"/>
        <c:noMultiLvlLbl val="0"/>
      </c:catAx>
      <c:valAx>
        <c:axId val="22949203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294857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non current liabilities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numRef>
              <c:f>'DCF estimations'!$U$212:$U$224</c:f>
              <c:numCache>
                <c:formatCode>General</c:formatCod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numCache>
            </c:numRef>
          </c:cat>
          <c:val>
            <c:numRef>
              <c:f>'DCF estimations'!$V$212:$V$224</c:f>
              <c:numCache>
                <c:formatCode>_-[$$-409]* #,##0.00_ ;_-[$$-409]* \-#,##0.00\ ;_-[$$-409]* "-"??_ ;_-@_ </c:formatCode>
                <c:ptCount val="13"/>
                <c:pt idx="0">
                  <c:v>2370</c:v>
                </c:pt>
                <c:pt idx="1">
                  <c:v>2277</c:v>
                </c:pt>
                <c:pt idx="2">
                  <c:v>4242</c:v>
                </c:pt>
                <c:pt idx="3">
                  <c:v>7410</c:v>
                </c:pt>
                <c:pt idx="4">
                  <c:v>9249</c:v>
                </c:pt>
                <c:pt idx="5">
                  <c:v>12607</c:v>
                </c:pt>
                <c:pt idx="6">
                  <c:v>20975</c:v>
                </c:pt>
                <c:pt idx="7">
                  <c:v>17563</c:v>
                </c:pt>
                <c:pt idx="8">
                  <c:v>12171</c:v>
                </c:pt>
                <c:pt idx="9">
                  <c:v>17017</c:v>
                </c:pt>
                <c:pt idx="10">
                  <c:v>23643</c:v>
                </c:pt>
                <c:pt idx="11">
                  <c:v>21121</c:v>
                </c:pt>
                <c:pt idx="12">
                  <c:v>25451</c:v>
                </c:pt>
              </c:numCache>
            </c:numRef>
          </c:val>
          <c:extLst>
            <c:ext xmlns:c16="http://schemas.microsoft.com/office/drawing/2014/chart" uri="{C3380CC4-5D6E-409C-BE32-E72D297353CC}">
              <c16:uniqueId val="{00000000-03B7-4C85-8D75-B5599FC298BF}"/>
            </c:ext>
          </c:extLst>
        </c:ser>
        <c:dLbls>
          <c:showLegendKey val="0"/>
          <c:showVal val="0"/>
          <c:showCatName val="0"/>
          <c:showSerName val="0"/>
          <c:showPercent val="0"/>
          <c:showBubbleSize val="0"/>
        </c:dLbls>
        <c:gapWidth val="219"/>
        <c:overlap val="-27"/>
        <c:axId val="9402943"/>
        <c:axId val="9403423"/>
      </c:barChart>
      <c:catAx>
        <c:axId val="9402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9403423"/>
        <c:crosses val="autoZero"/>
        <c:auto val="1"/>
        <c:lblAlgn val="ctr"/>
        <c:lblOffset val="100"/>
        <c:noMultiLvlLbl val="0"/>
      </c:catAx>
      <c:valAx>
        <c:axId val="940342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94029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reinvestment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trendline>
            <c:spPr>
              <a:ln w="19050" cap="rnd">
                <a:solidFill>
                  <a:schemeClr val="accent1"/>
                </a:solidFill>
                <a:prstDash val="sysDot"/>
              </a:ln>
              <a:effectLst/>
            </c:spPr>
            <c:trendlineType val="poly"/>
            <c:order val="2"/>
            <c:dispRSqr val="0"/>
            <c:dispEq val="0"/>
          </c:trendline>
          <c:cat>
            <c:numRef>
              <c:f>'DCF estimations'!$G$238:$G$252</c:f>
              <c:numCache>
                <c:formatCode>General</c:formatCod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'DCF estimations'!$H$238:$H$252</c:f>
              <c:numCache>
                <c:formatCode>_-[$$-409]* #,##0.00_ ;_-[$$-409]* \-#,##0.00\ ;_-[$$-409]* "-"??_ ;_-@_ </c:formatCode>
                <c:ptCount val="15"/>
                <c:pt idx="0">
                  <c:v>2337</c:v>
                </c:pt>
                <c:pt idx="1">
                  <c:v>3360</c:v>
                </c:pt>
                <c:pt idx="2">
                  <c:v>1930</c:v>
                </c:pt>
                <c:pt idx="3">
                  <c:v>3595</c:v>
                </c:pt>
                <c:pt idx="4">
                  <c:v>4276</c:v>
                </c:pt>
                <c:pt idx="5">
                  <c:v>5065</c:v>
                </c:pt>
                <c:pt idx="6">
                  <c:v>6450</c:v>
                </c:pt>
                <c:pt idx="7">
                  <c:v>9516</c:v>
                </c:pt>
                <c:pt idx="8">
                  <c:v>27084</c:v>
                </c:pt>
                <c:pt idx="9">
                  <c:v>12369</c:v>
                </c:pt>
                <c:pt idx="10">
                  <c:v>24281</c:v>
                </c:pt>
                <c:pt idx="11">
                  <c:v>59611</c:v>
                </c:pt>
                <c:pt idx="12">
                  <c:v>58154</c:v>
                </c:pt>
                <c:pt idx="13">
                  <c:v>37601</c:v>
                </c:pt>
                <c:pt idx="14">
                  <c:v>49833</c:v>
                </c:pt>
              </c:numCache>
            </c:numRef>
          </c:val>
          <c:extLst>
            <c:ext xmlns:c16="http://schemas.microsoft.com/office/drawing/2014/chart" uri="{C3380CC4-5D6E-409C-BE32-E72D297353CC}">
              <c16:uniqueId val="{00000000-0C78-4D99-8B05-3555FC98356B}"/>
            </c:ext>
          </c:extLst>
        </c:ser>
        <c:dLbls>
          <c:showLegendKey val="0"/>
          <c:showVal val="0"/>
          <c:showCatName val="0"/>
          <c:showSerName val="0"/>
          <c:showPercent val="0"/>
          <c:showBubbleSize val="0"/>
        </c:dLbls>
        <c:gapWidth val="219"/>
        <c:overlap val="-27"/>
        <c:axId val="230619663"/>
        <c:axId val="230620143"/>
      </c:barChart>
      <c:catAx>
        <c:axId val="230619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30620143"/>
        <c:crosses val="autoZero"/>
        <c:auto val="1"/>
        <c:lblAlgn val="ctr"/>
        <c:lblOffset val="100"/>
        <c:noMultiLvlLbl val="0"/>
      </c:catAx>
      <c:valAx>
        <c:axId val="23062014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30619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forcast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cat>
            <c:numRef>
              <c:f>'DCF estimations'!$G$238:$G$257</c:f>
              <c:numCache>
                <c:formatCode>General</c:formatCode>
                <c:ptCount val="20"/>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pt idx="16">
                  <c:v>2025</c:v>
                </c:pt>
                <c:pt idx="17">
                  <c:v>2026</c:v>
                </c:pt>
                <c:pt idx="18">
                  <c:v>2027</c:v>
                </c:pt>
                <c:pt idx="19">
                  <c:v>2028</c:v>
                </c:pt>
              </c:numCache>
            </c:numRef>
          </c:cat>
          <c:val>
            <c:numRef>
              <c:f>'DCF estimations'!$H$238:$H$257</c:f>
              <c:numCache>
                <c:formatCode>_-[$$-409]* #,##0.00_ ;_-[$$-409]* \-#,##0.00\ ;_-[$$-409]* "-"??_ ;_-@_ </c:formatCode>
                <c:ptCount val="20"/>
                <c:pt idx="0">
                  <c:v>2337</c:v>
                </c:pt>
                <c:pt idx="1">
                  <c:v>3360</c:v>
                </c:pt>
                <c:pt idx="2">
                  <c:v>1930</c:v>
                </c:pt>
                <c:pt idx="3">
                  <c:v>3595</c:v>
                </c:pt>
                <c:pt idx="4">
                  <c:v>4276</c:v>
                </c:pt>
                <c:pt idx="5">
                  <c:v>5065</c:v>
                </c:pt>
                <c:pt idx="6">
                  <c:v>6450</c:v>
                </c:pt>
                <c:pt idx="7">
                  <c:v>9516</c:v>
                </c:pt>
                <c:pt idx="8">
                  <c:v>27084</c:v>
                </c:pt>
                <c:pt idx="9">
                  <c:v>12369</c:v>
                </c:pt>
                <c:pt idx="10">
                  <c:v>24281</c:v>
                </c:pt>
                <c:pt idx="11">
                  <c:v>59611</c:v>
                </c:pt>
                <c:pt idx="12">
                  <c:v>58154</c:v>
                </c:pt>
                <c:pt idx="13">
                  <c:v>37601</c:v>
                </c:pt>
                <c:pt idx="14">
                  <c:v>49833</c:v>
                </c:pt>
                <c:pt idx="15">
                  <c:v>52888.676190476865</c:v>
                </c:pt>
                <c:pt idx="16">
                  <c:v>58643.208888888359</c:v>
                </c:pt>
                <c:pt idx="17">
                  <c:v>64653.57860619761</c:v>
                </c:pt>
                <c:pt idx="18">
                  <c:v>70455.669517964125</c:v>
                </c:pt>
                <c:pt idx="19">
                  <c:v>76282.453855548054</c:v>
                </c:pt>
              </c:numCache>
            </c:numRef>
          </c:val>
          <c:extLst>
            <c:ext xmlns:c16="http://schemas.microsoft.com/office/drawing/2014/chart" uri="{C3380CC4-5D6E-409C-BE32-E72D297353CC}">
              <c16:uniqueId val="{00000000-A327-436E-8AF1-9E608450834C}"/>
            </c:ext>
          </c:extLst>
        </c:ser>
        <c:dLbls>
          <c:showLegendKey val="0"/>
          <c:showVal val="0"/>
          <c:showCatName val="0"/>
          <c:showSerName val="0"/>
          <c:showPercent val="0"/>
          <c:showBubbleSize val="0"/>
        </c:dLbls>
        <c:gapWidth val="219"/>
        <c:overlap val="-27"/>
        <c:axId val="229486271"/>
        <c:axId val="229486751"/>
      </c:barChart>
      <c:catAx>
        <c:axId val="22948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29486751"/>
        <c:crosses val="autoZero"/>
        <c:auto val="1"/>
        <c:lblAlgn val="ctr"/>
        <c:lblOffset val="100"/>
        <c:noMultiLvlLbl val="0"/>
      </c:catAx>
      <c:valAx>
        <c:axId val="22948675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294862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forcast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cat>
            <c:numRef>
              <c:f>'DCF estimations'!$J$73:$J$92</c:f>
              <c:numCache>
                <c:formatCode>General</c:formatCode>
                <c:ptCount val="20"/>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pt idx="16">
                  <c:v>2025</c:v>
                </c:pt>
                <c:pt idx="17">
                  <c:v>2026</c:v>
                </c:pt>
                <c:pt idx="18">
                  <c:v>2027</c:v>
                </c:pt>
                <c:pt idx="19">
                  <c:v>2028</c:v>
                </c:pt>
              </c:numCache>
            </c:numRef>
          </c:cat>
          <c:val>
            <c:numRef>
              <c:f>'DCF estimations'!$K$73:$K$92</c:f>
              <c:numCache>
                <c:formatCode>_-[$$-409]* #,##0.00_ ;_-[$$-409]* \-#,##0.00\ ;_-[$$-409]* "-"??_ ;_-@_ </c:formatCode>
                <c:ptCount val="20"/>
                <c:pt idx="0">
                  <c:v>-373</c:v>
                </c:pt>
                <c:pt idx="1">
                  <c:v>-979</c:v>
                </c:pt>
                <c:pt idx="2">
                  <c:v>-1811</c:v>
                </c:pt>
                <c:pt idx="3">
                  <c:v>-3785</c:v>
                </c:pt>
                <c:pt idx="4">
                  <c:v>-3444</c:v>
                </c:pt>
                <c:pt idx="5">
                  <c:v>-4893</c:v>
                </c:pt>
                <c:pt idx="6">
                  <c:v>-4589</c:v>
                </c:pt>
                <c:pt idx="7">
                  <c:v>-6737</c:v>
                </c:pt>
                <c:pt idx="8">
                  <c:v>-10058</c:v>
                </c:pt>
                <c:pt idx="9">
                  <c:v>-11323</c:v>
                </c:pt>
                <c:pt idx="10">
                  <c:v>-12689</c:v>
                </c:pt>
                <c:pt idx="11">
                  <c:v>-35044</c:v>
                </c:pt>
                <c:pt idx="12">
                  <c:v>-55396</c:v>
                </c:pt>
                <c:pt idx="13">
                  <c:v>-58321</c:v>
                </c:pt>
                <c:pt idx="14">
                  <c:v>-48133</c:v>
                </c:pt>
                <c:pt idx="15">
                  <c:v>-63851.257142857146</c:v>
                </c:pt>
                <c:pt idx="16">
                  <c:v>-67841.960714285713</c:v>
                </c:pt>
                <c:pt idx="17">
                  <c:v>-71832.664285714287</c:v>
                </c:pt>
                <c:pt idx="18">
                  <c:v>-75823.367857142861</c:v>
                </c:pt>
                <c:pt idx="19">
                  <c:v>-79814.071428571435</c:v>
                </c:pt>
              </c:numCache>
            </c:numRef>
          </c:val>
          <c:extLst>
            <c:ext xmlns:c16="http://schemas.microsoft.com/office/drawing/2014/chart" uri="{C3380CC4-5D6E-409C-BE32-E72D297353CC}">
              <c16:uniqueId val="{00000000-4894-4FC5-8B99-C28E4A9F4BF9}"/>
            </c:ext>
          </c:extLst>
        </c:ser>
        <c:dLbls>
          <c:showLegendKey val="0"/>
          <c:showVal val="0"/>
          <c:showCatName val="0"/>
          <c:showSerName val="0"/>
          <c:showPercent val="0"/>
          <c:showBubbleSize val="0"/>
        </c:dLbls>
        <c:gapWidth val="219"/>
        <c:overlap val="-27"/>
        <c:axId val="1091624959"/>
        <c:axId val="1091623519"/>
      </c:barChart>
      <c:catAx>
        <c:axId val="1091624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091623519"/>
        <c:crosses val="autoZero"/>
        <c:auto val="1"/>
        <c:lblAlgn val="ctr"/>
        <c:lblOffset val="100"/>
        <c:noMultiLvlLbl val="0"/>
      </c:catAx>
      <c:valAx>
        <c:axId val="1091623519"/>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0916249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cat>
            <c:numRef>
              <c:f>'DCF estimations'!$Y$94:$Y$113</c:f>
              <c:numCache>
                <c:formatCode>General</c:formatCode>
                <c:ptCount val="20"/>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pt idx="16">
                  <c:v>2025</c:v>
                </c:pt>
                <c:pt idx="17">
                  <c:v>2026</c:v>
                </c:pt>
                <c:pt idx="18">
                  <c:v>2027</c:v>
                </c:pt>
                <c:pt idx="19">
                  <c:v>2028</c:v>
                </c:pt>
              </c:numCache>
            </c:numRef>
          </c:cat>
          <c:val>
            <c:numRef>
              <c:f>'DCF estimations'!$Z$94:$Z$113</c:f>
              <c:numCache>
                <c:formatCode>_-[$$-409]* #,##0.00_ ;_-[$$-409]* \-#,##0.00\ ;_-[$$-409]* "-"??_ ;_-@_ </c:formatCode>
                <c:ptCount val="20"/>
                <c:pt idx="0">
                  <c:v>-373</c:v>
                </c:pt>
                <c:pt idx="1">
                  <c:v>-979</c:v>
                </c:pt>
                <c:pt idx="2">
                  <c:v>-1811</c:v>
                </c:pt>
                <c:pt idx="3">
                  <c:v>-3785</c:v>
                </c:pt>
                <c:pt idx="4">
                  <c:v>-3444</c:v>
                </c:pt>
                <c:pt idx="5">
                  <c:v>-4893</c:v>
                </c:pt>
                <c:pt idx="6">
                  <c:v>-4589</c:v>
                </c:pt>
                <c:pt idx="7">
                  <c:v>-6737</c:v>
                </c:pt>
                <c:pt idx="8">
                  <c:v>-10058</c:v>
                </c:pt>
                <c:pt idx="9">
                  <c:v>-11323</c:v>
                </c:pt>
                <c:pt idx="10">
                  <c:v>-12689</c:v>
                </c:pt>
                <c:pt idx="11">
                  <c:v>-35044</c:v>
                </c:pt>
                <c:pt idx="12">
                  <c:v>-55396</c:v>
                </c:pt>
                <c:pt idx="13">
                  <c:v>-58321</c:v>
                </c:pt>
                <c:pt idx="14">
                  <c:v>-48133</c:v>
                </c:pt>
                <c:pt idx="15">
                  <c:v>-49097.295238095336</c:v>
                </c:pt>
                <c:pt idx="16">
                  <c:v>-54891.01206349209</c:v>
                </c:pt>
                <c:pt idx="17">
                  <c:v>-60935.711606953293</c:v>
                </c:pt>
                <c:pt idx="18">
                  <c:v>-67186.692588763312</c:v>
                </c:pt>
                <c:pt idx="19">
                  <c:v>-73734.924357902259</c:v>
                </c:pt>
              </c:numCache>
            </c:numRef>
          </c:val>
          <c:extLst>
            <c:ext xmlns:c16="http://schemas.microsoft.com/office/drawing/2014/chart" uri="{C3380CC4-5D6E-409C-BE32-E72D297353CC}">
              <c16:uniqueId val="{00000000-516D-4F4C-B2F9-A09E92D25475}"/>
            </c:ext>
          </c:extLst>
        </c:ser>
        <c:dLbls>
          <c:showLegendKey val="0"/>
          <c:showVal val="0"/>
          <c:showCatName val="0"/>
          <c:showSerName val="0"/>
          <c:showPercent val="0"/>
          <c:showBubbleSize val="0"/>
        </c:dLbls>
        <c:gapWidth val="219"/>
        <c:overlap val="-27"/>
        <c:axId val="148822335"/>
        <c:axId val="148845855"/>
      </c:barChart>
      <c:catAx>
        <c:axId val="14882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48845855"/>
        <c:crosses val="autoZero"/>
        <c:auto val="1"/>
        <c:lblAlgn val="ctr"/>
        <c:lblOffset val="100"/>
        <c:noMultiLvlLbl val="0"/>
      </c:catAx>
      <c:valAx>
        <c:axId val="14884585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488223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4.xml"/><Relationship Id="rId3" Type="http://schemas.openxmlformats.org/officeDocument/2006/relationships/chart" Target="../charts/chart1.xml"/><Relationship Id="rId7" Type="http://schemas.openxmlformats.org/officeDocument/2006/relationships/image" Target="../media/image6.png"/><Relationship Id="rId12" Type="http://schemas.openxmlformats.org/officeDocument/2006/relationships/image" Target="../media/image9.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5.png"/><Relationship Id="rId11" Type="http://schemas.openxmlformats.org/officeDocument/2006/relationships/chart" Target="../charts/chart3.xml"/><Relationship Id="rId5" Type="http://schemas.openxmlformats.org/officeDocument/2006/relationships/image" Target="../media/image4.png"/><Relationship Id="rId15" Type="http://schemas.openxmlformats.org/officeDocument/2006/relationships/image" Target="../media/image10.png"/><Relationship Id="rId10" Type="http://schemas.openxmlformats.org/officeDocument/2006/relationships/image" Target="../media/image8.png"/><Relationship Id="rId4" Type="http://schemas.openxmlformats.org/officeDocument/2006/relationships/image" Target="../media/image3.png"/><Relationship Id="rId9" Type="http://schemas.openxmlformats.org/officeDocument/2006/relationships/chart" Target="../charts/chart2.xml"/><Relationship Id="rId1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chart" Target="../charts/chart6.xml"/><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chart" Target="../charts/chart11.xml"/><Relationship Id="rId4" Type="http://schemas.openxmlformats.org/officeDocument/2006/relationships/image" Target="../media/image15.jpeg"/></Relationships>
</file>

<file path=xl/drawings/_rels/drawing6.xml.rels><?xml version="1.0" encoding="UTF-8" standalone="yes"?>
<Relationships xmlns="http://schemas.openxmlformats.org/package/2006/relationships"><Relationship Id="rId8" Type="http://schemas.openxmlformats.org/officeDocument/2006/relationships/chart" Target="../charts/chart19.xml"/><Relationship Id="rId13" Type="http://schemas.openxmlformats.org/officeDocument/2006/relationships/chart" Target="../charts/chart24.xml"/><Relationship Id="rId3" Type="http://schemas.openxmlformats.org/officeDocument/2006/relationships/chart" Target="../charts/chart14.xml"/><Relationship Id="rId7" Type="http://schemas.openxmlformats.org/officeDocument/2006/relationships/chart" Target="../charts/chart18.xml"/><Relationship Id="rId12" Type="http://schemas.openxmlformats.org/officeDocument/2006/relationships/chart" Target="../charts/chart23.xml"/><Relationship Id="rId2" Type="http://schemas.openxmlformats.org/officeDocument/2006/relationships/chart" Target="../charts/chart13.xml"/><Relationship Id="rId16" Type="http://schemas.openxmlformats.org/officeDocument/2006/relationships/chart" Target="../charts/chart27.xml"/><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chart" Target="../charts/chart22.xml"/><Relationship Id="rId5" Type="http://schemas.openxmlformats.org/officeDocument/2006/relationships/chart" Target="../charts/chart16.xml"/><Relationship Id="rId15" Type="http://schemas.openxmlformats.org/officeDocument/2006/relationships/chart" Target="../charts/chart26.xml"/><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 Id="rId14" Type="http://schemas.openxmlformats.org/officeDocument/2006/relationships/chart" Target="../charts/chart25.xml"/></Relationships>
</file>

<file path=xl/drawings/_rels/drawing7.xml.rels><?xml version="1.0" encoding="UTF-8" standalone="yes"?>
<Relationships xmlns="http://schemas.openxmlformats.org/package/2006/relationships"><Relationship Id="rId1" Type="http://schemas.openxmlformats.org/officeDocument/2006/relationships/image" Target="../media/image16.png"/></Relationships>
</file>

<file path=xl/drawings/_rels/drawing8.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11</xdr:col>
      <xdr:colOff>936509</xdr:colOff>
      <xdr:row>9</xdr:row>
      <xdr:rowOff>10644</xdr:rowOff>
    </xdr:from>
    <xdr:to>
      <xdr:col>14</xdr:col>
      <xdr:colOff>1764366</xdr:colOff>
      <xdr:row>25</xdr:row>
      <xdr:rowOff>132789</xdr:rowOff>
    </xdr:to>
    <xdr:pic>
      <xdr:nvPicPr>
        <xdr:cNvPr id="2" name="Picture 1" descr="Business Life Cycle - Understanding the 5 Different Stages">
          <a:extLst>
            <a:ext uri="{FF2B5EF4-FFF2-40B4-BE49-F238E27FC236}">
              <a16:creationId xmlns:a16="http://schemas.microsoft.com/office/drawing/2014/main" id="{2234916C-804A-E344-1579-06A549EB45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84538" y="2386291"/>
          <a:ext cx="4604240" cy="30692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634266</xdr:colOff>
      <xdr:row>28</xdr:row>
      <xdr:rowOff>55485</xdr:rowOff>
    </xdr:from>
    <xdr:to>
      <xdr:col>15</xdr:col>
      <xdr:colOff>1430987</xdr:colOff>
      <xdr:row>46</xdr:row>
      <xdr:rowOff>161365</xdr:rowOff>
    </xdr:to>
    <xdr:pic>
      <xdr:nvPicPr>
        <xdr:cNvPr id="4" name="Picture 3">
          <a:extLst>
            <a:ext uri="{FF2B5EF4-FFF2-40B4-BE49-F238E27FC236}">
              <a16:creationId xmlns:a16="http://schemas.microsoft.com/office/drawing/2014/main" id="{A4A5B0E4-3878-9818-4391-EC4C453F5C23}"/>
            </a:ext>
          </a:extLst>
        </xdr:cNvPr>
        <xdr:cNvPicPr>
          <a:picLocks noChangeAspect="1"/>
        </xdr:cNvPicPr>
      </xdr:nvPicPr>
      <xdr:blipFill>
        <a:blip xmlns:r="http://schemas.openxmlformats.org/officeDocument/2006/relationships" r:embed="rId2"/>
        <a:stretch>
          <a:fillRect/>
        </a:stretch>
      </xdr:blipFill>
      <xdr:spPr>
        <a:xfrm>
          <a:off x="11358295" y="4638691"/>
          <a:ext cx="6444486" cy="3355586"/>
        </a:xfrm>
        <a:prstGeom prst="rect">
          <a:avLst/>
        </a:prstGeom>
      </xdr:spPr>
    </xdr:pic>
    <xdr:clientData/>
  </xdr:twoCellAnchor>
  <xdr:absoluteAnchor>
    <xdr:pos x="11845738" y="9806827"/>
    <xdr:ext cx="8267700" cy="4219575"/>
    <xdr:graphicFrame macro="">
      <xdr:nvGraphicFramePr>
        <xdr:cNvPr id="6" name="Chart 5">
          <a:extLst>
            <a:ext uri="{FF2B5EF4-FFF2-40B4-BE49-F238E27FC236}">
              <a16:creationId xmlns:a16="http://schemas.microsoft.com/office/drawing/2014/main" id="{5179E108-8179-4C54-94B7-93F5E35ED76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absoluteAnchor>
  <xdr:twoCellAnchor editAs="oneCell">
    <xdr:from>
      <xdr:col>11</xdr:col>
      <xdr:colOff>400050</xdr:colOff>
      <xdr:row>84</xdr:row>
      <xdr:rowOff>0</xdr:rowOff>
    </xdr:from>
    <xdr:to>
      <xdr:col>17</xdr:col>
      <xdr:colOff>272282</xdr:colOff>
      <xdr:row>88</xdr:row>
      <xdr:rowOff>66576</xdr:rowOff>
    </xdr:to>
    <xdr:pic>
      <xdr:nvPicPr>
        <xdr:cNvPr id="3" name="Picture 2">
          <a:extLst>
            <a:ext uri="{FF2B5EF4-FFF2-40B4-BE49-F238E27FC236}">
              <a16:creationId xmlns:a16="http://schemas.microsoft.com/office/drawing/2014/main" id="{4BC12DF5-2024-880F-4171-E277D12AB62D}"/>
            </a:ext>
          </a:extLst>
        </xdr:cNvPr>
        <xdr:cNvPicPr>
          <a:picLocks noChangeAspect="1"/>
        </xdr:cNvPicPr>
      </xdr:nvPicPr>
      <xdr:blipFill>
        <a:blip xmlns:r="http://schemas.openxmlformats.org/officeDocument/2006/relationships" r:embed="rId4"/>
        <a:stretch>
          <a:fillRect/>
        </a:stretch>
      </xdr:blipFill>
      <xdr:spPr>
        <a:xfrm>
          <a:off x="8524875" y="14954250"/>
          <a:ext cx="9123809" cy="790476"/>
        </a:xfrm>
        <a:prstGeom prst="rect">
          <a:avLst/>
        </a:prstGeom>
      </xdr:spPr>
    </xdr:pic>
    <xdr:clientData/>
  </xdr:twoCellAnchor>
  <xdr:twoCellAnchor editAs="oneCell">
    <xdr:from>
      <xdr:col>3</xdr:col>
      <xdr:colOff>598274</xdr:colOff>
      <xdr:row>89</xdr:row>
      <xdr:rowOff>171450</xdr:rowOff>
    </xdr:from>
    <xdr:to>
      <xdr:col>14</xdr:col>
      <xdr:colOff>1792261</xdr:colOff>
      <xdr:row>94</xdr:row>
      <xdr:rowOff>66675</xdr:rowOff>
    </xdr:to>
    <xdr:pic>
      <xdr:nvPicPr>
        <xdr:cNvPr id="5" name="Picture 4">
          <a:extLst>
            <a:ext uri="{FF2B5EF4-FFF2-40B4-BE49-F238E27FC236}">
              <a16:creationId xmlns:a16="http://schemas.microsoft.com/office/drawing/2014/main" id="{E8BAB83B-EAC1-9B0B-3250-3131B581C514}"/>
            </a:ext>
          </a:extLst>
        </xdr:cNvPr>
        <xdr:cNvPicPr>
          <a:picLocks noChangeAspect="1"/>
        </xdr:cNvPicPr>
      </xdr:nvPicPr>
      <xdr:blipFill>
        <a:blip xmlns:r="http://schemas.openxmlformats.org/officeDocument/2006/relationships" r:embed="rId5"/>
        <a:stretch>
          <a:fillRect/>
        </a:stretch>
      </xdr:blipFill>
      <xdr:spPr>
        <a:xfrm>
          <a:off x="3236699" y="16030575"/>
          <a:ext cx="14411325" cy="800100"/>
        </a:xfrm>
        <a:prstGeom prst="rect">
          <a:avLst/>
        </a:prstGeom>
      </xdr:spPr>
    </xdr:pic>
    <xdr:clientData/>
  </xdr:twoCellAnchor>
  <xdr:twoCellAnchor editAs="oneCell">
    <xdr:from>
      <xdr:col>6</xdr:col>
      <xdr:colOff>428625</xdr:colOff>
      <xdr:row>96</xdr:row>
      <xdr:rowOff>85725</xdr:rowOff>
    </xdr:from>
    <xdr:to>
      <xdr:col>16</xdr:col>
      <xdr:colOff>735769</xdr:colOff>
      <xdr:row>97</xdr:row>
      <xdr:rowOff>123798</xdr:rowOff>
    </xdr:to>
    <xdr:pic>
      <xdr:nvPicPr>
        <xdr:cNvPr id="7" name="Picture 6">
          <a:extLst>
            <a:ext uri="{FF2B5EF4-FFF2-40B4-BE49-F238E27FC236}">
              <a16:creationId xmlns:a16="http://schemas.microsoft.com/office/drawing/2014/main" id="{C3C6E527-9F54-0792-F516-12364E12E255}"/>
            </a:ext>
          </a:extLst>
        </xdr:cNvPr>
        <xdr:cNvPicPr>
          <a:picLocks noChangeAspect="1"/>
        </xdr:cNvPicPr>
      </xdr:nvPicPr>
      <xdr:blipFill>
        <a:blip xmlns:r="http://schemas.openxmlformats.org/officeDocument/2006/relationships" r:embed="rId6"/>
        <a:stretch>
          <a:fillRect/>
        </a:stretch>
      </xdr:blipFill>
      <xdr:spPr>
        <a:xfrm>
          <a:off x="5124450" y="17211675"/>
          <a:ext cx="12619047" cy="219048"/>
        </a:xfrm>
        <a:prstGeom prst="rect">
          <a:avLst/>
        </a:prstGeom>
      </xdr:spPr>
    </xdr:pic>
    <xdr:clientData/>
  </xdr:twoCellAnchor>
  <xdr:twoCellAnchor editAs="oneCell">
    <xdr:from>
      <xdr:col>1</xdr:col>
      <xdr:colOff>352425</xdr:colOff>
      <xdr:row>133</xdr:row>
      <xdr:rowOff>142875</xdr:rowOff>
    </xdr:from>
    <xdr:to>
      <xdr:col>4</xdr:col>
      <xdr:colOff>1550878</xdr:colOff>
      <xdr:row>134</xdr:row>
      <xdr:rowOff>171424</xdr:rowOff>
    </xdr:to>
    <xdr:pic>
      <xdr:nvPicPr>
        <xdr:cNvPr id="8" name="Picture 7">
          <a:extLst>
            <a:ext uri="{FF2B5EF4-FFF2-40B4-BE49-F238E27FC236}">
              <a16:creationId xmlns:a16="http://schemas.microsoft.com/office/drawing/2014/main" id="{13C4E00B-286E-16BD-7196-7A837A20467C}"/>
            </a:ext>
          </a:extLst>
        </xdr:cNvPr>
        <xdr:cNvPicPr>
          <a:picLocks noChangeAspect="1"/>
        </xdr:cNvPicPr>
      </xdr:nvPicPr>
      <xdr:blipFill>
        <a:blip xmlns:r="http://schemas.openxmlformats.org/officeDocument/2006/relationships" r:embed="rId7"/>
        <a:stretch>
          <a:fillRect/>
        </a:stretch>
      </xdr:blipFill>
      <xdr:spPr>
        <a:xfrm>
          <a:off x="1038225" y="23964900"/>
          <a:ext cx="4609524" cy="209524"/>
        </a:xfrm>
        <a:prstGeom prst="rect">
          <a:avLst/>
        </a:prstGeom>
      </xdr:spPr>
    </xdr:pic>
    <xdr:clientData/>
  </xdr:twoCellAnchor>
  <xdr:twoCellAnchor editAs="oneCell">
    <xdr:from>
      <xdr:col>0</xdr:col>
      <xdr:colOff>666750</xdr:colOff>
      <xdr:row>80</xdr:row>
      <xdr:rowOff>76200</xdr:rowOff>
    </xdr:from>
    <xdr:to>
      <xdr:col>4</xdr:col>
      <xdr:colOff>1141308</xdr:colOff>
      <xdr:row>81</xdr:row>
      <xdr:rowOff>142844</xdr:rowOff>
    </xdr:to>
    <xdr:pic>
      <xdr:nvPicPr>
        <xdr:cNvPr id="9" name="Picture 8">
          <a:extLst>
            <a:ext uri="{FF2B5EF4-FFF2-40B4-BE49-F238E27FC236}">
              <a16:creationId xmlns:a16="http://schemas.microsoft.com/office/drawing/2014/main" id="{7C4EA4AC-D1AC-D528-1CE0-DB6D2F3DC514}"/>
            </a:ext>
          </a:extLst>
        </xdr:cNvPr>
        <xdr:cNvPicPr>
          <a:picLocks noChangeAspect="1"/>
        </xdr:cNvPicPr>
      </xdr:nvPicPr>
      <xdr:blipFill>
        <a:blip xmlns:r="http://schemas.openxmlformats.org/officeDocument/2006/relationships" r:embed="rId8"/>
        <a:stretch>
          <a:fillRect/>
        </a:stretch>
      </xdr:blipFill>
      <xdr:spPr>
        <a:xfrm>
          <a:off x="666750" y="14306550"/>
          <a:ext cx="4571429" cy="247619"/>
        </a:xfrm>
        <a:prstGeom prst="rect">
          <a:avLst/>
        </a:prstGeom>
      </xdr:spPr>
    </xdr:pic>
    <xdr:clientData/>
  </xdr:twoCellAnchor>
  <xdr:twoCellAnchor>
    <xdr:from>
      <xdr:col>16</xdr:col>
      <xdr:colOff>252412</xdr:colOff>
      <xdr:row>105</xdr:row>
      <xdr:rowOff>142875</xdr:rowOff>
    </xdr:from>
    <xdr:to>
      <xdr:col>23</xdr:col>
      <xdr:colOff>23812</xdr:colOff>
      <xdr:row>120</xdr:row>
      <xdr:rowOff>171450</xdr:rowOff>
    </xdr:to>
    <xdr:graphicFrame macro="">
      <xdr:nvGraphicFramePr>
        <xdr:cNvPr id="10" name="Chart 9">
          <a:extLst>
            <a:ext uri="{FF2B5EF4-FFF2-40B4-BE49-F238E27FC236}">
              <a16:creationId xmlns:a16="http://schemas.microsoft.com/office/drawing/2014/main" id="{5ABFA1C2-DC8D-8EE1-17EF-7EEC6F136C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381000</xdr:colOff>
      <xdr:row>119</xdr:row>
      <xdr:rowOff>1</xdr:rowOff>
    </xdr:from>
    <xdr:to>
      <xdr:col>12</xdr:col>
      <xdr:colOff>540300</xdr:colOff>
      <xdr:row>140</xdr:row>
      <xdr:rowOff>2249</xdr:rowOff>
    </xdr:to>
    <xdr:pic>
      <xdr:nvPicPr>
        <xdr:cNvPr id="11" name="Picture 10">
          <a:extLst>
            <a:ext uri="{FF2B5EF4-FFF2-40B4-BE49-F238E27FC236}">
              <a16:creationId xmlns:a16="http://schemas.microsoft.com/office/drawing/2014/main" id="{3A47B32D-F640-CA3B-9DCF-38EAD31E2081}"/>
            </a:ext>
          </a:extLst>
        </xdr:cNvPr>
        <xdr:cNvPicPr>
          <a:picLocks noChangeAspect="1"/>
        </xdr:cNvPicPr>
      </xdr:nvPicPr>
      <xdr:blipFill>
        <a:blip xmlns:r="http://schemas.openxmlformats.org/officeDocument/2006/relationships" r:embed="rId10"/>
        <a:stretch>
          <a:fillRect/>
        </a:stretch>
      </xdr:blipFill>
      <xdr:spPr>
        <a:xfrm>
          <a:off x="8667750" y="21288376"/>
          <a:ext cx="4485330" cy="3812248"/>
        </a:xfrm>
        <a:prstGeom prst="rect">
          <a:avLst/>
        </a:prstGeom>
      </xdr:spPr>
    </xdr:pic>
    <xdr:clientData/>
  </xdr:twoCellAnchor>
  <xdr:twoCellAnchor>
    <xdr:from>
      <xdr:col>7</xdr:col>
      <xdr:colOff>612681</xdr:colOff>
      <xdr:row>151</xdr:row>
      <xdr:rowOff>115420</xdr:rowOff>
    </xdr:from>
    <xdr:to>
      <xdr:col>13</xdr:col>
      <xdr:colOff>679356</xdr:colOff>
      <xdr:row>165</xdr:row>
      <xdr:rowOff>170889</xdr:rowOff>
    </xdr:to>
    <xdr:graphicFrame macro="">
      <xdr:nvGraphicFramePr>
        <xdr:cNvPr id="12" name="Chart 11">
          <a:extLst>
            <a:ext uri="{FF2B5EF4-FFF2-40B4-BE49-F238E27FC236}">
              <a16:creationId xmlns:a16="http://schemas.microsoft.com/office/drawing/2014/main" id="{4C6A297B-67BE-49FA-E0E2-20F9371BFE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6</xdr:col>
      <xdr:colOff>414618</xdr:colOff>
      <xdr:row>177</xdr:row>
      <xdr:rowOff>33619</xdr:rowOff>
    </xdr:from>
    <xdr:to>
      <xdr:col>12</xdr:col>
      <xdr:colOff>1298434</xdr:colOff>
      <xdr:row>191</xdr:row>
      <xdr:rowOff>41127</xdr:rowOff>
    </xdr:to>
    <xdr:pic>
      <xdr:nvPicPr>
        <xdr:cNvPr id="14" name="Picture 13">
          <a:extLst>
            <a:ext uri="{FF2B5EF4-FFF2-40B4-BE49-F238E27FC236}">
              <a16:creationId xmlns:a16="http://schemas.microsoft.com/office/drawing/2014/main" id="{DC1C2A38-9138-7CF8-4BB3-4ED99C393D8E}"/>
            </a:ext>
          </a:extLst>
        </xdr:cNvPr>
        <xdr:cNvPicPr>
          <a:picLocks noChangeAspect="1"/>
        </xdr:cNvPicPr>
      </xdr:nvPicPr>
      <xdr:blipFill>
        <a:blip xmlns:r="http://schemas.openxmlformats.org/officeDocument/2006/relationships" r:embed="rId12"/>
        <a:stretch>
          <a:fillRect/>
        </a:stretch>
      </xdr:blipFill>
      <xdr:spPr>
        <a:xfrm>
          <a:off x="7384677" y="31757472"/>
          <a:ext cx="7114286" cy="2685714"/>
        </a:xfrm>
        <a:prstGeom prst="rect">
          <a:avLst/>
        </a:prstGeom>
      </xdr:spPr>
    </xdr:pic>
    <xdr:clientData/>
  </xdr:twoCellAnchor>
  <xdr:twoCellAnchor>
    <xdr:from>
      <xdr:col>6</xdr:col>
      <xdr:colOff>773208</xdr:colOff>
      <xdr:row>192</xdr:row>
      <xdr:rowOff>34736</xdr:rowOff>
    </xdr:from>
    <xdr:to>
      <xdr:col>12</xdr:col>
      <xdr:colOff>1075766</xdr:colOff>
      <xdr:row>211</xdr:row>
      <xdr:rowOff>67234</xdr:rowOff>
    </xdr:to>
    <xdr:graphicFrame macro="">
      <xdr:nvGraphicFramePr>
        <xdr:cNvPr id="15" name="Chart 14">
          <a:extLst>
            <a:ext uri="{FF2B5EF4-FFF2-40B4-BE49-F238E27FC236}">
              <a16:creationId xmlns:a16="http://schemas.microsoft.com/office/drawing/2014/main" id="{703263D2-D70B-01B8-B55B-AD0834DE31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616323</xdr:colOff>
      <xdr:row>211</xdr:row>
      <xdr:rowOff>168088</xdr:rowOff>
    </xdr:from>
    <xdr:to>
      <xdr:col>12</xdr:col>
      <xdr:colOff>1199028</xdr:colOff>
      <xdr:row>231</xdr:row>
      <xdr:rowOff>155761</xdr:rowOff>
    </xdr:to>
    <xdr:graphicFrame macro="">
      <xdr:nvGraphicFramePr>
        <xdr:cNvPr id="17" name="Chart 16">
          <a:extLst>
            <a:ext uri="{FF2B5EF4-FFF2-40B4-BE49-F238E27FC236}">
              <a16:creationId xmlns:a16="http://schemas.microsoft.com/office/drawing/2014/main" id="{F7217C95-F6C8-688B-E685-CDF0F6AF00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6</xdr:col>
      <xdr:colOff>243499</xdr:colOff>
      <xdr:row>0</xdr:row>
      <xdr:rowOff>100853</xdr:rowOff>
    </xdr:from>
    <xdr:to>
      <xdr:col>7</xdr:col>
      <xdr:colOff>582706</xdr:colOff>
      <xdr:row>7</xdr:row>
      <xdr:rowOff>123264</xdr:rowOff>
    </xdr:to>
    <xdr:pic>
      <xdr:nvPicPr>
        <xdr:cNvPr id="18" name="Picture 17" descr="U.S. Securities and Exchange Commission - Wikipedia">
          <a:extLst>
            <a:ext uri="{FF2B5EF4-FFF2-40B4-BE49-F238E27FC236}">
              <a16:creationId xmlns:a16="http://schemas.microsoft.com/office/drawing/2014/main" id="{6108354A-841E-1FC4-A610-9D9AFB4AC725}"/>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7415264" y="100853"/>
          <a:ext cx="1571854" cy="15576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c:userShapes xmlns:c="http://schemas.openxmlformats.org/drawingml/2006/chart">
  <cdr:relSizeAnchor xmlns:cdr="http://schemas.openxmlformats.org/drawingml/2006/chartDrawing">
    <cdr:from>
      <cdr:x>0.14454</cdr:x>
      <cdr:y>0.78401</cdr:y>
    </cdr:from>
    <cdr:to>
      <cdr:x>0.99421</cdr:x>
      <cdr:y>0.86438</cdr:y>
    </cdr:to>
    <cdr:sp macro="" textlink="">
      <cdr:nvSpPr>
        <cdr:cNvPr id="2" name="TextBox 1"/>
        <cdr:cNvSpPr txBox="1"/>
      </cdr:nvSpPr>
      <cdr:spPr>
        <a:xfrm xmlns:a="http://schemas.openxmlformats.org/drawingml/2006/main">
          <a:off x="1240480" y="4571147"/>
          <a:ext cx="7291971" cy="468594"/>
        </a:xfrm>
        <a:prstGeom xmlns:a="http://schemas.openxmlformats.org/drawingml/2006/main" prst="rect">
          <a:avLst/>
        </a:prstGeom>
      </cdr:spPr>
      <cdr:txBody>
        <a:bodyPr xmlns:a="http://schemas.openxmlformats.org/drawingml/2006/main" vertOverflow="clip" wrap="square" rtlCol="0">
          <a:spAutoFit/>
        </a:bodyPr>
        <a:lstStyle xmlns:a="http://schemas.openxmlformats.org/drawingml/2006/main"/>
        <a:p xmlns:a="http://schemas.openxmlformats.org/drawingml/2006/main">
          <a:r>
            <a:rPr lang="en-US" sz="1200"/>
            <a:t>The implied equity</a:t>
          </a:r>
          <a:r>
            <a:rPr lang="en-US" sz="1200" baseline="0"/>
            <a:t> risk premium is what stocks are priced to earn over and above the risk free rate. At the end of 2022, that premium was 5.94%, well above the historical average rate.</a:t>
          </a:r>
          <a:endParaRPr lang="en-US" sz="1200"/>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0</xdr:col>
      <xdr:colOff>438150</xdr:colOff>
      <xdr:row>26</xdr:row>
      <xdr:rowOff>76201</xdr:rowOff>
    </xdr:from>
    <xdr:to>
      <xdr:col>11</xdr:col>
      <xdr:colOff>969875</xdr:colOff>
      <xdr:row>62</xdr:row>
      <xdr:rowOff>36981</xdr:rowOff>
    </xdr:to>
    <xdr:pic>
      <xdr:nvPicPr>
        <xdr:cNvPr id="2" name="Picture 1">
          <a:extLst>
            <a:ext uri="{FF2B5EF4-FFF2-40B4-BE49-F238E27FC236}">
              <a16:creationId xmlns:a16="http://schemas.microsoft.com/office/drawing/2014/main" id="{DFE1E5F7-F209-8CE3-3BCC-833B7EFAB247}"/>
            </a:ext>
          </a:extLst>
        </xdr:cNvPr>
        <xdr:cNvPicPr>
          <a:picLocks noChangeAspect="1"/>
        </xdr:cNvPicPr>
      </xdr:nvPicPr>
      <xdr:blipFill>
        <a:blip xmlns:r="http://schemas.openxmlformats.org/officeDocument/2006/relationships" r:embed="rId1"/>
        <a:stretch>
          <a:fillRect/>
        </a:stretch>
      </xdr:blipFill>
      <xdr:spPr>
        <a:xfrm>
          <a:off x="438150" y="4848226"/>
          <a:ext cx="10656800" cy="6475880"/>
        </a:xfrm>
        <a:prstGeom prst="rect">
          <a:avLst/>
        </a:prstGeom>
      </xdr:spPr>
    </xdr:pic>
    <xdr:clientData/>
  </xdr:twoCellAnchor>
  <xdr:twoCellAnchor>
    <xdr:from>
      <xdr:col>6</xdr:col>
      <xdr:colOff>157162</xdr:colOff>
      <xdr:row>83</xdr:row>
      <xdr:rowOff>47625</xdr:rowOff>
    </xdr:from>
    <xdr:to>
      <xdr:col>12</xdr:col>
      <xdr:colOff>614362</xdr:colOff>
      <xdr:row>97</xdr:row>
      <xdr:rowOff>123825</xdr:rowOff>
    </xdr:to>
    <xdr:graphicFrame macro="">
      <xdr:nvGraphicFramePr>
        <xdr:cNvPr id="3" name="Chart 2">
          <a:extLst>
            <a:ext uri="{FF2B5EF4-FFF2-40B4-BE49-F238E27FC236}">
              <a16:creationId xmlns:a16="http://schemas.microsoft.com/office/drawing/2014/main" id="{9A1F21C8-9B75-1DD6-CF0E-74630B6EF8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281196</xdr:colOff>
      <xdr:row>102</xdr:row>
      <xdr:rowOff>20887</xdr:rowOff>
    </xdr:from>
    <xdr:to>
      <xdr:col>22</xdr:col>
      <xdr:colOff>502601</xdr:colOff>
      <xdr:row>116</xdr:row>
      <xdr:rowOff>19050</xdr:rowOff>
    </xdr:to>
    <xdr:pic>
      <xdr:nvPicPr>
        <xdr:cNvPr id="4" name="Picture 3">
          <a:extLst>
            <a:ext uri="{FF2B5EF4-FFF2-40B4-BE49-F238E27FC236}">
              <a16:creationId xmlns:a16="http://schemas.microsoft.com/office/drawing/2014/main" id="{BD95604E-C39D-AB81-0881-A301F0E736D7}"/>
            </a:ext>
          </a:extLst>
        </xdr:cNvPr>
        <xdr:cNvPicPr>
          <a:picLocks noChangeAspect="1"/>
        </xdr:cNvPicPr>
      </xdr:nvPicPr>
      <xdr:blipFill>
        <a:blip xmlns:r="http://schemas.openxmlformats.org/officeDocument/2006/relationships" r:embed="rId3"/>
        <a:stretch>
          <a:fillRect/>
        </a:stretch>
      </xdr:blipFill>
      <xdr:spPr>
        <a:xfrm>
          <a:off x="5558046" y="18851812"/>
          <a:ext cx="12680105" cy="260801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1514475</xdr:colOff>
      <xdr:row>19</xdr:row>
      <xdr:rowOff>133350</xdr:rowOff>
    </xdr:from>
    <xdr:to>
      <xdr:col>11</xdr:col>
      <xdr:colOff>750234</xdr:colOff>
      <xdr:row>34</xdr:row>
      <xdr:rowOff>141194</xdr:rowOff>
    </xdr:to>
    <xdr:graphicFrame macro="">
      <xdr:nvGraphicFramePr>
        <xdr:cNvPr id="2" name="Chart 1">
          <a:extLst>
            <a:ext uri="{FF2B5EF4-FFF2-40B4-BE49-F238E27FC236}">
              <a16:creationId xmlns:a16="http://schemas.microsoft.com/office/drawing/2014/main" id="{66165DDC-C65E-4395-AB5D-041C84515E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38101</xdr:colOff>
      <xdr:row>19</xdr:row>
      <xdr:rowOff>104776</xdr:rowOff>
    </xdr:from>
    <xdr:to>
      <xdr:col>17</xdr:col>
      <xdr:colOff>333375</xdr:colOff>
      <xdr:row>35</xdr:row>
      <xdr:rowOff>47626</xdr:rowOff>
    </xdr:to>
    <xdr:graphicFrame macro="">
      <xdr:nvGraphicFramePr>
        <xdr:cNvPr id="3" name="Chart 2">
          <a:extLst>
            <a:ext uri="{FF2B5EF4-FFF2-40B4-BE49-F238E27FC236}">
              <a16:creationId xmlns:a16="http://schemas.microsoft.com/office/drawing/2014/main" id="{4746F846-3E7C-433D-9389-7EED1A7F82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638175</xdr:colOff>
      <xdr:row>19</xdr:row>
      <xdr:rowOff>133350</xdr:rowOff>
    </xdr:from>
    <xdr:to>
      <xdr:col>6</xdr:col>
      <xdr:colOff>1066800</xdr:colOff>
      <xdr:row>34</xdr:row>
      <xdr:rowOff>142875</xdr:rowOff>
    </xdr:to>
    <xdr:graphicFrame macro="">
      <xdr:nvGraphicFramePr>
        <xdr:cNvPr id="4" name="Chart 3">
          <a:extLst>
            <a:ext uri="{FF2B5EF4-FFF2-40B4-BE49-F238E27FC236}">
              <a16:creationId xmlns:a16="http://schemas.microsoft.com/office/drawing/2014/main" id="{9CF3C3BF-DF99-5D95-6D90-0AB521CD33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1514475</xdr:colOff>
      <xdr:row>36</xdr:row>
      <xdr:rowOff>114300</xdr:rowOff>
    </xdr:from>
    <xdr:to>
      <xdr:col>11</xdr:col>
      <xdr:colOff>742950</xdr:colOff>
      <xdr:row>51</xdr:row>
      <xdr:rowOff>95250</xdr:rowOff>
    </xdr:to>
    <xdr:graphicFrame macro="">
      <xdr:nvGraphicFramePr>
        <xdr:cNvPr id="5" name="Chart 4">
          <a:extLst>
            <a:ext uri="{FF2B5EF4-FFF2-40B4-BE49-F238E27FC236}">
              <a16:creationId xmlns:a16="http://schemas.microsoft.com/office/drawing/2014/main" id="{0BC63DBD-273B-BFD0-F7FD-264C44268A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17</xdr:col>
      <xdr:colOff>375394</xdr:colOff>
      <xdr:row>31</xdr:row>
      <xdr:rowOff>51547</xdr:rowOff>
    </xdr:from>
    <xdr:to>
      <xdr:col>23</xdr:col>
      <xdr:colOff>442629</xdr:colOff>
      <xdr:row>44</xdr:row>
      <xdr:rowOff>172571</xdr:rowOff>
    </xdr:to>
    <xdr:graphicFrame macro="">
      <xdr:nvGraphicFramePr>
        <xdr:cNvPr id="3" name="Chart 2">
          <a:extLst>
            <a:ext uri="{FF2B5EF4-FFF2-40B4-BE49-F238E27FC236}">
              <a16:creationId xmlns:a16="http://schemas.microsoft.com/office/drawing/2014/main" id="{E2E714C3-F598-05CD-A68B-01F8879CE1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237020</xdr:colOff>
      <xdr:row>36</xdr:row>
      <xdr:rowOff>190500</xdr:rowOff>
    </xdr:from>
    <xdr:to>
      <xdr:col>31</xdr:col>
      <xdr:colOff>265425</xdr:colOff>
      <xdr:row>48</xdr:row>
      <xdr:rowOff>33618</xdr:rowOff>
    </xdr:to>
    <xdr:pic>
      <xdr:nvPicPr>
        <xdr:cNvPr id="4" name="Picture 3">
          <a:extLst>
            <a:ext uri="{FF2B5EF4-FFF2-40B4-BE49-F238E27FC236}">
              <a16:creationId xmlns:a16="http://schemas.microsoft.com/office/drawing/2014/main" id="{947B6E34-6E80-AB8F-8D8D-FD0B874C799B}"/>
            </a:ext>
          </a:extLst>
        </xdr:cNvPr>
        <xdr:cNvPicPr>
          <a:picLocks noChangeAspect="1"/>
        </xdr:cNvPicPr>
      </xdr:nvPicPr>
      <xdr:blipFill>
        <a:blip xmlns:r="http://schemas.openxmlformats.org/officeDocument/2006/relationships" r:embed="rId2"/>
        <a:stretch>
          <a:fillRect/>
        </a:stretch>
      </xdr:blipFill>
      <xdr:spPr>
        <a:xfrm>
          <a:off x="19533549" y="7317441"/>
          <a:ext cx="5519288" cy="2263589"/>
        </a:xfrm>
        <a:prstGeom prst="rect">
          <a:avLst/>
        </a:prstGeom>
      </xdr:spPr>
    </xdr:pic>
    <xdr:clientData/>
  </xdr:twoCellAnchor>
  <xdr:twoCellAnchor editAs="oneCell">
    <xdr:from>
      <xdr:col>16</xdr:col>
      <xdr:colOff>523875</xdr:colOff>
      <xdr:row>66</xdr:row>
      <xdr:rowOff>190500</xdr:rowOff>
    </xdr:from>
    <xdr:to>
      <xdr:col>21</xdr:col>
      <xdr:colOff>158252</xdr:colOff>
      <xdr:row>76</xdr:row>
      <xdr:rowOff>140427</xdr:rowOff>
    </xdr:to>
    <xdr:pic>
      <xdr:nvPicPr>
        <xdr:cNvPr id="2" name="Picture 1">
          <a:extLst>
            <a:ext uri="{FF2B5EF4-FFF2-40B4-BE49-F238E27FC236}">
              <a16:creationId xmlns:a16="http://schemas.microsoft.com/office/drawing/2014/main" id="{986560C8-F092-4A2B-A1E2-F6DA8CB5A2C6}"/>
            </a:ext>
          </a:extLst>
        </xdr:cNvPr>
        <xdr:cNvPicPr>
          <a:picLocks noChangeAspect="1"/>
        </xdr:cNvPicPr>
      </xdr:nvPicPr>
      <xdr:blipFill>
        <a:blip xmlns:r="http://schemas.openxmlformats.org/officeDocument/2006/relationships" r:embed="rId3"/>
        <a:stretch>
          <a:fillRect/>
        </a:stretch>
      </xdr:blipFill>
      <xdr:spPr>
        <a:xfrm>
          <a:off x="14535150" y="13354050"/>
          <a:ext cx="3539627" cy="1950177"/>
        </a:xfrm>
        <a:prstGeom prst="rect">
          <a:avLst/>
        </a:prstGeom>
      </xdr:spPr>
    </xdr:pic>
    <xdr:clientData/>
  </xdr:twoCellAnchor>
  <xdr:twoCellAnchor editAs="oneCell">
    <xdr:from>
      <xdr:col>20</xdr:col>
      <xdr:colOff>276225</xdr:colOff>
      <xdr:row>65</xdr:row>
      <xdr:rowOff>85725</xdr:rowOff>
    </xdr:from>
    <xdr:to>
      <xdr:col>26</xdr:col>
      <xdr:colOff>595390</xdr:colOff>
      <xdr:row>77</xdr:row>
      <xdr:rowOff>156516</xdr:rowOff>
    </xdr:to>
    <xdr:pic>
      <xdr:nvPicPr>
        <xdr:cNvPr id="5" name="Picture 4" descr="What Is Discounted Cash Flow (DCF)? | Money">
          <a:extLst>
            <a:ext uri="{FF2B5EF4-FFF2-40B4-BE49-F238E27FC236}">
              <a16:creationId xmlns:a16="http://schemas.microsoft.com/office/drawing/2014/main" id="{81CC1E84-20BB-4C0D-BC3B-5B052A2BCFD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7764125" y="13049250"/>
          <a:ext cx="5053090" cy="2461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9</xdr:col>
      <xdr:colOff>285751</xdr:colOff>
      <xdr:row>1</xdr:row>
      <xdr:rowOff>176212</xdr:rowOff>
    </xdr:from>
    <xdr:to>
      <xdr:col>22</xdr:col>
      <xdr:colOff>581025</xdr:colOff>
      <xdr:row>16</xdr:row>
      <xdr:rowOff>0</xdr:rowOff>
    </xdr:to>
    <xdr:graphicFrame macro="">
      <xdr:nvGraphicFramePr>
        <xdr:cNvPr id="5" name="Chart 4">
          <a:extLst>
            <a:ext uri="{FF2B5EF4-FFF2-40B4-BE49-F238E27FC236}">
              <a16:creationId xmlns:a16="http://schemas.microsoft.com/office/drawing/2014/main" id="{318FC6FA-6AD8-DBC2-64D5-B3F2C09AA1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147637</xdr:colOff>
      <xdr:row>16</xdr:row>
      <xdr:rowOff>90487</xdr:rowOff>
    </xdr:from>
    <xdr:to>
      <xdr:col>22</xdr:col>
      <xdr:colOff>604837</xdr:colOff>
      <xdr:row>31</xdr:row>
      <xdr:rowOff>109537</xdr:rowOff>
    </xdr:to>
    <xdr:graphicFrame macro="">
      <xdr:nvGraphicFramePr>
        <xdr:cNvPr id="6" name="Chart 5">
          <a:extLst>
            <a:ext uri="{FF2B5EF4-FFF2-40B4-BE49-F238E27FC236}">
              <a16:creationId xmlns:a16="http://schemas.microsoft.com/office/drawing/2014/main" id="{C07715F5-05CC-E93E-69E7-6738B0580B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280987</xdr:colOff>
      <xdr:row>16</xdr:row>
      <xdr:rowOff>100012</xdr:rowOff>
    </xdr:from>
    <xdr:to>
      <xdr:col>15</xdr:col>
      <xdr:colOff>585787</xdr:colOff>
      <xdr:row>31</xdr:row>
      <xdr:rowOff>119062</xdr:rowOff>
    </xdr:to>
    <xdr:graphicFrame macro="">
      <xdr:nvGraphicFramePr>
        <xdr:cNvPr id="7" name="Chart 6">
          <a:extLst>
            <a:ext uri="{FF2B5EF4-FFF2-40B4-BE49-F238E27FC236}">
              <a16:creationId xmlns:a16="http://schemas.microsoft.com/office/drawing/2014/main" id="{8D524316-C326-2CAC-5401-8A96359290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176211</xdr:colOff>
      <xdr:row>32</xdr:row>
      <xdr:rowOff>138111</xdr:rowOff>
    </xdr:from>
    <xdr:to>
      <xdr:col>24</xdr:col>
      <xdr:colOff>581024</xdr:colOff>
      <xdr:row>49</xdr:row>
      <xdr:rowOff>19049</xdr:rowOff>
    </xdr:to>
    <xdr:graphicFrame macro="">
      <xdr:nvGraphicFramePr>
        <xdr:cNvPr id="8" name="Chart 7">
          <a:extLst>
            <a:ext uri="{FF2B5EF4-FFF2-40B4-BE49-F238E27FC236}">
              <a16:creationId xmlns:a16="http://schemas.microsoft.com/office/drawing/2014/main" id="{483966DC-0612-0465-F2EB-B1A1853C05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323850</xdr:colOff>
      <xdr:row>49</xdr:row>
      <xdr:rowOff>176212</xdr:rowOff>
    </xdr:from>
    <xdr:to>
      <xdr:col>23</xdr:col>
      <xdr:colOff>323850</xdr:colOff>
      <xdr:row>64</xdr:row>
      <xdr:rowOff>176212</xdr:rowOff>
    </xdr:to>
    <xdr:graphicFrame macro="">
      <xdr:nvGraphicFramePr>
        <xdr:cNvPr id="9" name="Chart 8">
          <a:extLst>
            <a:ext uri="{FF2B5EF4-FFF2-40B4-BE49-F238E27FC236}">
              <a16:creationId xmlns:a16="http://schemas.microsoft.com/office/drawing/2014/main" id="{88CF9544-7408-A47D-0DEF-753229D953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347661</xdr:colOff>
      <xdr:row>70</xdr:row>
      <xdr:rowOff>176211</xdr:rowOff>
    </xdr:from>
    <xdr:to>
      <xdr:col>20</xdr:col>
      <xdr:colOff>142874</xdr:colOff>
      <xdr:row>87</xdr:row>
      <xdr:rowOff>85724</xdr:rowOff>
    </xdr:to>
    <xdr:graphicFrame macro="">
      <xdr:nvGraphicFramePr>
        <xdr:cNvPr id="10" name="Chart 9">
          <a:extLst>
            <a:ext uri="{FF2B5EF4-FFF2-40B4-BE49-F238E27FC236}">
              <a16:creationId xmlns:a16="http://schemas.microsoft.com/office/drawing/2014/main" id="{B9C4D81F-5998-5470-E01B-C4C08FBBC0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109536</xdr:colOff>
      <xdr:row>95</xdr:row>
      <xdr:rowOff>185737</xdr:rowOff>
    </xdr:from>
    <xdr:to>
      <xdr:col>19</xdr:col>
      <xdr:colOff>533399</xdr:colOff>
      <xdr:row>110</xdr:row>
      <xdr:rowOff>76200</xdr:rowOff>
    </xdr:to>
    <xdr:graphicFrame macro="">
      <xdr:nvGraphicFramePr>
        <xdr:cNvPr id="11" name="Chart 10">
          <a:extLst>
            <a:ext uri="{FF2B5EF4-FFF2-40B4-BE49-F238E27FC236}">
              <a16:creationId xmlns:a16="http://schemas.microsoft.com/office/drawing/2014/main" id="{EBC87A6B-52DA-B354-0AC4-D67696D271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385762</xdr:colOff>
      <xdr:row>118</xdr:row>
      <xdr:rowOff>100012</xdr:rowOff>
    </xdr:from>
    <xdr:to>
      <xdr:col>19</xdr:col>
      <xdr:colOff>157162</xdr:colOff>
      <xdr:row>132</xdr:row>
      <xdr:rowOff>100012</xdr:rowOff>
    </xdr:to>
    <xdr:graphicFrame macro="">
      <xdr:nvGraphicFramePr>
        <xdr:cNvPr id="12" name="Chart 11">
          <a:extLst>
            <a:ext uri="{FF2B5EF4-FFF2-40B4-BE49-F238E27FC236}">
              <a16:creationId xmlns:a16="http://schemas.microsoft.com/office/drawing/2014/main" id="{427790DF-53EF-F22B-E90D-2645A2EBDB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690561</xdr:colOff>
      <xdr:row>142</xdr:row>
      <xdr:rowOff>42861</xdr:rowOff>
    </xdr:from>
    <xdr:to>
      <xdr:col>20</xdr:col>
      <xdr:colOff>428625</xdr:colOff>
      <xdr:row>157</xdr:row>
      <xdr:rowOff>85725</xdr:rowOff>
    </xdr:to>
    <xdr:graphicFrame macro="">
      <xdr:nvGraphicFramePr>
        <xdr:cNvPr id="13" name="Chart 12">
          <a:extLst>
            <a:ext uri="{FF2B5EF4-FFF2-40B4-BE49-F238E27FC236}">
              <a16:creationId xmlns:a16="http://schemas.microsoft.com/office/drawing/2014/main" id="{485E30F8-FAAC-AA05-7339-09A767776C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204787</xdr:colOff>
      <xdr:row>168</xdr:row>
      <xdr:rowOff>14287</xdr:rowOff>
    </xdr:from>
    <xdr:to>
      <xdr:col>20</xdr:col>
      <xdr:colOff>295275</xdr:colOff>
      <xdr:row>184</xdr:row>
      <xdr:rowOff>38100</xdr:rowOff>
    </xdr:to>
    <xdr:graphicFrame macro="">
      <xdr:nvGraphicFramePr>
        <xdr:cNvPr id="2" name="Chart 1">
          <a:extLst>
            <a:ext uri="{FF2B5EF4-FFF2-40B4-BE49-F238E27FC236}">
              <a16:creationId xmlns:a16="http://schemas.microsoft.com/office/drawing/2014/main" id="{ED77CA89-1CE9-0259-DC49-0A4699BD15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461962</xdr:colOff>
      <xdr:row>190</xdr:row>
      <xdr:rowOff>14287</xdr:rowOff>
    </xdr:from>
    <xdr:to>
      <xdr:col>19</xdr:col>
      <xdr:colOff>628650</xdr:colOff>
      <xdr:row>204</xdr:row>
      <xdr:rowOff>180975</xdr:rowOff>
    </xdr:to>
    <xdr:graphicFrame macro="">
      <xdr:nvGraphicFramePr>
        <xdr:cNvPr id="3" name="Chart 2">
          <a:extLst>
            <a:ext uri="{FF2B5EF4-FFF2-40B4-BE49-F238E27FC236}">
              <a16:creationId xmlns:a16="http://schemas.microsoft.com/office/drawing/2014/main" id="{6B502ADD-36C5-BB4A-B275-1BB79C8F58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557212</xdr:colOff>
      <xdr:row>205</xdr:row>
      <xdr:rowOff>80962</xdr:rowOff>
    </xdr:from>
    <xdr:to>
      <xdr:col>18</xdr:col>
      <xdr:colOff>176212</xdr:colOff>
      <xdr:row>219</xdr:row>
      <xdr:rowOff>23812</xdr:rowOff>
    </xdr:to>
    <xdr:graphicFrame macro="">
      <xdr:nvGraphicFramePr>
        <xdr:cNvPr id="4" name="Chart 3">
          <a:extLst>
            <a:ext uri="{FF2B5EF4-FFF2-40B4-BE49-F238E27FC236}">
              <a16:creationId xmlns:a16="http://schemas.microsoft.com/office/drawing/2014/main" id="{62CED329-DDEA-4A85-557B-42F85508C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233361</xdr:colOff>
      <xdr:row>229</xdr:row>
      <xdr:rowOff>166687</xdr:rowOff>
    </xdr:from>
    <xdr:to>
      <xdr:col>18</xdr:col>
      <xdr:colOff>476250</xdr:colOff>
      <xdr:row>244</xdr:row>
      <xdr:rowOff>52387</xdr:rowOff>
    </xdr:to>
    <xdr:graphicFrame macro="">
      <xdr:nvGraphicFramePr>
        <xdr:cNvPr id="14" name="Chart 13">
          <a:extLst>
            <a:ext uri="{FF2B5EF4-FFF2-40B4-BE49-F238E27FC236}">
              <a16:creationId xmlns:a16="http://schemas.microsoft.com/office/drawing/2014/main" id="{F70EED01-FAED-9576-660F-1D00B622EF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295274</xdr:colOff>
      <xdr:row>245</xdr:row>
      <xdr:rowOff>14287</xdr:rowOff>
    </xdr:from>
    <xdr:to>
      <xdr:col>20</xdr:col>
      <xdr:colOff>304799</xdr:colOff>
      <xdr:row>263</xdr:row>
      <xdr:rowOff>57150</xdr:rowOff>
    </xdr:to>
    <xdr:graphicFrame macro="">
      <xdr:nvGraphicFramePr>
        <xdr:cNvPr id="15" name="Chart 14">
          <a:extLst>
            <a:ext uri="{FF2B5EF4-FFF2-40B4-BE49-F238E27FC236}">
              <a16:creationId xmlns:a16="http://schemas.microsoft.com/office/drawing/2014/main" id="{1DF975A1-49B8-604A-4871-F5048FC947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223837</xdr:colOff>
      <xdr:row>67</xdr:row>
      <xdr:rowOff>80961</xdr:rowOff>
    </xdr:from>
    <xdr:to>
      <xdr:col>31</xdr:col>
      <xdr:colOff>142875</xdr:colOff>
      <xdr:row>90</xdr:row>
      <xdr:rowOff>161924</xdr:rowOff>
    </xdr:to>
    <xdr:graphicFrame macro="">
      <xdr:nvGraphicFramePr>
        <xdr:cNvPr id="16" name="Chart 15">
          <a:extLst>
            <a:ext uri="{FF2B5EF4-FFF2-40B4-BE49-F238E27FC236}">
              <a16:creationId xmlns:a16="http://schemas.microsoft.com/office/drawing/2014/main" id="{58BE734C-4563-77F6-B8FD-C306A976CF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71436</xdr:colOff>
      <xdr:row>93</xdr:row>
      <xdr:rowOff>14287</xdr:rowOff>
    </xdr:from>
    <xdr:to>
      <xdr:col>40</xdr:col>
      <xdr:colOff>628650</xdr:colOff>
      <xdr:row>113</xdr:row>
      <xdr:rowOff>133350</xdr:rowOff>
    </xdr:to>
    <xdr:graphicFrame macro="">
      <xdr:nvGraphicFramePr>
        <xdr:cNvPr id="18" name="Chart 17">
          <a:extLst>
            <a:ext uri="{FF2B5EF4-FFF2-40B4-BE49-F238E27FC236}">
              <a16:creationId xmlns:a16="http://schemas.microsoft.com/office/drawing/2014/main" id="{47B80BBD-A20F-D738-2CF8-8840C6E70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19</xdr:col>
      <xdr:colOff>241653</xdr:colOff>
      <xdr:row>6</xdr:row>
      <xdr:rowOff>19050</xdr:rowOff>
    </xdr:from>
    <xdr:to>
      <xdr:col>27</xdr:col>
      <xdr:colOff>49115</xdr:colOff>
      <xdr:row>22</xdr:row>
      <xdr:rowOff>76200</xdr:rowOff>
    </xdr:to>
    <xdr:pic>
      <xdr:nvPicPr>
        <xdr:cNvPr id="2" name="Picture 1">
          <a:extLst>
            <a:ext uri="{FF2B5EF4-FFF2-40B4-BE49-F238E27FC236}">
              <a16:creationId xmlns:a16="http://schemas.microsoft.com/office/drawing/2014/main" id="{AE8FBA81-70C5-7B72-496A-A5928A342588}"/>
            </a:ext>
          </a:extLst>
        </xdr:cNvPr>
        <xdr:cNvPicPr>
          <a:picLocks noChangeAspect="1"/>
        </xdr:cNvPicPr>
      </xdr:nvPicPr>
      <xdr:blipFill>
        <a:blip xmlns:r="http://schemas.openxmlformats.org/officeDocument/2006/relationships" r:embed="rId1"/>
        <a:stretch>
          <a:fillRect/>
        </a:stretch>
      </xdr:blipFill>
      <xdr:spPr>
        <a:xfrm>
          <a:off x="17358078" y="1333500"/>
          <a:ext cx="5751062" cy="29718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14</xdr:col>
      <xdr:colOff>657224</xdr:colOff>
      <xdr:row>0</xdr:row>
      <xdr:rowOff>0</xdr:rowOff>
    </xdr:from>
    <xdr:to>
      <xdr:col>20</xdr:col>
      <xdr:colOff>476249</xdr:colOff>
      <xdr:row>21</xdr:row>
      <xdr:rowOff>123825</xdr:rowOff>
    </xdr:to>
    <xdr:pic>
      <xdr:nvPicPr>
        <xdr:cNvPr id="2" name="Picture 1" descr="Amazon (AMZN) Stock Price, News &amp; Info | The Motley Fool">
          <a:extLst>
            <a:ext uri="{FF2B5EF4-FFF2-40B4-BE49-F238E27FC236}">
              <a16:creationId xmlns:a16="http://schemas.microsoft.com/office/drawing/2014/main" id="{16037BA2-D19A-5607-A076-4D5F74C4E4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58424" y="0"/>
          <a:ext cx="3933825" cy="393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387007</xdr:colOff>
      <xdr:row>14</xdr:row>
      <xdr:rowOff>142876</xdr:rowOff>
    </xdr:from>
    <xdr:to>
      <xdr:col>25</xdr:col>
      <xdr:colOff>189134</xdr:colOff>
      <xdr:row>41</xdr:row>
      <xdr:rowOff>28576</xdr:rowOff>
    </xdr:to>
    <xdr:pic>
      <xdr:nvPicPr>
        <xdr:cNvPr id="3" name="Picture 2">
          <a:extLst>
            <a:ext uri="{FF2B5EF4-FFF2-40B4-BE49-F238E27FC236}">
              <a16:creationId xmlns:a16="http://schemas.microsoft.com/office/drawing/2014/main" id="{EF3B6218-BFA1-26B0-94E3-BD2374E652B3}"/>
            </a:ext>
          </a:extLst>
        </xdr:cNvPr>
        <xdr:cNvPicPr>
          <a:picLocks noChangeAspect="1"/>
        </xdr:cNvPicPr>
      </xdr:nvPicPr>
      <xdr:blipFill>
        <a:blip xmlns:r="http://schemas.openxmlformats.org/officeDocument/2006/relationships" r:embed="rId2"/>
        <a:stretch>
          <a:fillRect/>
        </a:stretch>
      </xdr:blipFill>
      <xdr:spPr>
        <a:xfrm>
          <a:off x="6559207" y="2676526"/>
          <a:ext cx="10774927" cy="4781550"/>
        </a:xfrm>
        <a:prstGeom prst="rect">
          <a:avLst/>
        </a:prstGeom>
      </xdr:spPr>
    </xdr:pic>
    <xdr:clientData/>
  </xdr:twoCellAnchor>
  <xdr:twoCellAnchor editAs="oneCell">
    <xdr:from>
      <xdr:col>3</xdr:col>
      <xdr:colOff>57150</xdr:colOff>
      <xdr:row>25</xdr:row>
      <xdr:rowOff>104775</xdr:rowOff>
    </xdr:from>
    <xdr:to>
      <xdr:col>3</xdr:col>
      <xdr:colOff>647700</xdr:colOff>
      <xdr:row>28</xdr:row>
      <xdr:rowOff>152400</xdr:rowOff>
    </xdr:to>
    <xdr:pic>
      <xdr:nvPicPr>
        <xdr:cNvPr id="5" name="Picture 4" descr="Amazon (AMZN) Stock Price, News &amp; Info | The Motley Fool">
          <a:extLst>
            <a:ext uri="{FF2B5EF4-FFF2-40B4-BE49-F238E27FC236}">
              <a16:creationId xmlns:a16="http://schemas.microsoft.com/office/drawing/2014/main" id="{BC37797A-E1C6-47A5-AE4F-26288E14A1A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114550" y="4638675"/>
          <a:ext cx="590550"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9525</xdr:colOff>
      <xdr:row>38</xdr:row>
      <xdr:rowOff>123825</xdr:rowOff>
    </xdr:from>
    <xdr:to>
      <xdr:col>4</xdr:col>
      <xdr:colOff>209779</xdr:colOff>
      <xdr:row>47</xdr:row>
      <xdr:rowOff>52667</xdr:rowOff>
    </xdr:to>
    <xdr:pic>
      <xdr:nvPicPr>
        <xdr:cNvPr id="6" name="Picture 5" descr="U.S. Securities and Exchange Commission - Wikipedia">
          <a:extLst>
            <a:ext uri="{FF2B5EF4-FFF2-40B4-BE49-F238E27FC236}">
              <a16:creationId xmlns:a16="http://schemas.microsoft.com/office/drawing/2014/main" id="{F6C0742C-C26E-4FEF-9A9F-A8B359DD4A8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381125" y="7010400"/>
          <a:ext cx="1571854" cy="15576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c2016\Desktop\borsa\DCF\Companies\specifics\AAPL\5.5.24\histimpl.xls" TargetMode="External"/><Relationship Id="rId1" Type="http://schemas.openxmlformats.org/officeDocument/2006/relationships/externalLinkPath" Target="/Users/cc2016/Desktop/borsa/DCF/Companies/specifics/AAPL/5.5.24/histimp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istorical Impl Premiums"/>
      <sheetName val="Implied Premiums"/>
      <sheetName val="implpremvsriskfree"/>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s>
    <sheetDataSet>
      <sheetData sheetId="0">
        <row r="7">
          <cell r="N7" t="str">
            <v>Implied Premium (DDM)</v>
          </cell>
        </row>
        <row r="8">
          <cell r="A8">
            <v>1960</v>
          </cell>
        </row>
        <row r="9">
          <cell r="A9">
            <v>1961</v>
          </cell>
          <cell r="Q9">
            <v>2.92E-2</v>
          </cell>
        </row>
        <row r="10">
          <cell r="A10">
            <v>1962</v>
          </cell>
          <cell r="Q10">
            <v>3.56E-2</v>
          </cell>
        </row>
        <row r="11">
          <cell r="A11">
            <v>1963</v>
          </cell>
          <cell r="Q11">
            <v>3.3799999999999997E-2</v>
          </cell>
        </row>
        <row r="12">
          <cell r="A12">
            <v>1964</v>
          </cell>
          <cell r="Q12">
            <v>3.3099999999999997E-2</v>
          </cell>
        </row>
        <row r="13">
          <cell r="A13">
            <v>1965</v>
          </cell>
          <cell r="Q13">
            <v>3.32E-2</v>
          </cell>
        </row>
        <row r="14">
          <cell r="A14">
            <v>1966</v>
          </cell>
          <cell r="Q14">
            <v>3.6799999999999999E-2</v>
          </cell>
        </row>
        <row r="15">
          <cell r="A15">
            <v>1967</v>
          </cell>
          <cell r="Q15">
            <v>3.2000000000000001E-2</v>
          </cell>
        </row>
        <row r="16">
          <cell r="A16">
            <v>1968</v>
          </cell>
          <cell r="Q16">
            <v>0.03</v>
          </cell>
        </row>
        <row r="17">
          <cell r="A17">
            <v>1969</v>
          </cell>
          <cell r="Q17">
            <v>3.7400000000000003E-2</v>
          </cell>
        </row>
        <row r="18">
          <cell r="A18">
            <v>1970</v>
          </cell>
          <cell r="Q18">
            <v>3.4099999999999998E-2</v>
          </cell>
        </row>
        <row r="19">
          <cell r="A19">
            <v>1971</v>
          </cell>
          <cell r="Q19">
            <v>3.09E-2</v>
          </cell>
        </row>
        <row r="20">
          <cell r="A20">
            <v>1972</v>
          </cell>
          <cell r="Q20">
            <v>2.7199999999999998E-2</v>
          </cell>
        </row>
        <row r="21">
          <cell r="A21">
            <v>1973</v>
          </cell>
          <cell r="Q21">
            <v>4.2999999999999997E-2</v>
          </cell>
        </row>
        <row r="22">
          <cell r="A22">
            <v>1974</v>
          </cell>
          <cell r="Q22">
            <v>5.5899999999999998E-2</v>
          </cell>
        </row>
        <row r="23">
          <cell r="A23">
            <v>1975</v>
          </cell>
          <cell r="Q23">
            <v>4.1300000000000003E-2</v>
          </cell>
        </row>
        <row r="24">
          <cell r="A24">
            <v>1976</v>
          </cell>
          <cell r="Q24">
            <v>4.5499999999999999E-2</v>
          </cell>
        </row>
        <row r="25">
          <cell r="A25">
            <v>1977</v>
          </cell>
          <cell r="Q25">
            <v>5.9200000000000003E-2</v>
          </cell>
        </row>
        <row r="26">
          <cell r="A26">
            <v>1978</v>
          </cell>
          <cell r="Q26">
            <v>5.7200000000000001E-2</v>
          </cell>
        </row>
        <row r="27">
          <cell r="A27">
            <v>1979</v>
          </cell>
          <cell r="Q27">
            <v>6.4500000000000002E-2</v>
          </cell>
        </row>
        <row r="28">
          <cell r="A28">
            <v>1980</v>
          </cell>
          <cell r="Q28">
            <v>5.0299999999999997E-2</v>
          </cell>
        </row>
        <row r="29">
          <cell r="A29">
            <v>1981</v>
          </cell>
          <cell r="Q29">
            <v>5.7299999999999997E-2</v>
          </cell>
        </row>
        <row r="30">
          <cell r="A30">
            <v>1982</v>
          </cell>
          <cell r="Q30">
            <v>4.9000000000000002E-2</v>
          </cell>
        </row>
        <row r="31">
          <cell r="A31">
            <v>1983</v>
          </cell>
          <cell r="Q31">
            <v>4.3099999999999999E-2</v>
          </cell>
        </row>
        <row r="32">
          <cell r="A32">
            <v>1984</v>
          </cell>
          <cell r="Q32">
            <v>5.11E-2</v>
          </cell>
        </row>
        <row r="33">
          <cell r="A33">
            <v>1985</v>
          </cell>
          <cell r="Q33">
            <v>3.8399999999999997E-2</v>
          </cell>
        </row>
        <row r="34">
          <cell r="A34">
            <v>1986</v>
          </cell>
          <cell r="Q34">
            <v>3.5799999999999998E-2</v>
          </cell>
        </row>
        <row r="35">
          <cell r="A35">
            <v>1987</v>
          </cell>
          <cell r="Q35">
            <v>3.9899999999999998E-2</v>
          </cell>
        </row>
        <row r="36">
          <cell r="A36">
            <v>1988</v>
          </cell>
          <cell r="Q36">
            <v>3.7699999999999997E-2</v>
          </cell>
        </row>
        <row r="37">
          <cell r="A37">
            <v>1989</v>
          </cell>
          <cell r="Q37">
            <v>3.5099999999999999E-2</v>
          </cell>
        </row>
        <row r="38">
          <cell r="A38">
            <v>1990</v>
          </cell>
          <cell r="Q38">
            <v>3.8899999999999997E-2</v>
          </cell>
        </row>
        <row r="39">
          <cell r="A39">
            <v>1991</v>
          </cell>
          <cell r="Q39">
            <v>3.4799999999999998E-2</v>
          </cell>
        </row>
        <row r="40">
          <cell r="A40">
            <v>1992</v>
          </cell>
          <cell r="Q40">
            <v>3.5499999999999997E-2</v>
          </cell>
        </row>
        <row r="41">
          <cell r="A41">
            <v>1993</v>
          </cell>
          <cell r="Q41">
            <v>3.1699999999999999E-2</v>
          </cell>
        </row>
        <row r="42">
          <cell r="A42">
            <v>1994</v>
          </cell>
          <cell r="Q42">
            <v>3.5499999999999997E-2</v>
          </cell>
        </row>
        <row r="43">
          <cell r="A43">
            <v>1995</v>
          </cell>
          <cell r="Q43">
            <v>3.2899999999999999E-2</v>
          </cell>
        </row>
        <row r="44">
          <cell r="A44">
            <v>1996</v>
          </cell>
          <cell r="Q44">
            <v>3.2000000000000001E-2</v>
          </cell>
        </row>
        <row r="45">
          <cell r="A45">
            <v>1997</v>
          </cell>
          <cell r="Q45">
            <v>2.7300000000000001E-2</v>
          </cell>
        </row>
        <row r="46">
          <cell r="A46">
            <v>1998</v>
          </cell>
          <cell r="Q46">
            <v>2.2599999999999999E-2</v>
          </cell>
        </row>
        <row r="47">
          <cell r="A47">
            <v>1999</v>
          </cell>
          <cell r="Q47">
            <v>2.0500000000000001E-2</v>
          </cell>
        </row>
        <row r="48">
          <cell r="A48">
            <v>2000</v>
          </cell>
          <cell r="Q48">
            <v>2.87E-2</v>
          </cell>
        </row>
        <row r="49">
          <cell r="A49">
            <v>2001</v>
          </cell>
          <cell r="Q49">
            <v>3.6200000000000003E-2</v>
          </cell>
        </row>
        <row r="50">
          <cell r="A50">
            <v>2002</v>
          </cell>
          <cell r="Q50">
            <v>4.1000000000000002E-2</v>
          </cell>
        </row>
        <row r="51">
          <cell r="A51">
            <v>2003</v>
          </cell>
          <cell r="Q51">
            <v>3.6900000000000002E-2</v>
          </cell>
        </row>
        <row r="52">
          <cell r="A52">
            <v>2004</v>
          </cell>
          <cell r="Q52">
            <v>3.6499999999999998E-2</v>
          </cell>
        </row>
        <row r="53">
          <cell r="A53">
            <v>2005</v>
          </cell>
          <cell r="Q53">
            <v>4.0800000000000003E-2</v>
          </cell>
        </row>
        <row r="54">
          <cell r="A54">
            <v>2006</v>
          </cell>
          <cell r="Q54">
            <v>4.1599999999999998E-2</v>
          </cell>
        </row>
        <row r="55">
          <cell r="A55">
            <v>2007</v>
          </cell>
          <cell r="Q55">
            <v>4.3700000000000003E-2</v>
          </cell>
        </row>
        <row r="56">
          <cell r="A56">
            <v>2008</v>
          </cell>
          <cell r="Q56">
            <v>6.4299999999999996E-2</v>
          </cell>
        </row>
        <row r="57">
          <cell r="A57">
            <v>2009</v>
          </cell>
          <cell r="Q57">
            <v>4.36E-2</v>
          </cell>
        </row>
        <row r="58">
          <cell r="A58">
            <v>2010</v>
          </cell>
          <cell r="Q58">
            <v>5.1999999999999998E-2</v>
          </cell>
        </row>
        <row r="59">
          <cell r="A59">
            <v>2011</v>
          </cell>
          <cell r="Q59">
            <v>6.0100000000000001E-2</v>
          </cell>
        </row>
        <row r="60">
          <cell r="A60">
            <v>2012</v>
          </cell>
          <cell r="Q60">
            <v>5.7799999999999997E-2</v>
          </cell>
        </row>
        <row r="61">
          <cell r="A61">
            <v>2013</v>
          </cell>
          <cell r="Q61">
            <v>4.9599999999999998E-2</v>
          </cell>
        </row>
        <row r="62">
          <cell r="A62">
            <v>2014</v>
          </cell>
          <cell r="Q62">
            <v>5.7799999999999997E-2</v>
          </cell>
        </row>
        <row r="63">
          <cell r="A63">
            <v>2015</v>
          </cell>
          <cell r="Q63">
            <v>6.1199999999999997E-2</v>
          </cell>
        </row>
        <row r="64">
          <cell r="A64">
            <v>2016</v>
          </cell>
          <cell r="Q64">
            <v>5.6899999999999999E-2</v>
          </cell>
        </row>
        <row r="65">
          <cell r="A65">
            <v>2017</v>
          </cell>
          <cell r="Q65">
            <v>5.0799999999999998E-2</v>
          </cell>
        </row>
        <row r="66">
          <cell r="A66">
            <v>2018</v>
          </cell>
          <cell r="Q66">
            <v>5.96E-2</v>
          </cell>
        </row>
        <row r="67">
          <cell r="A67">
            <v>2019</v>
          </cell>
          <cell r="Q67">
            <v>5.1999999999999998E-2</v>
          </cell>
        </row>
        <row r="68">
          <cell r="A68">
            <v>2020</v>
          </cell>
          <cell r="Q68">
            <v>4.7199999999999999E-2</v>
          </cell>
        </row>
        <row r="69">
          <cell r="A69">
            <v>2021</v>
          </cell>
          <cell r="Q69">
            <v>4.24E-2</v>
          </cell>
        </row>
        <row r="70">
          <cell r="A70">
            <v>2022</v>
          </cell>
          <cell r="Q70">
            <v>5.9400000000000001E-2</v>
          </cell>
        </row>
        <row r="71">
          <cell r="A71">
            <v>2023</v>
          </cell>
          <cell r="Q71">
            <v>4.5999999999999999E-2</v>
          </cell>
        </row>
      </sheetData>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nbox.com/NASDAQGS:AMZN/explorer/effect_tax_rate" TargetMode="External"/><Relationship Id="rId13" Type="http://schemas.openxmlformats.org/officeDocument/2006/relationships/hyperlink" Target="https://finbox.com/NASDAQGS:AMZN/explorer/effect_tax_rate" TargetMode="External"/><Relationship Id="rId18" Type="http://schemas.openxmlformats.org/officeDocument/2006/relationships/hyperlink" Target="https://finbox.com/NASDAQGS:AMZN/explorer/effect_tax_rate" TargetMode="External"/><Relationship Id="rId26" Type="http://schemas.openxmlformats.org/officeDocument/2006/relationships/hyperlink" Target="https://finbox.com/NASDAQGS:AMZN/explorer/effect_tax_rate" TargetMode="External"/><Relationship Id="rId3" Type="http://schemas.openxmlformats.org/officeDocument/2006/relationships/hyperlink" Target="https://finbox.com/NASDAQGS:AMZN/explorer/effect_tax_rate" TargetMode="External"/><Relationship Id="rId21" Type="http://schemas.openxmlformats.org/officeDocument/2006/relationships/hyperlink" Target="https://finbox.com/NASDAQGS:AMZN/explorer/effect_tax_rate" TargetMode="External"/><Relationship Id="rId7" Type="http://schemas.openxmlformats.org/officeDocument/2006/relationships/hyperlink" Target="https://finbox.com/NASDAQGS:AMZN/explorer/effect_tax_rate" TargetMode="External"/><Relationship Id="rId12" Type="http://schemas.openxmlformats.org/officeDocument/2006/relationships/hyperlink" Target="https://finbox.com/NASDAQGS:AMZN/explorer/effect_tax_rate" TargetMode="External"/><Relationship Id="rId17" Type="http://schemas.openxmlformats.org/officeDocument/2006/relationships/hyperlink" Target="https://finbox.com/NASDAQGS:AMZN/explorer/effect_tax_rate" TargetMode="External"/><Relationship Id="rId25" Type="http://schemas.openxmlformats.org/officeDocument/2006/relationships/hyperlink" Target="https://finbox.com/NASDAQGS:AMZN/explorer/effect_tax_rate" TargetMode="External"/><Relationship Id="rId2" Type="http://schemas.openxmlformats.org/officeDocument/2006/relationships/hyperlink" Target="https://finbox.com/NASDAQGS:AMZN/explorer/effect_tax_rate" TargetMode="External"/><Relationship Id="rId16" Type="http://schemas.openxmlformats.org/officeDocument/2006/relationships/hyperlink" Target="https://finbox.com/NASDAQGS:AMZN/explorer/effect_tax_rate" TargetMode="External"/><Relationship Id="rId20" Type="http://schemas.openxmlformats.org/officeDocument/2006/relationships/hyperlink" Target="https://finbox.com/NASDAQGS:AMZN/explorer/effect_tax_rate" TargetMode="External"/><Relationship Id="rId29" Type="http://schemas.openxmlformats.org/officeDocument/2006/relationships/printerSettings" Target="../printerSettings/printerSettings1.bin"/><Relationship Id="rId1" Type="http://schemas.openxmlformats.org/officeDocument/2006/relationships/hyperlink" Target="https://finbox.com/NASDAQGS:AMZN/explorer/effect_tax_rate" TargetMode="External"/><Relationship Id="rId6" Type="http://schemas.openxmlformats.org/officeDocument/2006/relationships/hyperlink" Target="https://finbox.com/NASDAQGS:AMZN/explorer/effect_tax_rate" TargetMode="External"/><Relationship Id="rId11" Type="http://schemas.openxmlformats.org/officeDocument/2006/relationships/hyperlink" Target="https://finbox.com/NASDAQGS:AMZN/explorer/effect_tax_rate" TargetMode="External"/><Relationship Id="rId24" Type="http://schemas.openxmlformats.org/officeDocument/2006/relationships/hyperlink" Target="https://finbox.com/NASDAQGS:AMZN/explorer/effect_tax_rate" TargetMode="External"/><Relationship Id="rId5" Type="http://schemas.openxmlformats.org/officeDocument/2006/relationships/hyperlink" Target="https://finbox.com/NASDAQGS:AMZN/explorer/effect_tax_rate" TargetMode="External"/><Relationship Id="rId15" Type="http://schemas.openxmlformats.org/officeDocument/2006/relationships/hyperlink" Target="https://finbox.com/NASDAQGS:AMZN/explorer/effect_tax_rate" TargetMode="External"/><Relationship Id="rId23" Type="http://schemas.openxmlformats.org/officeDocument/2006/relationships/hyperlink" Target="https://finbox.com/NASDAQGS:AMZN/explorer/effect_tax_rate" TargetMode="External"/><Relationship Id="rId28" Type="http://schemas.openxmlformats.org/officeDocument/2006/relationships/hyperlink" Target="https://finbox.com/NASDAQGS:AMZN/explorer/effect_tax_rate" TargetMode="External"/><Relationship Id="rId10" Type="http://schemas.openxmlformats.org/officeDocument/2006/relationships/hyperlink" Target="https://finbox.com/NASDAQGS:AMZN/explorer/effect_tax_rate" TargetMode="External"/><Relationship Id="rId19" Type="http://schemas.openxmlformats.org/officeDocument/2006/relationships/hyperlink" Target="https://finbox.com/NASDAQGS:AMZN/explorer/effect_tax_rate" TargetMode="External"/><Relationship Id="rId4" Type="http://schemas.openxmlformats.org/officeDocument/2006/relationships/hyperlink" Target="https://finbox.com/NASDAQGS:AMZN/explorer/effect_tax_rate" TargetMode="External"/><Relationship Id="rId9" Type="http://schemas.openxmlformats.org/officeDocument/2006/relationships/hyperlink" Target="https://finbox.com/NASDAQGS:AMZN/explorer/effect_tax_rate" TargetMode="External"/><Relationship Id="rId14" Type="http://schemas.openxmlformats.org/officeDocument/2006/relationships/hyperlink" Target="https://finbox.com/NASDAQGS:AMZN/explorer/effect_tax_rate" TargetMode="External"/><Relationship Id="rId22" Type="http://schemas.openxmlformats.org/officeDocument/2006/relationships/hyperlink" Target="https://finbox.com/NASDAQGS:AMZN/explorer/effect_tax_rate" TargetMode="External"/><Relationship Id="rId27" Type="http://schemas.openxmlformats.org/officeDocument/2006/relationships/hyperlink" Target="https://finbox.com/NASDAQGS:AMZN/explorer/effect_tax_rate" TargetMode="External"/><Relationship Id="rId30"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D240"/>
  <sheetViews>
    <sheetView showGridLines="0" zoomScale="85" zoomScaleNormal="85" workbookViewId="0">
      <selection activeCell="I3" sqref="I3:I6"/>
    </sheetView>
  </sheetViews>
  <sheetFormatPr defaultRowHeight="14.25"/>
  <cols>
    <col min="3" max="3" width="19.25" customWidth="1"/>
    <col min="4" max="4" width="16.5" customWidth="1"/>
    <col min="5" max="5" width="23.875" customWidth="1"/>
    <col min="6" max="6" width="16.625" customWidth="1"/>
    <col min="7" max="7" width="16.125" customWidth="1"/>
    <col min="11" max="11" width="23.5" customWidth="1"/>
    <col min="12" max="12" width="15.125" customWidth="1"/>
    <col min="13" max="13" width="25.375" customWidth="1"/>
    <col min="15" max="15" width="24.5" customWidth="1"/>
    <col min="16" max="16" width="20.375" customWidth="1"/>
    <col min="17" max="17" width="26.5" customWidth="1"/>
  </cols>
  <sheetData>
    <row r="2" spans="1:13" ht="15" thickBot="1"/>
    <row r="3" spans="1:13">
      <c r="A3" s="265" t="s">
        <v>147</v>
      </c>
      <c r="B3" s="266"/>
      <c r="C3" s="266"/>
      <c r="D3" s="266"/>
      <c r="E3" s="267"/>
      <c r="I3" t="s">
        <v>148</v>
      </c>
    </row>
    <row r="4" spans="1:13">
      <c r="A4" s="268"/>
      <c r="B4" s="269"/>
      <c r="C4" s="269"/>
      <c r="D4" s="269"/>
      <c r="E4" s="270"/>
      <c r="I4" t="s">
        <v>149</v>
      </c>
    </row>
    <row r="5" spans="1:13">
      <c r="A5" s="268"/>
      <c r="B5" s="269"/>
      <c r="C5" s="269"/>
      <c r="D5" s="269"/>
      <c r="E5" s="270"/>
      <c r="I5" t="s">
        <v>150</v>
      </c>
    </row>
    <row r="6" spans="1:13" ht="15" thickBot="1">
      <c r="A6" s="271"/>
      <c r="B6" s="272"/>
      <c r="C6" s="272"/>
      <c r="D6" s="272"/>
      <c r="E6" s="273"/>
      <c r="I6" t="s">
        <v>151</v>
      </c>
    </row>
    <row r="7" spans="1:13" ht="34.5" thickBot="1">
      <c r="A7" s="300" t="s">
        <v>386</v>
      </c>
      <c r="B7" s="301"/>
      <c r="C7" s="301"/>
      <c r="D7" s="301"/>
      <c r="E7" s="301"/>
      <c r="F7" s="302"/>
    </row>
    <row r="9" spans="1:13" ht="33.75">
      <c r="A9" s="116"/>
      <c r="B9" s="116"/>
      <c r="C9" s="116"/>
      <c r="D9" s="116"/>
      <c r="E9" s="116"/>
      <c r="M9" t="s">
        <v>3</v>
      </c>
    </row>
    <row r="12" spans="1:13">
      <c r="B12" t="s">
        <v>57</v>
      </c>
    </row>
    <row r="13" spans="1:13">
      <c r="B13" t="s">
        <v>0</v>
      </c>
    </row>
    <row r="15" spans="1:13">
      <c r="B15" t="s">
        <v>58</v>
      </c>
    </row>
    <row r="16" spans="1:13">
      <c r="B16" t="s">
        <v>59</v>
      </c>
    </row>
    <row r="24" spans="2:13" ht="20.25">
      <c r="B24" s="8" t="s">
        <v>1</v>
      </c>
      <c r="C24" s="1"/>
    </row>
    <row r="26" spans="2:13">
      <c r="B26" t="s">
        <v>4</v>
      </c>
    </row>
    <row r="27" spans="2:13">
      <c r="B27" t="s">
        <v>5</v>
      </c>
      <c r="M27" t="s">
        <v>2</v>
      </c>
    </row>
    <row r="28" spans="2:13">
      <c r="B28" t="s">
        <v>6</v>
      </c>
    </row>
    <row r="31" spans="2:13" ht="15" thickBot="1"/>
    <row r="32" spans="2:13">
      <c r="B32" s="2" t="s">
        <v>7</v>
      </c>
      <c r="C32" s="3" t="s">
        <v>8</v>
      </c>
    </row>
    <row r="33" spans="2:5">
      <c r="B33" s="4">
        <v>1</v>
      </c>
      <c r="C33" s="6">
        <v>4.512E-2</v>
      </c>
      <c r="D33" t="s">
        <v>19</v>
      </c>
    </row>
    <row r="34" spans="2:5">
      <c r="B34" s="4">
        <v>2</v>
      </c>
      <c r="C34" s="6">
        <v>4.5909999999999999E-2</v>
      </c>
      <c r="D34" t="s">
        <v>15</v>
      </c>
      <c r="E34" t="s">
        <v>20</v>
      </c>
    </row>
    <row r="35" spans="2:5">
      <c r="B35" s="4">
        <v>3</v>
      </c>
      <c r="C35" s="6">
        <v>4.3799999999999999E-2</v>
      </c>
      <c r="D35" t="s">
        <v>16</v>
      </c>
      <c r="E35" t="s">
        <v>21</v>
      </c>
    </row>
    <row r="36" spans="2:5">
      <c r="B36" s="4">
        <v>4</v>
      </c>
      <c r="C36" s="6">
        <v>4.3229999999999998E-2</v>
      </c>
      <c r="D36" t="s">
        <v>17</v>
      </c>
      <c r="E36" t="s">
        <v>22</v>
      </c>
    </row>
    <row r="37" spans="2:5" ht="15" thickBot="1">
      <c r="B37" s="5">
        <v>5</v>
      </c>
      <c r="C37" s="7">
        <v>4.2200000000000001E-2</v>
      </c>
      <c r="D37" t="s">
        <v>18</v>
      </c>
      <c r="E37" t="s">
        <v>23</v>
      </c>
    </row>
    <row r="49" spans="2:12" ht="20.25">
      <c r="B49" s="8" t="s">
        <v>9</v>
      </c>
    </row>
    <row r="51" spans="2:12">
      <c r="B51" s="9" t="s">
        <v>11</v>
      </c>
      <c r="C51" s="9"/>
      <c r="L51" t="s">
        <v>10</v>
      </c>
    </row>
    <row r="52" spans="2:12">
      <c r="B52" s="19" t="s">
        <v>12</v>
      </c>
      <c r="C52" s="10"/>
    </row>
    <row r="53" spans="2:12">
      <c r="B53" s="21" t="s">
        <v>13</v>
      </c>
      <c r="C53" s="12"/>
    </row>
    <row r="54" spans="2:12" ht="15">
      <c r="B54" s="22" t="s">
        <v>24</v>
      </c>
      <c r="C54" s="14"/>
    </row>
    <row r="55" spans="2:12">
      <c r="B55" s="22"/>
      <c r="C55" s="14"/>
    </row>
    <row r="56" spans="2:12">
      <c r="B56" s="22" t="s">
        <v>29</v>
      </c>
      <c r="C56" s="14"/>
    </row>
    <row r="57" spans="2:12">
      <c r="B57" s="22" t="s">
        <v>25</v>
      </c>
      <c r="C57" s="14"/>
    </row>
    <row r="58" spans="2:12">
      <c r="B58" s="22" t="s">
        <v>26</v>
      </c>
      <c r="C58" s="14"/>
      <c r="D58" t="s">
        <v>28</v>
      </c>
      <c r="E58" s="24">
        <f>AVERAGE(C62:C66)</f>
        <v>4.2560000000000001E-2</v>
      </c>
    </row>
    <row r="59" spans="2:12">
      <c r="B59" s="20" t="s">
        <v>27</v>
      </c>
      <c r="C59" s="23">
        <f>AVERAGE(4.24%,4.93%)</f>
        <v>4.5850000000000002E-2</v>
      </c>
    </row>
    <row r="60" spans="2:12" ht="15" thickBot="1">
      <c r="B60" s="20"/>
      <c r="C60" s="23"/>
    </row>
    <row r="61" spans="2:12">
      <c r="B61" s="2" t="s">
        <v>7</v>
      </c>
      <c r="C61" s="3" t="s">
        <v>14</v>
      </c>
      <c r="E61" t="s">
        <v>53</v>
      </c>
    </row>
    <row r="62" spans="2:12">
      <c r="B62" s="4">
        <v>1</v>
      </c>
      <c r="C62" s="6">
        <v>4.24E-2</v>
      </c>
      <c r="E62" t="s">
        <v>54</v>
      </c>
    </row>
    <row r="63" spans="2:12">
      <c r="B63" s="4">
        <v>2</v>
      </c>
      <c r="C63" s="6">
        <v>4.2999999999999997E-2</v>
      </c>
      <c r="E63" t="s">
        <v>55</v>
      </c>
    </row>
    <row r="64" spans="2:12">
      <c r="B64" s="4">
        <v>3</v>
      </c>
      <c r="C64" s="6">
        <v>4.2599999999999999E-2</v>
      </c>
      <c r="E64" t="s">
        <v>56</v>
      </c>
    </row>
    <row r="65" spans="2:3" ht="15" thickBot="1">
      <c r="B65" s="4">
        <v>4</v>
      </c>
      <c r="C65" s="7">
        <v>4.24E-2</v>
      </c>
    </row>
    <row r="66" spans="2:3" ht="15" thickBot="1">
      <c r="B66" s="5">
        <v>5</v>
      </c>
      <c r="C66" s="7">
        <v>4.24E-2</v>
      </c>
    </row>
    <row r="67" spans="2:3">
      <c r="B67" s="13"/>
      <c r="C67" s="14"/>
    </row>
    <row r="68" spans="2:3">
      <c r="B68" s="11"/>
      <c r="C68" s="12"/>
    </row>
    <row r="69" spans="2:3">
      <c r="B69" s="13"/>
      <c r="C69" s="14"/>
    </row>
    <row r="70" spans="2:3">
      <c r="B70" s="11"/>
      <c r="C70" s="12"/>
    </row>
    <row r="71" spans="2:3">
      <c r="B71" s="13"/>
      <c r="C71" s="14"/>
    </row>
    <row r="72" spans="2:3">
      <c r="B72" s="11"/>
      <c r="C72" s="12"/>
    </row>
    <row r="73" spans="2:3">
      <c r="B73" s="13"/>
      <c r="C73" s="14"/>
    </row>
    <row r="74" spans="2:3">
      <c r="B74" s="11"/>
      <c r="C74" s="12"/>
    </row>
    <row r="75" spans="2:3">
      <c r="B75" s="13"/>
      <c r="C75" s="14"/>
    </row>
    <row r="76" spans="2:3">
      <c r="B76" s="11"/>
      <c r="C76" s="12"/>
    </row>
    <row r="77" spans="2:3">
      <c r="B77" s="13"/>
      <c r="C77" s="14"/>
    </row>
    <row r="78" spans="2:3" ht="20.25">
      <c r="B78" s="25" t="s">
        <v>30</v>
      </c>
      <c r="C78" s="12"/>
    </row>
    <row r="79" spans="2:3">
      <c r="B79" s="22" t="s">
        <v>31</v>
      </c>
      <c r="C79" s="14"/>
    </row>
    <row r="80" spans="2:3">
      <c r="B80" s="21" t="s">
        <v>32</v>
      </c>
      <c r="C80" s="12"/>
    </row>
    <row r="81" spans="2:13">
      <c r="B81" s="13"/>
      <c r="C81" s="14"/>
    </row>
    <row r="82" spans="2:13">
      <c r="B82" s="11"/>
      <c r="C82" s="12"/>
    </row>
    <row r="83" spans="2:13">
      <c r="B83" s="22" t="s">
        <v>34</v>
      </c>
      <c r="C83" s="14"/>
      <c r="E83" s="26">
        <f>AVERAGE(1.259,1.17)</f>
        <v>1.2144999999999999</v>
      </c>
      <c r="M83" t="s">
        <v>33</v>
      </c>
    </row>
    <row r="84" spans="2:13">
      <c r="B84" s="11"/>
      <c r="C84" s="12"/>
    </row>
    <row r="85" spans="2:13">
      <c r="B85" s="13"/>
      <c r="C85" s="14"/>
    </row>
    <row r="86" spans="2:13">
      <c r="B86" s="11"/>
      <c r="C86" s="12"/>
    </row>
    <row r="87" spans="2:13">
      <c r="B87" s="13"/>
      <c r="C87" s="14"/>
    </row>
    <row r="88" spans="2:13">
      <c r="B88" s="11"/>
      <c r="C88" s="12"/>
    </row>
    <row r="89" spans="2:13">
      <c r="B89" s="13"/>
      <c r="C89" s="14"/>
    </row>
    <row r="90" spans="2:13">
      <c r="B90" s="11"/>
      <c r="C90" s="12"/>
    </row>
    <row r="91" spans="2:13">
      <c r="B91" s="13"/>
      <c r="C91" s="14"/>
    </row>
    <row r="92" spans="2:13">
      <c r="B92" s="11"/>
      <c r="C92" s="12"/>
    </row>
    <row r="93" spans="2:13">
      <c r="B93" s="13"/>
      <c r="C93" s="14"/>
    </row>
    <row r="94" spans="2:13">
      <c r="B94" s="11"/>
      <c r="C94" s="12"/>
    </row>
    <row r="95" spans="2:13">
      <c r="B95" s="13"/>
      <c r="C95" s="14"/>
    </row>
    <row r="96" spans="2:13">
      <c r="B96" s="11"/>
      <c r="C96" s="12"/>
    </row>
    <row r="97" spans="2:30">
      <c r="B97" s="13"/>
      <c r="C97" s="14"/>
    </row>
    <row r="98" spans="2:30">
      <c r="B98" s="11"/>
      <c r="C98" s="12"/>
    </row>
    <row r="99" spans="2:30">
      <c r="B99" s="13" t="s">
        <v>39</v>
      </c>
      <c r="C99" s="14"/>
    </row>
    <row r="100" spans="2:30">
      <c r="B100" s="11"/>
      <c r="C100" s="12"/>
    </row>
    <row r="101" spans="2:30">
      <c r="B101" s="13"/>
      <c r="C101" s="14"/>
    </row>
    <row r="102" spans="2:30">
      <c r="B102" s="11"/>
      <c r="C102" s="12"/>
      <c r="AC102" s="27"/>
    </row>
    <row r="103" spans="2:30">
      <c r="B103" s="22" t="s">
        <v>35</v>
      </c>
      <c r="C103" s="14"/>
      <c r="AD103" s="29"/>
    </row>
    <row r="104" spans="2:30">
      <c r="B104" s="11"/>
      <c r="C104" s="12"/>
      <c r="AD104" s="27"/>
    </row>
    <row r="105" spans="2:30">
      <c r="B105" s="13"/>
      <c r="C105" s="14"/>
      <c r="AD105" s="29"/>
    </row>
    <row r="106" spans="2:30">
      <c r="C106" s="27">
        <v>45291</v>
      </c>
      <c r="D106" s="29">
        <v>0.19</v>
      </c>
      <c r="F106" t="s">
        <v>36</v>
      </c>
      <c r="AD106" s="27"/>
    </row>
    <row r="107" spans="2:30">
      <c r="C107" s="27">
        <v>44926</v>
      </c>
      <c r="D107" s="29">
        <v>0.54200000000000004</v>
      </c>
      <c r="F107" t="s">
        <v>37</v>
      </c>
      <c r="AD107" s="29"/>
    </row>
    <row r="108" spans="2:30">
      <c r="C108" s="27">
        <v>44561</v>
      </c>
      <c r="D108" s="29">
        <v>0.126</v>
      </c>
      <c r="AD108" s="27"/>
    </row>
    <row r="109" spans="2:30">
      <c r="C109" s="27">
        <v>44196</v>
      </c>
      <c r="D109" s="29">
        <v>0.11799999999999999</v>
      </c>
      <c r="O109" s="27">
        <v>45291</v>
      </c>
      <c r="P109" s="29">
        <v>0.19</v>
      </c>
      <c r="AD109" s="29"/>
    </row>
    <row r="110" spans="2:30">
      <c r="C110" s="27">
        <v>43830</v>
      </c>
      <c r="D110" s="29">
        <v>0.17</v>
      </c>
      <c r="F110" s="27">
        <v>45291</v>
      </c>
      <c r="G110" s="29">
        <v>0.19</v>
      </c>
      <c r="O110" s="27">
        <v>44926</v>
      </c>
      <c r="P110" s="29">
        <v>0.54200000000000004</v>
      </c>
      <c r="AD110" s="27"/>
    </row>
    <row r="111" spans="2:30">
      <c r="C111" s="27">
        <v>43465</v>
      </c>
      <c r="D111" s="29">
        <v>0.106</v>
      </c>
      <c r="F111" s="27">
        <v>44561</v>
      </c>
      <c r="G111" s="29">
        <v>0.126</v>
      </c>
      <c r="O111" s="27">
        <v>44561</v>
      </c>
      <c r="P111" s="29">
        <v>0.126</v>
      </c>
      <c r="AD111" s="29"/>
    </row>
    <row r="112" spans="2:30">
      <c r="C112" s="27">
        <v>43100</v>
      </c>
      <c r="D112" s="29">
        <v>0.20200000000000001</v>
      </c>
      <c r="F112" s="27">
        <v>44196</v>
      </c>
      <c r="G112" s="29">
        <v>0.11799999999999999</v>
      </c>
      <c r="I112" t="s">
        <v>38</v>
      </c>
      <c r="J112" s="32">
        <f>AVERAGE(G110:G115)</f>
        <v>0.152</v>
      </c>
      <c r="O112" s="27">
        <v>44196</v>
      </c>
      <c r="P112" s="29">
        <v>0.11799999999999999</v>
      </c>
      <c r="AD112" s="27"/>
    </row>
    <row r="113" spans="2:30">
      <c r="C113" s="27">
        <v>42735</v>
      </c>
      <c r="D113" s="29">
        <v>0.375</v>
      </c>
      <c r="F113" s="27">
        <v>43830</v>
      </c>
      <c r="G113" s="29">
        <v>0.17</v>
      </c>
      <c r="O113" s="27">
        <v>43830</v>
      </c>
      <c r="P113" s="29">
        <v>0.17</v>
      </c>
      <c r="AD113" s="29"/>
    </row>
    <row r="114" spans="2:30">
      <c r="C114" s="27">
        <v>42369</v>
      </c>
      <c r="D114" s="29">
        <v>0.61399999999999999</v>
      </c>
      <c r="F114" s="27">
        <v>43465</v>
      </c>
      <c r="G114" s="29">
        <v>0.106</v>
      </c>
      <c r="O114" s="27">
        <v>43465</v>
      </c>
      <c r="P114" s="29">
        <v>0.106</v>
      </c>
      <c r="AD114" s="27"/>
    </row>
    <row r="115" spans="2:30">
      <c r="C115" s="27">
        <v>42004</v>
      </c>
      <c r="D115" s="29">
        <v>-2.2570000000000001</v>
      </c>
      <c r="F115" s="27">
        <v>43100</v>
      </c>
      <c r="G115" s="29">
        <v>0.20200000000000001</v>
      </c>
      <c r="O115" s="27">
        <v>43100</v>
      </c>
      <c r="P115" s="29">
        <v>0.20200000000000001</v>
      </c>
      <c r="AD115" s="29"/>
    </row>
    <row r="116" spans="2:30">
      <c r="C116" s="27">
        <v>41639</v>
      </c>
      <c r="D116" s="29">
        <v>0.37</v>
      </c>
      <c r="F116" s="27"/>
      <c r="G116" s="29"/>
      <c r="O116" s="27">
        <v>42735</v>
      </c>
      <c r="P116" s="29">
        <v>0.375</v>
      </c>
      <c r="AD116" s="27"/>
    </row>
    <row r="117" spans="2:30">
      <c r="B117" s="16"/>
      <c r="C117" s="17"/>
      <c r="F117" s="27"/>
      <c r="G117" s="29"/>
      <c r="O117" s="27">
        <v>42369</v>
      </c>
      <c r="P117" s="29">
        <v>0.61399999999999999</v>
      </c>
      <c r="AD117" s="29"/>
    </row>
    <row r="118" spans="2:30">
      <c r="B118" s="18"/>
      <c r="C118" s="15"/>
      <c r="F118" s="27"/>
      <c r="G118" s="29"/>
      <c r="O118" s="27">
        <v>42004</v>
      </c>
      <c r="P118" s="29">
        <v>-2.2570000000000001</v>
      </c>
      <c r="AD118" s="27"/>
    </row>
    <row r="119" spans="2:30">
      <c r="B119" s="16"/>
      <c r="C119" s="17"/>
      <c r="F119" s="27"/>
      <c r="G119" s="29"/>
      <c r="J119" t="s">
        <v>42</v>
      </c>
      <c r="O119" s="27">
        <v>41639</v>
      </c>
      <c r="P119" s="29">
        <v>0.37</v>
      </c>
      <c r="AD119" s="29"/>
    </row>
    <row r="120" spans="2:30">
      <c r="B120" s="18"/>
      <c r="C120" s="15"/>
      <c r="P120" s="27"/>
      <c r="AD120" s="27"/>
    </row>
    <row r="121" spans="2:30">
      <c r="B121" s="16" t="s">
        <v>40</v>
      </c>
      <c r="C121" s="15" t="s">
        <v>41</v>
      </c>
      <c r="D121" t="s">
        <v>40</v>
      </c>
      <c r="O121" s="29"/>
      <c r="AD121" s="29"/>
    </row>
    <row r="122" spans="2:30">
      <c r="B122" s="9"/>
      <c r="C122" s="9">
        <v>2023</v>
      </c>
      <c r="D122">
        <v>0.28999999999999998</v>
      </c>
      <c r="P122" s="27"/>
      <c r="AD122" s="27"/>
    </row>
    <row r="123" spans="2:30">
      <c r="B123" s="9"/>
      <c r="C123" s="9">
        <v>2022</v>
      </c>
      <c r="D123">
        <v>0.46</v>
      </c>
      <c r="F123" t="s">
        <v>28</v>
      </c>
      <c r="G123" s="26">
        <f>AVERAGE(D122:D133)</f>
        <v>0.36142857142857149</v>
      </c>
      <c r="O123" s="29"/>
      <c r="AD123" s="29"/>
    </row>
    <row r="124" spans="2:30">
      <c r="C124">
        <v>2021</v>
      </c>
      <c r="D124">
        <v>0.35</v>
      </c>
      <c r="P124" s="27"/>
      <c r="AD124" s="30"/>
    </row>
    <row r="125" spans="2:30">
      <c r="C125">
        <v>2020</v>
      </c>
      <c r="D125">
        <v>0.34</v>
      </c>
      <c r="O125" s="29"/>
      <c r="AD125" s="31"/>
    </row>
    <row r="126" spans="2:30">
      <c r="C126">
        <v>2019</v>
      </c>
      <c r="D126">
        <v>0.38</v>
      </c>
      <c r="P126" s="27"/>
    </row>
    <row r="128" spans="2:30">
      <c r="P128" s="27"/>
    </row>
    <row r="132" spans="2:7">
      <c r="C132">
        <v>2013</v>
      </c>
      <c r="D132">
        <v>0.33</v>
      </c>
    </row>
    <row r="133" spans="2:7">
      <c r="C133">
        <v>2012</v>
      </c>
      <c r="D133">
        <v>0.38</v>
      </c>
    </row>
    <row r="136" spans="2:7">
      <c r="B136" t="s">
        <v>43</v>
      </c>
    </row>
    <row r="137" spans="2:7">
      <c r="B137" t="s">
        <v>44</v>
      </c>
    </row>
    <row r="140" spans="2:7" ht="15" thickBot="1"/>
    <row r="141" spans="2:7" ht="15">
      <c r="B141" s="33" t="s">
        <v>7</v>
      </c>
      <c r="C141" s="34" t="s">
        <v>45</v>
      </c>
      <c r="D141" s="34" t="s">
        <v>39</v>
      </c>
      <c r="E141" s="34" t="s">
        <v>40</v>
      </c>
      <c r="F141" s="38" t="s">
        <v>47</v>
      </c>
      <c r="G141" s="34" t="s">
        <v>46</v>
      </c>
    </row>
    <row r="142" spans="2:7">
      <c r="B142">
        <v>1</v>
      </c>
      <c r="C142" s="35">
        <f>C143</f>
        <v>1.2144999999999999</v>
      </c>
      <c r="D142" s="36">
        <v>0.18</v>
      </c>
      <c r="E142" s="37">
        <v>0.28999999999999998</v>
      </c>
      <c r="F142" s="39">
        <f>C142*(1+(1-D142)*E142)</f>
        <v>1.5033080999999999</v>
      </c>
      <c r="G142" t="s">
        <v>48</v>
      </c>
    </row>
    <row r="143" spans="2:7">
      <c r="B143">
        <v>2</v>
      </c>
      <c r="C143" s="35">
        <f>E83</f>
        <v>1.2144999999999999</v>
      </c>
      <c r="D143" s="36">
        <f>J112</f>
        <v>0.152</v>
      </c>
      <c r="E143" s="37">
        <v>0.25</v>
      </c>
      <c r="F143" s="39">
        <f>C143*(1+(1-D143)*E143)</f>
        <v>1.4719739999999999</v>
      </c>
      <c r="G143" t="s">
        <v>49</v>
      </c>
    </row>
    <row r="144" spans="2:7">
      <c r="B144">
        <v>3</v>
      </c>
      <c r="C144" s="35">
        <v>1.2</v>
      </c>
      <c r="D144" s="36">
        <f>D143</f>
        <v>0.152</v>
      </c>
      <c r="E144" s="37">
        <v>0.23</v>
      </c>
      <c r="F144" s="39">
        <f t="shared" ref="F144" si="0">C144*(1+(1-D144)*E144)</f>
        <v>1.434048</v>
      </c>
      <c r="G144" t="s">
        <v>52</v>
      </c>
    </row>
    <row r="145" spans="2:11">
      <c r="B145">
        <v>4</v>
      </c>
      <c r="C145" s="35">
        <v>1.1299999999999999</v>
      </c>
      <c r="D145" s="36">
        <f>D143</f>
        <v>0.152</v>
      </c>
      <c r="E145" s="37">
        <v>0.22</v>
      </c>
      <c r="F145" s="39">
        <f>C145*(1+(1-D145)*E145)</f>
        <v>1.3408127999999999</v>
      </c>
      <c r="G145" t="s">
        <v>52</v>
      </c>
    </row>
    <row r="146" spans="2:11" ht="15" thickBot="1">
      <c r="B146">
        <v>5</v>
      </c>
      <c r="C146" s="35">
        <v>1.05</v>
      </c>
      <c r="D146" s="36">
        <f>D145</f>
        <v>0.152</v>
      </c>
      <c r="E146" s="37">
        <f>0.21</f>
        <v>0.21</v>
      </c>
      <c r="F146" s="40">
        <f>C146*(1+(1-D146)*E146)</f>
        <v>1.2369840000000001</v>
      </c>
      <c r="G146" t="s">
        <v>52</v>
      </c>
    </row>
    <row r="151" spans="2:11">
      <c r="I151" t="s">
        <v>71</v>
      </c>
    </row>
    <row r="153" spans="2:11" ht="23.25">
      <c r="B153" s="41" t="s">
        <v>50</v>
      </c>
    </row>
    <row r="155" spans="2:11">
      <c r="B155" t="s">
        <v>51</v>
      </c>
    </row>
    <row r="157" spans="2:11" ht="15" thickBot="1"/>
    <row r="158" spans="2:11" ht="15">
      <c r="B158" s="43" t="s">
        <v>7</v>
      </c>
      <c r="C158" s="44" t="s">
        <v>8</v>
      </c>
      <c r="D158" s="3" t="s">
        <v>14</v>
      </c>
      <c r="E158" s="38" t="s">
        <v>47</v>
      </c>
      <c r="F158" s="48" t="s">
        <v>14</v>
      </c>
      <c r="J158">
        <v>2024</v>
      </c>
      <c r="K158" s="28">
        <f>F159</f>
        <v>0.10886026343999999</v>
      </c>
    </row>
    <row r="159" spans="2:11">
      <c r="B159" s="45">
        <v>1</v>
      </c>
      <c r="C159" s="42">
        <v>4.512E-2</v>
      </c>
      <c r="D159" s="6">
        <v>4.24E-2</v>
      </c>
      <c r="E159" s="39">
        <v>1.5033080999999999</v>
      </c>
      <c r="F159" s="49">
        <f>C159+(E159*D159)</f>
        <v>0.10886026343999999</v>
      </c>
      <c r="J159">
        <v>2025</v>
      </c>
      <c r="K159" s="28">
        <f t="shared" ref="K159:K162" si="1">F160</f>
        <v>0.109204882</v>
      </c>
    </row>
    <row r="160" spans="2:11">
      <c r="B160" s="45">
        <v>2</v>
      </c>
      <c r="C160" s="42">
        <v>4.5909999999999999E-2</v>
      </c>
      <c r="D160" s="6">
        <v>4.2999999999999997E-2</v>
      </c>
      <c r="E160" s="39">
        <v>1.4719739999999999</v>
      </c>
      <c r="F160" s="49">
        <f t="shared" ref="F160:F163" si="2">C160+(E160*D160)</f>
        <v>0.109204882</v>
      </c>
      <c r="J160">
        <v>2026</v>
      </c>
      <c r="K160" s="28">
        <f t="shared" si="1"/>
        <v>0.1048904448</v>
      </c>
    </row>
    <row r="161" spans="2:11">
      <c r="B161" s="45">
        <v>3</v>
      </c>
      <c r="C161" s="42">
        <v>4.3799999999999999E-2</v>
      </c>
      <c r="D161" s="6">
        <v>4.2599999999999999E-2</v>
      </c>
      <c r="E161" s="39">
        <v>1.434048</v>
      </c>
      <c r="F161" s="49">
        <f t="shared" si="2"/>
        <v>0.1048904448</v>
      </c>
      <c r="J161">
        <v>2027</v>
      </c>
      <c r="K161" s="28">
        <f t="shared" si="1"/>
        <v>0.10008046271999999</v>
      </c>
    </row>
    <row r="162" spans="2:11" ht="15" thickBot="1">
      <c r="B162" s="45">
        <v>4</v>
      </c>
      <c r="C162" s="42">
        <v>4.3229999999999998E-2</v>
      </c>
      <c r="D162" s="7">
        <v>4.24E-2</v>
      </c>
      <c r="E162" s="39">
        <v>1.3408127999999999</v>
      </c>
      <c r="F162" s="49">
        <f t="shared" si="2"/>
        <v>0.10008046271999999</v>
      </c>
      <c r="J162">
        <v>2028</v>
      </c>
      <c r="K162" s="28">
        <f t="shared" si="1"/>
        <v>9.4648121599999996E-2</v>
      </c>
    </row>
    <row r="163" spans="2:11" ht="15" thickBot="1">
      <c r="B163" s="46">
        <v>5</v>
      </c>
      <c r="C163" s="47">
        <v>4.2200000000000001E-2</v>
      </c>
      <c r="D163" s="7">
        <v>4.24E-2</v>
      </c>
      <c r="E163" s="40">
        <v>1.2369840000000001</v>
      </c>
      <c r="F163" s="50">
        <f t="shared" si="2"/>
        <v>9.4648121599999996E-2</v>
      </c>
    </row>
    <row r="168" spans="2:11" ht="15">
      <c r="B168" s="33" t="s">
        <v>64</v>
      </c>
    </row>
    <row r="170" spans="2:11">
      <c r="B170" t="s">
        <v>60</v>
      </c>
    </row>
    <row r="171" spans="2:11">
      <c r="B171" t="s">
        <v>63</v>
      </c>
    </row>
    <row r="173" spans="2:11">
      <c r="B173" t="s">
        <v>61</v>
      </c>
    </row>
    <row r="174" spans="2:11">
      <c r="B174" t="s">
        <v>62</v>
      </c>
    </row>
    <row r="180" spans="2:20" ht="18">
      <c r="B180" s="100" t="s">
        <v>123</v>
      </c>
      <c r="N180" s="51" t="s">
        <v>7</v>
      </c>
      <c r="O180" s="51" t="s">
        <v>134</v>
      </c>
      <c r="P180" s="51" t="s">
        <v>136</v>
      </c>
      <c r="Q180" s="51" t="s">
        <v>135</v>
      </c>
    </row>
    <row r="181" spans="2:20" ht="15">
      <c r="N181" s="103">
        <v>2023</v>
      </c>
      <c r="O181" s="102">
        <v>10492</v>
      </c>
      <c r="P181" s="101">
        <v>45291</v>
      </c>
      <c r="Q181" s="102">
        <v>10492</v>
      </c>
      <c r="R181">
        <v>1</v>
      </c>
    </row>
    <row r="182" spans="2:20" ht="15">
      <c r="C182" t="s">
        <v>124</v>
      </c>
      <c r="E182" s="79">
        <v>187.48</v>
      </c>
      <c r="N182" s="103">
        <v>2022</v>
      </c>
      <c r="O182" s="102">
        <v>10189</v>
      </c>
      <c r="P182" s="101">
        <v>45199</v>
      </c>
      <c r="Q182" s="102">
        <v>10558</v>
      </c>
      <c r="R182">
        <v>2</v>
      </c>
    </row>
    <row r="183" spans="2:20" ht="15">
      <c r="N183" s="103">
        <v>2021</v>
      </c>
      <c r="O183" s="102">
        <v>10296</v>
      </c>
      <c r="P183" s="101">
        <v>45107</v>
      </c>
      <c r="Q183" s="102">
        <v>10449</v>
      </c>
      <c r="R183">
        <v>3</v>
      </c>
    </row>
    <row r="184" spans="2:20" ht="15">
      <c r="C184" t="s">
        <v>125</v>
      </c>
      <c r="E184" s="87">
        <v>10406627415</v>
      </c>
      <c r="N184" s="103">
        <v>2020</v>
      </c>
      <c r="O184" s="102">
        <v>10198</v>
      </c>
      <c r="P184" s="101">
        <v>45016</v>
      </c>
      <c r="Q184" s="102">
        <v>10347</v>
      </c>
      <c r="R184">
        <v>4</v>
      </c>
    </row>
    <row r="185" spans="2:20" ht="15">
      <c r="N185" s="103">
        <v>2019</v>
      </c>
      <c r="O185" s="102">
        <v>10080</v>
      </c>
      <c r="P185" s="101">
        <v>44926</v>
      </c>
      <c r="Q185" s="102">
        <v>10189</v>
      </c>
      <c r="R185">
        <v>5</v>
      </c>
    </row>
    <row r="186" spans="2:20" ht="15">
      <c r="C186" t="s">
        <v>126</v>
      </c>
      <c r="E186" s="79">
        <f>E184*E182</f>
        <v>1951034507764.2</v>
      </c>
      <c r="N186" s="103">
        <v>2018</v>
      </c>
      <c r="O186" s="102">
        <v>10000</v>
      </c>
      <c r="P186" s="101">
        <v>44834</v>
      </c>
      <c r="Q186" s="102">
        <v>10331</v>
      </c>
      <c r="R186">
        <v>6</v>
      </c>
    </row>
    <row r="187" spans="2:20" ht="15">
      <c r="N187" s="103">
        <v>2017</v>
      </c>
      <c r="O187" s="102">
        <v>9860</v>
      </c>
      <c r="P187" s="101">
        <v>44742</v>
      </c>
      <c r="Q187" s="102">
        <v>10175</v>
      </c>
      <c r="R187">
        <v>7</v>
      </c>
    </row>
    <row r="188" spans="2:20" ht="15">
      <c r="C188" t="s">
        <v>127</v>
      </c>
      <c r="E188" s="85">
        <f>E186/1000</f>
        <v>1951034507.7642</v>
      </c>
      <c r="N188" s="103">
        <v>2016</v>
      </c>
      <c r="O188" s="102">
        <v>9680</v>
      </c>
      <c r="P188" s="101">
        <v>44651</v>
      </c>
      <c r="Q188" s="102">
        <v>10171</v>
      </c>
      <c r="R188">
        <v>8</v>
      </c>
    </row>
    <row r="189" spans="2:20" ht="15">
      <c r="N189" s="103">
        <v>2015</v>
      </c>
      <c r="O189" s="102">
        <v>9540</v>
      </c>
      <c r="P189" s="101">
        <v>44561</v>
      </c>
      <c r="Q189" s="102">
        <v>10296</v>
      </c>
      <c r="R189">
        <v>9</v>
      </c>
      <c r="T189">
        <f>SLOPE(Q181:Q240,R181:R240)</f>
        <v>-28.86632397888302</v>
      </c>
    </row>
    <row r="190" spans="2:20" ht="15">
      <c r="N190" s="103">
        <v>2014</v>
      </c>
      <c r="O190" s="102">
        <v>9240</v>
      </c>
      <c r="P190" s="101">
        <v>44469</v>
      </c>
      <c r="Q190" s="102">
        <v>10309</v>
      </c>
      <c r="R190">
        <v>10</v>
      </c>
    </row>
    <row r="191" spans="2:20" ht="15">
      <c r="N191" s="103">
        <v>2013</v>
      </c>
      <c r="O191" s="102">
        <v>9300</v>
      </c>
      <c r="P191" s="101">
        <v>44377</v>
      </c>
      <c r="Q191" s="102">
        <v>10286</v>
      </c>
      <c r="R191">
        <v>11</v>
      </c>
    </row>
    <row r="192" spans="2:20" ht="15">
      <c r="B192" t="s">
        <v>133</v>
      </c>
      <c r="N192" s="103">
        <v>2012</v>
      </c>
      <c r="O192" s="102">
        <v>9060</v>
      </c>
      <c r="P192" s="101">
        <v>44286</v>
      </c>
      <c r="Q192" s="102">
        <v>10260</v>
      </c>
      <c r="R192">
        <v>12</v>
      </c>
    </row>
    <row r="193" spans="2:18" ht="15">
      <c r="B193" t="s">
        <v>137</v>
      </c>
      <c r="N193" s="103">
        <v>2011</v>
      </c>
      <c r="O193" s="102">
        <v>9220</v>
      </c>
      <c r="P193" s="101">
        <v>44196</v>
      </c>
      <c r="Q193" s="102">
        <v>10198</v>
      </c>
      <c r="R193">
        <v>13</v>
      </c>
    </row>
    <row r="194" spans="2:18" ht="15">
      <c r="N194" s="103">
        <v>2010</v>
      </c>
      <c r="O194" s="102">
        <v>9120</v>
      </c>
      <c r="P194" s="101">
        <v>44104</v>
      </c>
      <c r="Q194" s="102">
        <v>10240</v>
      </c>
      <c r="R194">
        <v>14</v>
      </c>
    </row>
    <row r="195" spans="2:18" ht="15">
      <c r="B195" t="s">
        <v>138</v>
      </c>
      <c r="N195" s="103">
        <v>2009</v>
      </c>
      <c r="O195" s="102">
        <v>8840</v>
      </c>
      <c r="P195" s="101">
        <v>44012</v>
      </c>
      <c r="Q195" s="102">
        <v>10180</v>
      </c>
      <c r="R195">
        <v>15</v>
      </c>
    </row>
    <row r="196" spans="2:18" ht="15">
      <c r="B196" s="88" t="s">
        <v>7</v>
      </c>
      <c r="C196" s="88" t="s">
        <v>139</v>
      </c>
      <c r="D196" s="88" t="s">
        <v>140</v>
      </c>
      <c r="N196" s="51" t="s">
        <v>7</v>
      </c>
      <c r="O196" s="51" t="s">
        <v>134</v>
      </c>
      <c r="P196" s="101">
        <v>43921</v>
      </c>
      <c r="Q196" s="102">
        <v>10120</v>
      </c>
      <c r="R196">
        <v>16</v>
      </c>
    </row>
    <row r="197" spans="2:18" ht="15">
      <c r="B197" s="88">
        <v>1</v>
      </c>
      <c r="C197" s="88">
        <v>16</v>
      </c>
      <c r="D197" s="108">
        <f>M220*C197+8757.5</f>
        <v>10591.214285714286</v>
      </c>
      <c r="N197" s="103">
        <v>1</v>
      </c>
      <c r="O197" s="102">
        <v>10492</v>
      </c>
      <c r="P197" s="101">
        <v>43830</v>
      </c>
      <c r="Q197" s="102">
        <v>10080</v>
      </c>
      <c r="R197">
        <v>17</v>
      </c>
    </row>
    <row r="198" spans="2:18" ht="15">
      <c r="B198" s="88">
        <v>2</v>
      </c>
      <c r="C198" s="88">
        <v>17</v>
      </c>
      <c r="D198" s="108">
        <f t="shared" ref="D198:D201" si="3">M221*C198+8757.5</f>
        <v>10705.821428571429</v>
      </c>
      <c r="N198" s="103">
        <v>2</v>
      </c>
      <c r="O198" s="102">
        <v>10189</v>
      </c>
      <c r="P198" s="101">
        <v>43738</v>
      </c>
      <c r="Q198" s="102">
        <v>10080</v>
      </c>
      <c r="R198">
        <v>18</v>
      </c>
    </row>
    <row r="199" spans="2:18" ht="15">
      <c r="B199" s="88">
        <v>3</v>
      </c>
      <c r="C199" s="88">
        <v>18</v>
      </c>
      <c r="D199" s="108">
        <f t="shared" si="3"/>
        <v>10820.428571428572</v>
      </c>
      <c r="N199" s="103">
        <v>3</v>
      </c>
      <c r="O199" s="102">
        <v>10296</v>
      </c>
      <c r="P199" s="101">
        <v>43646</v>
      </c>
      <c r="Q199" s="102">
        <v>10060</v>
      </c>
      <c r="R199">
        <v>19</v>
      </c>
    </row>
    <row r="200" spans="2:18" ht="15">
      <c r="B200" s="88">
        <v>4</v>
      </c>
      <c r="C200" s="88">
        <v>19</v>
      </c>
      <c r="D200" s="108">
        <f t="shared" si="3"/>
        <v>10935.035714285714</v>
      </c>
      <c r="N200" s="103">
        <v>4</v>
      </c>
      <c r="O200" s="102">
        <v>10198</v>
      </c>
      <c r="P200" s="101">
        <v>43555</v>
      </c>
      <c r="Q200" s="102">
        <v>10040</v>
      </c>
      <c r="R200">
        <v>20</v>
      </c>
    </row>
    <row r="201" spans="2:18" ht="15">
      <c r="B201" s="88">
        <v>5</v>
      </c>
      <c r="C201" s="88">
        <v>20</v>
      </c>
      <c r="D201" s="108">
        <f t="shared" si="3"/>
        <v>11049.642857142857</v>
      </c>
      <c r="N201" s="103">
        <v>5</v>
      </c>
      <c r="O201" s="102">
        <v>10080</v>
      </c>
      <c r="P201" s="101">
        <v>43465</v>
      </c>
      <c r="Q201" s="102">
        <v>10000</v>
      </c>
      <c r="R201">
        <v>21</v>
      </c>
    </row>
    <row r="202" spans="2:18" ht="15.75" thickBot="1">
      <c r="N202" s="103">
        <v>6</v>
      </c>
      <c r="O202" s="102">
        <v>10000</v>
      </c>
      <c r="P202" s="101">
        <v>43373</v>
      </c>
      <c r="Q202" s="102">
        <v>10020</v>
      </c>
      <c r="R202">
        <v>22</v>
      </c>
    </row>
    <row r="203" spans="2:18" ht="15">
      <c r="B203" s="106" t="s">
        <v>7</v>
      </c>
      <c r="C203" s="106" t="s">
        <v>141</v>
      </c>
      <c r="D203" s="110" t="s">
        <v>142</v>
      </c>
      <c r="E203" s="114" t="s">
        <v>143</v>
      </c>
      <c r="N203" s="103">
        <v>7</v>
      </c>
      <c r="O203" s="102">
        <v>9860</v>
      </c>
      <c r="P203" s="101">
        <v>43281</v>
      </c>
      <c r="Q203" s="102">
        <v>10000</v>
      </c>
      <c r="R203">
        <v>23</v>
      </c>
    </row>
    <row r="204" spans="2:18" ht="15">
      <c r="B204" s="67">
        <v>1</v>
      </c>
      <c r="C204" s="107">
        <f>D197*1000000</f>
        <v>10591214285.714287</v>
      </c>
      <c r="D204" s="111">
        <f>187.48</f>
        <v>187.48</v>
      </c>
      <c r="E204" s="112">
        <f>(C204*D204)/1000000</f>
        <v>1985640.8542857144</v>
      </c>
      <c r="N204" s="103">
        <v>8</v>
      </c>
      <c r="O204" s="102">
        <v>9680</v>
      </c>
      <c r="P204" s="101">
        <v>43190</v>
      </c>
      <c r="Q204" s="102">
        <v>9960</v>
      </c>
      <c r="R204">
        <v>24</v>
      </c>
    </row>
    <row r="205" spans="2:18" ht="15">
      <c r="B205" s="67">
        <v>2</v>
      </c>
      <c r="C205" s="107">
        <f t="shared" ref="C205:C208" si="4">D198*1000000</f>
        <v>10705821428.57143</v>
      </c>
      <c r="D205" s="111">
        <f>D204</f>
        <v>187.48</v>
      </c>
      <c r="E205" s="112">
        <f t="shared" ref="E205:E208" si="5">(C205*D205)/1000000</f>
        <v>2007127.4014285714</v>
      </c>
      <c r="N205" s="103">
        <v>9</v>
      </c>
      <c r="O205" s="102">
        <v>9540</v>
      </c>
      <c r="P205" s="101">
        <v>43100</v>
      </c>
      <c r="Q205" s="102">
        <v>9860</v>
      </c>
      <c r="R205">
        <v>25</v>
      </c>
    </row>
    <row r="206" spans="2:18" ht="15">
      <c r="B206" s="67">
        <v>3</v>
      </c>
      <c r="C206" s="107">
        <f t="shared" si="4"/>
        <v>10820428571.428572</v>
      </c>
      <c r="D206" s="111">
        <f t="shared" ref="D206:D208" si="6">D205</f>
        <v>187.48</v>
      </c>
      <c r="E206" s="112">
        <f t="shared" si="5"/>
        <v>2028613.9485714284</v>
      </c>
      <c r="N206" s="103">
        <v>10</v>
      </c>
      <c r="O206" s="102">
        <v>9240</v>
      </c>
      <c r="P206" s="101">
        <v>43008</v>
      </c>
      <c r="Q206" s="102">
        <v>9880</v>
      </c>
      <c r="R206">
        <v>26</v>
      </c>
    </row>
    <row r="207" spans="2:18" ht="15">
      <c r="B207" s="67">
        <v>4</v>
      </c>
      <c r="C207" s="107">
        <f t="shared" si="4"/>
        <v>10935035714.285713</v>
      </c>
      <c r="D207" s="111">
        <f t="shared" si="6"/>
        <v>187.48</v>
      </c>
      <c r="E207" s="112">
        <f t="shared" si="5"/>
        <v>2050100.4957142854</v>
      </c>
      <c r="N207" s="103">
        <v>11</v>
      </c>
      <c r="O207" s="102">
        <v>9300</v>
      </c>
      <c r="P207" s="101">
        <v>42916</v>
      </c>
      <c r="Q207" s="102">
        <v>9840</v>
      </c>
      <c r="R207">
        <v>27</v>
      </c>
    </row>
    <row r="208" spans="2:18" ht="15.75" thickBot="1">
      <c r="B208" s="67">
        <v>5</v>
      </c>
      <c r="C208" s="107">
        <f t="shared" si="4"/>
        <v>11049642857.142857</v>
      </c>
      <c r="D208" s="111">
        <f t="shared" si="6"/>
        <v>187.48</v>
      </c>
      <c r="E208" s="113">
        <f t="shared" si="5"/>
        <v>2071587.0428571426</v>
      </c>
      <c r="N208" s="103">
        <v>12</v>
      </c>
      <c r="O208" s="102">
        <v>9060</v>
      </c>
      <c r="P208" s="101">
        <v>42825</v>
      </c>
      <c r="Q208" s="102">
        <v>9800</v>
      </c>
      <c r="R208">
        <v>28</v>
      </c>
    </row>
    <row r="209" spans="5:18" ht="15">
      <c r="N209" s="103">
        <v>13</v>
      </c>
      <c r="O209" s="102">
        <v>9220</v>
      </c>
      <c r="P209" s="101">
        <v>42735</v>
      </c>
      <c r="Q209" s="102">
        <v>9680</v>
      </c>
      <c r="R209">
        <v>29</v>
      </c>
    </row>
    <row r="210" spans="5:18" ht="15">
      <c r="N210" s="103">
        <v>14</v>
      </c>
      <c r="O210" s="102">
        <v>9120</v>
      </c>
      <c r="P210" s="101">
        <v>42643</v>
      </c>
      <c r="Q210" s="102">
        <v>9700</v>
      </c>
      <c r="R210">
        <v>30</v>
      </c>
    </row>
    <row r="211" spans="5:18" ht="15">
      <c r="N211" s="103">
        <v>15</v>
      </c>
      <c r="O211" s="102">
        <v>8840</v>
      </c>
      <c r="P211" s="101">
        <v>42551</v>
      </c>
      <c r="Q211" s="102">
        <v>9660</v>
      </c>
      <c r="R211">
        <v>31</v>
      </c>
    </row>
    <row r="212" spans="5:18" ht="15">
      <c r="P212" s="101">
        <v>42460</v>
      </c>
      <c r="Q212" s="102">
        <v>9620</v>
      </c>
      <c r="R212">
        <v>32</v>
      </c>
    </row>
    <row r="213" spans="5:18" ht="15">
      <c r="E213" s="109">
        <f>10.41*1000000000</f>
        <v>10410000000</v>
      </c>
      <c r="N213" s="105">
        <v>1</v>
      </c>
      <c r="O213" s="104">
        <f>O211</f>
        <v>8840</v>
      </c>
      <c r="P213" s="101">
        <v>42369</v>
      </c>
      <c r="Q213" s="102">
        <v>9540</v>
      </c>
      <c r="R213">
        <v>33</v>
      </c>
    </row>
    <row r="214" spans="5:18" ht="15">
      <c r="N214" s="105">
        <v>2</v>
      </c>
      <c r="O214" s="104">
        <f>O210</f>
        <v>9120</v>
      </c>
      <c r="P214" s="101">
        <v>42277</v>
      </c>
      <c r="Q214" s="102">
        <v>9560</v>
      </c>
      <c r="R214">
        <v>34</v>
      </c>
    </row>
    <row r="215" spans="5:18" ht="15">
      <c r="N215" s="105">
        <v>3</v>
      </c>
      <c r="O215" s="104">
        <f>O209</f>
        <v>9220</v>
      </c>
      <c r="P215" s="101">
        <v>42185</v>
      </c>
      <c r="Q215" s="102">
        <v>9520</v>
      </c>
      <c r="R215">
        <v>35</v>
      </c>
    </row>
    <row r="216" spans="5:18" ht="15">
      <c r="N216" s="105">
        <v>4</v>
      </c>
      <c r="O216" s="104">
        <f>O208</f>
        <v>9060</v>
      </c>
      <c r="P216" s="101">
        <v>42094</v>
      </c>
      <c r="Q216" s="102">
        <v>9300</v>
      </c>
      <c r="R216">
        <v>36</v>
      </c>
    </row>
    <row r="217" spans="5:18" ht="15">
      <c r="N217" s="105">
        <v>5</v>
      </c>
      <c r="O217" s="104">
        <f>O207</f>
        <v>9300</v>
      </c>
      <c r="P217" s="101">
        <v>42004</v>
      </c>
      <c r="Q217" s="102">
        <v>9240</v>
      </c>
      <c r="R217">
        <v>37</v>
      </c>
    </row>
    <row r="218" spans="5:18" ht="15">
      <c r="N218" s="105">
        <v>6</v>
      </c>
      <c r="O218" s="104">
        <f>O206</f>
        <v>9240</v>
      </c>
      <c r="P218" s="101">
        <v>41912</v>
      </c>
      <c r="Q218" s="102">
        <v>9260</v>
      </c>
      <c r="R218">
        <v>38</v>
      </c>
    </row>
    <row r="219" spans="5:18" ht="15">
      <c r="N219" s="105">
        <v>7</v>
      </c>
      <c r="O219" s="104">
        <f>O205</f>
        <v>9540</v>
      </c>
      <c r="P219" s="101">
        <v>41820</v>
      </c>
      <c r="Q219" s="102">
        <v>9220</v>
      </c>
      <c r="R219">
        <v>39</v>
      </c>
    </row>
    <row r="220" spans="5:18" ht="15">
      <c r="M220">
        <f>SLOPE(O213:O227,N213:N227)</f>
        <v>114.60714285714286</v>
      </c>
      <c r="N220" s="105">
        <v>8</v>
      </c>
      <c r="O220" s="104">
        <f>O204</f>
        <v>9680</v>
      </c>
      <c r="P220" s="101">
        <v>41729</v>
      </c>
      <c r="Q220" s="102">
        <v>9360</v>
      </c>
      <c r="R220">
        <v>40</v>
      </c>
    </row>
    <row r="221" spans="5:18" ht="15">
      <c r="M221">
        <f>M220</f>
        <v>114.60714285714286</v>
      </c>
      <c r="N221" s="105">
        <v>9</v>
      </c>
      <c r="O221" s="104">
        <f>O203</f>
        <v>9860</v>
      </c>
      <c r="P221" s="101">
        <v>41639</v>
      </c>
      <c r="Q221" s="102">
        <v>9300</v>
      </c>
      <c r="R221">
        <v>41</v>
      </c>
    </row>
    <row r="222" spans="5:18" ht="15">
      <c r="M222">
        <f t="shared" ref="M222:M227" si="7">M221</f>
        <v>114.60714285714286</v>
      </c>
      <c r="N222" s="105">
        <v>10</v>
      </c>
      <c r="O222" s="104">
        <f>O202</f>
        <v>10000</v>
      </c>
      <c r="P222" s="101">
        <v>41547</v>
      </c>
      <c r="Q222" s="102">
        <v>9140</v>
      </c>
      <c r="R222">
        <v>42</v>
      </c>
    </row>
    <row r="223" spans="5:18" ht="15">
      <c r="M223">
        <f t="shared" si="7"/>
        <v>114.60714285714286</v>
      </c>
      <c r="N223" s="105">
        <v>11</v>
      </c>
      <c r="O223" s="104">
        <f>O201</f>
        <v>10080</v>
      </c>
      <c r="P223" s="101">
        <v>41455</v>
      </c>
      <c r="Q223" s="102">
        <v>9120</v>
      </c>
      <c r="R223">
        <v>43</v>
      </c>
    </row>
    <row r="224" spans="5:18" ht="15">
      <c r="M224">
        <f t="shared" si="7"/>
        <v>114.60714285714286</v>
      </c>
      <c r="N224" s="105">
        <v>12</v>
      </c>
      <c r="O224" s="104">
        <f>O200</f>
        <v>10198</v>
      </c>
      <c r="P224" s="101">
        <v>41364</v>
      </c>
      <c r="Q224" s="102">
        <v>9260</v>
      </c>
      <c r="R224">
        <v>44</v>
      </c>
    </row>
    <row r="225" spans="13:18" ht="15">
      <c r="M225">
        <f t="shared" si="7"/>
        <v>114.60714285714286</v>
      </c>
      <c r="N225" s="105">
        <v>13</v>
      </c>
      <c r="O225" s="104">
        <f>O199</f>
        <v>10296</v>
      </c>
      <c r="P225" s="101">
        <v>41274</v>
      </c>
      <c r="Q225" s="102">
        <v>9060</v>
      </c>
      <c r="R225">
        <v>45</v>
      </c>
    </row>
    <row r="226" spans="13:18" ht="15">
      <c r="M226">
        <f t="shared" si="7"/>
        <v>114.60714285714286</v>
      </c>
      <c r="N226" s="105">
        <v>14</v>
      </c>
      <c r="O226" s="104">
        <f>O198</f>
        <v>10189</v>
      </c>
      <c r="P226" s="101">
        <v>41182</v>
      </c>
      <c r="Q226" s="102">
        <v>9040</v>
      </c>
      <c r="R226">
        <v>46</v>
      </c>
    </row>
    <row r="227" spans="13:18" ht="15">
      <c r="M227">
        <f t="shared" si="7"/>
        <v>114.60714285714286</v>
      </c>
      <c r="N227" s="105">
        <v>15</v>
      </c>
      <c r="O227" s="104">
        <f>O197</f>
        <v>10492</v>
      </c>
      <c r="P227" s="101">
        <v>41090</v>
      </c>
      <c r="Q227" s="102">
        <v>9160</v>
      </c>
      <c r="R227">
        <v>47</v>
      </c>
    </row>
    <row r="228" spans="13:18" ht="15">
      <c r="P228" s="101">
        <v>40999</v>
      </c>
      <c r="Q228" s="102">
        <v>9200</v>
      </c>
      <c r="R228">
        <v>48</v>
      </c>
    </row>
    <row r="229" spans="13:18" ht="15">
      <c r="P229" s="101">
        <v>40908</v>
      </c>
      <c r="Q229" s="102">
        <v>9220</v>
      </c>
      <c r="R229">
        <v>49</v>
      </c>
    </row>
    <row r="230" spans="13:18" ht="15">
      <c r="P230" s="101">
        <v>40816</v>
      </c>
      <c r="Q230" s="102">
        <v>9220</v>
      </c>
      <c r="R230">
        <v>50</v>
      </c>
    </row>
    <row r="231" spans="13:18" ht="15">
      <c r="P231" s="101">
        <v>40724</v>
      </c>
      <c r="Q231" s="102">
        <v>9200</v>
      </c>
      <c r="R231">
        <v>51</v>
      </c>
    </row>
    <row r="232" spans="13:18" ht="15">
      <c r="P232" s="101">
        <v>40633</v>
      </c>
      <c r="Q232" s="102">
        <v>9180</v>
      </c>
      <c r="R232">
        <v>52</v>
      </c>
    </row>
    <row r="233" spans="13:18" ht="15">
      <c r="P233" s="101">
        <v>40543</v>
      </c>
      <c r="Q233" s="102">
        <v>9120</v>
      </c>
      <c r="R233">
        <v>53</v>
      </c>
    </row>
    <row r="234" spans="13:18" ht="15">
      <c r="P234" s="101">
        <v>40451</v>
      </c>
      <c r="Q234" s="102">
        <v>9120</v>
      </c>
      <c r="R234">
        <v>54</v>
      </c>
    </row>
    <row r="235" spans="13:18" ht="15">
      <c r="P235" s="101">
        <v>40359</v>
      </c>
      <c r="Q235" s="102">
        <v>9100</v>
      </c>
      <c r="R235">
        <v>55</v>
      </c>
    </row>
    <row r="236" spans="13:18" ht="15">
      <c r="P236" s="101">
        <v>40268</v>
      </c>
      <c r="Q236" s="102">
        <v>9080</v>
      </c>
      <c r="R236">
        <v>56</v>
      </c>
    </row>
    <row r="237" spans="13:18" ht="15">
      <c r="P237" s="101">
        <v>40178</v>
      </c>
      <c r="Q237" s="102">
        <v>8840</v>
      </c>
      <c r="R237">
        <v>57</v>
      </c>
    </row>
    <row r="238" spans="13:18" ht="15">
      <c r="P238" s="101">
        <v>40086</v>
      </c>
      <c r="Q238" s="102">
        <v>8820</v>
      </c>
      <c r="R238">
        <v>58</v>
      </c>
    </row>
    <row r="239" spans="13:18" ht="15">
      <c r="P239" s="101">
        <v>39994</v>
      </c>
      <c r="Q239" s="102">
        <v>8800</v>
      </c>
      <c r="R239">
        <v>59</v>
      </c>
    </row>
    <row r="240" spans="13:18" ht="15">
      <c r="P240" s="101">
        <v>39903</v>
      </c>
      <c r="Q240" s="102">
        <v>8740</v>
      </c>
      <c r="R240">
        <v>60</v>
      </c>
    </row>
  </sheetData>
  <mergeCells count="2">
    <mergeCell ref="A3:E6"/>
    <mergeCell ref="A7:F7"/>
  </mergeCells>
  <hyperlinks>
    <hyperlink ref="P109" r:id="rId1" display="https://finbox.com/NASDAQGS:AMZN/explorer/effect_tax_rate" xr:uid="{11135D68-2DA8-4AC1-A0FD-AE04368EFEA7}"/>
    <hyperlink ref="P110" r:id="rId2" display="https://finbox.com/NASDAQGS:AMZN/explorer/effect_tax_rate" xr:uid="{A870B4E1-4B93-4F18-89E6-2D8BDBF10294}"/>
    <hyperlink ref="P111" r:id="rId3" display="https://finbox.com/NASDAQGS:AMZN/explorer/effect_tax_rate" xr:uid="{844A14B9-C1BA-452A-8342-B7ED58263808}"/>
    <hyperlink ref="P112" r:id="rId4" display="https://finbox.com/NASDAQGS:AMZN/explorer/effect_tax_rate" xr:uid="{C43DCF1F-2012-47E2-A19F-BE758157DAC9}"/>
    <hyperlink ref="P113" r:id="rId5" display="https://finbox.com/NASDAQGS:AMZN/explorer/effect_tax_rate" xr:uid="{1CD6DB17-F9AB-4AE0-A55B-E27A894E48F9}"/>
    <hyperlink ref="P114" r:id="rId6" display="https://finbox.com/NASDAQGS:AMZN/explorer/effect_tax_rate" xr:uid="{3955CE65-B53F-4037-BD34-8A23542A26B8}"/>
    <hyperlink ref="P115" r:id="rId7" display="https://finbox.com/NASDAQGS:AMZN/explorer/effect_tax_rate" xr:uid="{BAEE8FB7-8DE8-4B23-B9F4-9754344C7104}"/>
    <hyperlink ref="P116" r:id="rId8" display="https://finbox.com/NASDAQGS:AMZN/explorer/effect_tax_rate" xr:uid="{D50B311B-C571-445A-B9F2-03F0488EBE7D}"/>
    <hyperlink ref="P117" r:id="rId9" display="https://finbox.com/NASDAQGS:AMZN/explorer/effect_tax_rate" xr:uid="{CD121E0E-E69E-464D-B29C-C6BCD1DCF9BF}"/>
    <hyperlink ref="P118" r:id="rId10" display="https://finbox.com/NASDAQGS:AMZN/explorer/effect_tax_rate" xr:uid="{58095664-815B-4C2F-B41F-221FCBB3FF61}"/>
    <hyperlink ref="P119" r:id="rId11" display="https://finbox.com/NASDAQGS:AMZN/explorer/effect_tax_rate" xr:uid="{E7303B1F-6848-485B-9054-8A897CE5A311}"/>
    <hyperlink ref="D106" r:id="rId12" display="https://finbox.com/NASDAQGS:AMZN/explorer/effect_tax_rate" xr:uid="{5F628541-B7D4-4819-B2B0-B344DC8F81F1}"/>
    <hyperlink ref="D107" r:id="rId13" display="https://finbox.com/NASDAQGS:AMZN/explorer/effect_tax_rate" xr:uid="{9E3B4ECC-8C53-454A-B461-82107C0AAF9F}"/>
    <hyperlink ref="D108" r:id="rId14" display="https://finbox.com/NASDAQGS:AMZN/explorer/effect_tax_rate" xr:uid="{94D5D18D-B3BF-442B-87E7-8EBE6D7D980D}"/>
    <hyperlink ref="D109" r:id="rId15" display="https://finbox.com/NASDAQGS:AMZN/explorer/effect_tax_rate" xr:uid="{04492BFF-AA44-405F-A93B-64607A0A98C5}"/>
    <hyperlink ref="D110" r:id="rId16" display="https://finbox.com/NASDAQGS:AMZN/explorer/effect_tax_rate" xr:uid="{5E46E6FE-14F2-44AA-BBEA-BB53EAEB3C68}"/>
    <hyperlink ref="D111" r:id="rId17" display="https://finbox.com/NASDAQGS:AMZN/explorer/effect_tax_rate" xr:uid="{89ED601E-3606-4ABB-9F46-6FA2988294F8}"/>
    <hyperlink ref="D112" r:id="rId18" display="https://finbox.com/NASDAQGS:AMZN/explorer/effect_tax_rate" xr:uid="{199676B2-0034-4244-AC77-F132E81B99A9}"/>
    <hyperlink ref="D113" r:id="rId19" display="https://finbox.com/NASDAQGS:AMZN/explorer/effect_tax_rate" xr:uid="{6D75DD12-5F47-4245-9082-534094C6B9A5}"/>
    <hyperlink ref="D114" r:id="rId20" display="https://finbox.com/NASDAQGS:AMZN/explorer/effect_tax_rate" xr:uid="{5AAC3306-687F-4F7A-A88D-1DEA490A016E}"/>
    <hyperlink ref="D115" r:id="rId21" display="https://finbox.com/NASDAQGS:AMZN/explorer/effect_tax_rate" xr:uid="{BF732D5F-4FC3-48E8-B4CF-497D6868691E}"/>
    <hyperlink ref="D116" r:id="rId22" display="https://finbox.com/NASDAQGS:AMZN/explorer/effect_tax_rate" xr:uid="{7DB7A6F5-C15E-4D7D-A7A5-E5E0FEC7ACF4}"/>
    <hyperlink ref="G110" r:id="rId23" display="https://finbox.com/NASDAQGS:AMZN/explorer/effect_tax_rate" xr:uid="{2414B9E6-FF67-4048-998B-6EC1946EA42F}"/>
    <hyperlink ref="G111" r:id="rId24" display="https://finbox.com/NASDAQGS:AMZN/explorer/effect_tax_rate" xr:uid="{57947060-8762-4B3A-96A8-12000F65D99F}"/>
    <hyperlink ref="G112" r:id="rId25" display="https://finbox.com/NASDAQGS:AMZN/explorer/effect_tax_rate" xr:uid="{474B21D0-D1C1-499D-8E5A-881F6DD6CA5C}"/>
    <hyperlink ref="G113" r:id="rId26" display="https://finbox.com/NASDAQGS:AMZN/explorer/effect_tax_rate" xr:uid="{447AC805-75CB-4829-934A-178F49D22A3E}"/>
    <hyperlink ref="G114" r:id="rId27" display="https://finbox.com/NASDAQGS:AMZN/explorer/effect_tax_rate" xr:uid="{7EDC7421-DAF9-4390-AEFE-4FC867C16520}"/>
    <hyperlink ref="G115" r:id="rId28" display="https://finbox.com/NASDAQGS:AMZN/explorer/effect_tax_rate" xr:uid="{003B4906-8869-4560-86AA-5743EFBD995D}"/>
  </hyperlinks>
  <pageMargins left="0.7" right="0.7" top="0.75" bottom="0.75" header="0.3" footer="0.3"/>
  <pageSetup paperSize="9" orientation="portrait" r:id="rId29"/>
  <drawing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D6EDE-E3F6-4FA6-89B3-F1CCCCFDF267}">
  <dimension ref="A2:N152"/>
  <sheetViews>
    <sheetView showGridLines="0" topLeftCell="A41" workbookViewId="0">
      <selection activeCell="M127" sqref="M127"/>
    </sheetView>
  </sheetViews>
  <sheetFormatPr defaultRowHeight="14.25"/>
  <cols>
    <col min="3" max="3" width="11.375" customWidth="1"/>
    <col min="4" max="4" width="20.75" bestFit="1" customWidth="1"/>
    <col min="5" max="5" width="14.5" customWidth="1"/>
    <col min="7" max="7" width="9" customWidth="1"/>
    <col min="9" max="14" width="13.75" customWidth="1"/>
  </cols>
  <sheetData>
    <row r="2" spans="1:5" ht="15" thickBot="1"/>
    <row r="3" spans="1:5">
      <c r="A3" s="274" t="s">
        <v>65</v>
      </c>
      <c r="B3" s="275"/>
      <c r="C3" s="275"/>
      <c r="D3" s="275"/>
      <c r="E3" s="276"/>
    </row>
    <row r="4" spans="1:5">
      <c r="A4" s="277"/>
      <c r="B4" s="278"/>
      <c r="C4" s="278"/>
      <c r="D4" s="278"/>
      <c r="E4" s="279"/>
    </row>
    <row r="5" spans="1:5">
      <c r="A5" s="277"/>
      <c r="B5" s="278"/>
      <c r="C5" s="278"/>
      <c r="D5" s="278"/>
      <c r="E5" s="279"/>
    </row>
    <row r="6" spans="1:5" ht="15" thickBot="1">
      <c r="A6" s="280"/>
      <c r="B6" s="281"/>
      <c r="C6" s="281"/>
      <c r="D6" s="281"/>
      <c r="E6" s="282"/>
    </row>
    <row r="10" spans="1:5" ht="15">
      <c r="B10" s="33" t="s">
        <v>66</v>
      </c>
    </row>
    <row r="11" spans="1:5" ht="15">
      <c r="B11" t="s">
        <v>67</v>
      </c>
    </row>
    <row r="13" spans="1:5" ht="15">
      <c r="B13" s="283" t="s">
        <v>68</v>
      </c>
      <c r="C13" s="283"/>
      <c r="D13" s="283"/>
      <c r="E13" s="283"/>
    </row>
    <row r="14" spans="1:5" ht="15" thickBot="1"/>
    <row r="15" spans="1:5">
      <c r="B15" s="2" t="s">
        <v>7</v>
      </c>
      <c r="C15" s="3" t="s">
        <v>8</v>
      </c>
    </row>
    <row r="16" spans="1:5">
      <c r="B16" s="4">
        <v>1</v>
      </c>
      <c r="C16" s="6">
        <v>4.512E-2</v>
      </c>
    </row>
    <row r="17" spans="2:3">
      <c r="B17" s="4">
        <v>2</v>
      </c>
      <c r="C17" s="6">
        <v>4.5909999999999999E-2</v>
      </c>
    </row>
    <row r="18" spans="2:3">
      <c r="B18" s="4">
        <v>3</v>
      </c>
      <c r="C18" s="6">
        <v>4.3799999999999999E-2</v>
      </c>
    </row>
    <row r="19" spans="2:3">
      <c r="B19" s="4">
        <v>4</v>
      </c>
      <c r="C19" s="6">
        <v>4.3229999999999998E-2</v>
      </c>
    </row>
    <row r="20" spans="2:3" ht="15" thickBot="1">
      <c r="B20" s="5">
        <v>5</v>
      </c>
      <c r="C20" s="7">
        <v>4.2200000000000001E-2</v>
      </c>
    </row>
    <row r="23" spans="2:3">
      <c r="B23" t="s">
        <v>69</v>
      </c>
    </row>
    <row r="24" spans="2:3">
      <c r="B24" t="s">
        <v>70</v>
      </c>
    </row>
    <row r="26" spans="2:3">
      <c r="B26" t="s">
        <v>72</v>
      </c>
    </row>
    <row r="64" spans="2:2">
      <c r="B64" t="s">
        <v>73</v>
      </c>
    </row>
    <row r="65" spans="2:10" ht="15" thickBot="1">
      <c r="I65" s="59" t="s">
        <v>81</v>
      </c>
      <c r="J65" s="59" t="s">
        <v>82</v>
      </c>
    </row>
    <row r="66" spans="2:10" ht="15">
      <c r="B66" s="56" t="s">
        <v>74</v>
      </c>
      <c r="C66" s="57" t="s">
        <v>75</v>
      </c>
      <c r="D66" s="58" t="s">
        <v>80</v>
      </c>
      <c r="I66" s="60" t="s">
        <v>83</v>
      </c>
      <c r="J66" s="61">
        <v>0.2</v>
      </c>
    </row>
    <row r="67" spans="2:10" ht="15">
      <c r="B67" s="52" t="s">
        <v>76</v>
      </c>
      <c r="C67" s="53" t="s">
        <v>78</v>
      </c>
      <c r="D67" s="62">
        <v>1.21E-2</v>
      </c>
      <c r="I67" s="60" t="s">
        <v>84</v>
      </c>
      <c r="J67" s="61">
        <v>0.17</v>
      </c>
    </row>
    <row r="68" spans="2:10" ht="15.75" thickBot="1">
      <c r="B68" s="54" t="s">
        <v>77</v>
      </c>
      <c r="C68" s="55" t="s">
        <v>79</v>
      </c>
      <c r="D68" s="63">
        <v>7.0000000000000001E-3</v>
      </c>
      <c r="I68" s="60" t="s">
        <v>85</v>
      </c>
      <c r="J68" s="61">
        <v>0.1178</v>
      </c>
    </row>
    <row r="69" spans="2:10" ht="15">
      <c r="I69" s="60" t="s">
        <v>86</v>
      </c>
      <c r="J69" s="61">
        <v>8.5099999999999995E-2</v>
      </c>
    </row>
    <row r="70" spans="2:10" ht="15">
      <c r="I70" s="60" t="s">
        <v>87</v>
      </c>
      <c r="J70" s="61">
        <v>5.2400000000000002E-2</v>
      </c>
    </row>
    <row r="71" spans="2:10" ht="15">
      <c r="B71" t="s">
        <v>98</v>
      </c>
      <c r="I71" s="60" t="s">
        <v>88</v>
      </c>
      <c r="J71" s="61">
        <v>3.61E-2</v>
      </c>
    </row>
    <row r="72" spans="2:10" ht="15">
      <c r="B72" t="s">
        <v>99</v>
      </c>
      <c r="I72" s="60" t="s">
        <v>89</v>
      </c>
      <c r="J72" s="61">
        <v>3.1399999999999997E-2</v>
      </c>
    </row>
    <row r="73" spans="2:10" ht="15">
      <c r="I73" s="60" t="s">
        <v>90</v>
      </c>
      <c r="J73" s="61">
        <v>2.2100000000000002E-2</v>
      </c>
    </row>
    <row r="74" spans="2:10" ht="15.75">
      <c r="B74" s="64" t="s">
        <v>7</v>
      </c>
      <c r="C74" s="64" t="s">
        <v>75</v>
      </c>
      <c r="D74" s="64" t="s">
        <v>100</v>
      </c>
      <c r="I74" s="60" t="s">
        <v>91</v>
      </c>
      <c r="J74" s="61">
        <v>1.7399999999999999E-2</v>
      </c>
    </row>
    <row r="75" spans="2:10" ht="15">
      <c r="B75" s="65">
        <v>1</v>
      </c>
      <c r="C75" s="51" t="s">
        <v>101</v>
      </c>
      <c r="D75" s="66">
        <f>J76</f>
        <v>1.21E-2</v>
      </c>
      <c r="I75" s="60" t="s">
        <v>92</v>
      </c>
      <c r="J75" s="61">
        <v>1.47E-2</v>
      </c>
    </row>
    <row r="76" spans="2:10" ht="15">
      <c r="B76" s="65">
        <v>2</v>
      </c>
      <c r="C76" s="51" t="s">
        <v>102</v>
      </c>
      <c r="D76" s="66">
        <f t="shared" ref="D76:D77" si="0">J77</f>
        <v>1.0699999999999999E-2</v>
      </c>
      <c r="I76" s="60" t="s">
        <v>93</v>
      </c>
      <c r="J76" s="61">
        <v>1.21E-2</v>
      </c>
    </row>
    <row r="77" spans="2:10" ht="15">
      <c r="B77" s="65">
        <v>3</v>
      </c>
      <c r="C77" s="51" t="s">
        <v>103</v>
      </c>
      <c r="D77" s="66">
        <f t="shared" si="0"/>
        <v>9.1999999999999998E-3</v>
      </c>
      <c r="I77" s="60" t="s">
        <v>94</v>
      </c>
      <c r="J77" s="61">
        <v>1.0699999999999999E-2</v>
      </c>
    </row>
    <row r="78" spans="2:10" ht="15">
      <c r="B78" s="65">
        <v>4</v>
      </c>
      <c r="C78" s="51" t="s">
        <v>103</v>
      </c>
      <c r="D78" s="66">
        <v>9.1999999999999998E-3</v>
      </c>
      <c r="I78" s="60" t="s">
        <v>95</v>
      </c>
      <c r="J78" s="61">
        <v>9.1999999999999998E-3</v>
      </c>
    </row>
    <row r="79" spans="2:10" ht="15">
      <c r="B79" s="65">
        <v>5</v>
      </c>
      <c r="C79" s="51" t="s">
        <v>104</v>
      </c>
      <c r="D79" s="66">
        <v>7.0000000000000001E-3</v>
      </c>
      <c r="I79" s="60" t="s">
        <v>96</v>
      </c>
      <c r="J79" s="61">
        <v>7.0000000000000001E-3</v>
      </c>
    </row>
    <row r="80" spans="2:10" ht="15">
      <c r="I80" s="60" t="s">
        <v>97</v>
      </c>
      <c r="J80" s="61">
        <v>5.8999999999999999E-3</v>
      </c>
    </row>
    <row r="84" spans="2:10" ht="20.25">
      <c r="B84" s="8" t="s">
        <v>105</v>
      </c>
    </row>
    <row r="85" spans="2:10" ht="15" thickBot="1"/>
    <row r="86" spans="2:10" ht="15.75" thickBot="1">
      <c r="I86" t="s">
        <v>7</v>
      </c>
      <c r="J86" s="72" t="s">
        <v>105</v>
      </c>
    </row>
    <row r="87" spans="2:10" ht="15">
      <c r="B87" s="67" t="s">
        <v>7</v>
      </c>
      <c r="C87" s="67" t="s">
        <v>1</v>
      </c>
      <c r="D87" s="70" t="s">
        <v>100</v>
      </c>
      <c r="E87" s="72" t="s">
        <v>105</v>
      </c>
      <c r="I87">
        <v>1</v>
      </c>
      <c r="J87" s="73">
        <v>5.722E-2</v>
      </c>
    </row>
    <row r="88" spans="2:10">
      <c r="B88" s="68">
        <v>1</v>
      </c>
      <c r="C88" s="69">
        <v>4.512E-2</v>
      </c>
      <c r="D88" s="71">
        <v>1.21E-2</v>
      </c>
      <c r="E88" s="73">
        <f>C88+D88</f>
        <v>5.722E-2</v>
      </c>
      <c r="I88">
        <v>2</v>
      </c>
      <c r="J88" s="73">
        <v>5.6610000000000001E-2</v>
      </c>
    </row>
    <row r="89" spans="2:10">
      <c r="B89" s="68">
        <v>2</v>
      </c>
      <c r="C89" s="69">
        <v>4.5909999999999999E-2</v>
      </c>
      <c r="D89" s="71">
        <v>1.0699999999999999E-2</v>
      </c>
      <c r="E89" s="73">
        <f t="shared" ref="E89:E92" si="1">C89+D89</f>
        <v>5.6610000000000001E-2</v>
      </c>
      <c r="I89">
        <v>3</v>
      </c>
      <c r="J89" s="73">
        <v>5.2999999999999999E-2</v>
      </c>
    </row>
    <row r="90" spans="2:10">
      <c r="B90" s="68">
        <v>3</v>
      </c>
      <c r="C90" s="69">
        <v>4.3799999999999999E-2</v>
      </c>
      <c r="D90" s="71">
        <v>9.1999999999999998E-3</v>
      </c>
      <c r="E90" s="73">
        <f>C90+D90</f>
        <v>5.2999999999999999E-2</v>
      </c>
      <c r="I90">
        <v>4</v>
      </c>
      <c r="J90" s="73">
        <v>5.2429999999999997E-2</v>
      </c>
    </row>
    <row r="91" spans="2:10" ht="15" thickBot="1">
      <c r="B91" s="68">
        <v>4</v>
      </c>
      <c r="C91" s="69">
        <v>4.3229999999999998E-2</v>
      </c>
      <c r="D91" s="71">
        <v>9.1999999999999998E-3</v>
      </c>
      <c r="E91" s="73">
        <f t="shared" si="1"/>
        <v>5.2429999999999997E-2</v>
      </c>
      <c r="I91">
        <v>5</v>
      </c>
      <c r="J91" s="74">
        <v>4.9200000000000001E-2</v>
      </c>
    </row>
    <row r="92" spans="2:10" ht="15" thickBot="1">
      <c r="B92" s="68">
        <v>5</v>
      </c>
      <c r="C92" s="69">
        <v>4.2200000000000001E-2</v>
      </c>
      <c r="D92" s="71">
        <v>7.0000000000000001E-3</v>
      </c>
      <c r="E92" s="74">
        <f t="shared" si="1"/>
        <v>4.9200000000000001E-2</v>
      </c>
    </row>
    <row r="106" spans="2:3" ht="20.25">
      <c r="B106" s="8" t="s">
        <v>106</v>
      </c>
    </row>
    <row r="109" spans="2:3">
      <c r="B109" t="s">
        <v>7</v>
      </c>
      <c r="C109" t="s">
        <v>111</v>
      </c>
    </row>
    <row r="110" spans="2:3">
      <c r="B110">
        <v>1</v>
      </c>
      <c r="C110" s="79">
        <v>8500</v>
      </c>
    </row>
    <row r="111" spans="2:3">
      <c r="B111">
        <v>2</v>
      </c>
      <c r="C111" s="79">
        <v>5286</v>
      </c>
    </row>
    <row r="112" spans="2:3">
      <c r="B112">
        <v>3</v>
      </c>
      <c r="C112" s="79">
        <v>3146</v>
      </c>
    </row>
    <row r="113" spans="2:12">
      <c r="B113">
        <v>4</v>
      </c>
      <c r="C113" s="79">
        <v>8750</v>
      </c>
    </row>
    <row r="114" spans="2:12">
      <c r="B114">
        <v>5</v>
      </c>
      <c r="C114" s="79">
        <v>2250</v>
      </c>
    </row>
    <row r="115" spans="2:12">
      <c r="B115" t="s">
        <v>110</v>
      </c>
      <c r="C115" s="79">
        <v>39250</v>
      </c>
    </row>
    <row r="117" spans="2:12">
      <c r="B117" t="s">
        <v>112</v>
      </c>
      <c r="D117" s="79">
        <f>AVERAGE(C110:C114)</f>
        <v>5586.4</v>
      </c>
    </row>
    <row r="118" spans="2:12">
      <c r="B118" t="s">
        <v>113</v>
      </c>
      <c r="F118">
        <f>C115/D117</f>
        <v>7.0259916941142784</v>
      </c>
    </row>
    <row r="121" spans="2:12">
      <c r="B121" t="s">
        <v>7</v>
      </c>
      <c r="C121" t="s">
        <v>111</v>
      </c>
      <c r="D121" t="s">
        <v>114</v>
      </c>
      <c r="E121" t="s">
        <v>115</v>
      </c>
    </row>
    <row r="122" spans="2:12">
      <c r="B122">
        <v>1</v>
      </c>
      <c r="C122" s="79">
        <v>8500</v>
      </c>
      <c r="D122" s="80">
        <f>C122/67182</f>
        <v>0.12652198505552081</v>
      </c>
      <c r="E122">
        <f>D122*B122</f>
        <v>0.12652198505552081</v>
      </c>
    </row>
    <row r="123" spans="2:12">
      <c r="B123">
        <v>2</v>
      </c>
      <c r="C123" s="79">
        <v>5286</v>
      </c>
      <c r="D123" s="80">
        <f t="shared" ref="D123:D127" si="2">C123/67182</f>
        <v>7.8681789765115653E-2</v>
      </c>
      <c r="E123">
        <f t="shared" ref="E123:E127" si="3">D123*B123</f>
        <v>0.15736357953023131</v>
      </c>
    </row>
    <row r="124" spans="2:12">
      <c r="B124">
        <v>3</v>
      </c>
      <c r="C124" s="79">
        <v>3146</v>
      </c>
      <c r="D124" s="80">
        <f t="shared" si="2"/>
        <v>4.6828019409961001E-2</v>
      </c>
      <c r="E124">
        <f t="shared" si="3"/>
        <v>0.140484058229883</v>
      </c>
    </row>
    <row r="125" spans="2:12">
      <c r="B125">
        <v>4</v>
      </c>
      <c r="C125" s="79">
        <v>8750</v>
      </c>
      <c r="D125" s="80">
        <f t="shared" si="2"/>
        <v>0.13024321991009497</v>
      </c>
      <c r="E125">
        <f t="shared" si="3"/>
        <v>0.52097287964037986</v>
      </c>
    </row>
    <row r="126" spans="2:12">
      <c r="B126">
        <v>5</v>
      </c>
      <c r="C126" s="79">
        <v>2250</v>
      </c>
      <c r="D126" s="80">
        <f t="shared" si="2"/>
        <v>3.3491113691167279E-2</v>
      </c>
      <c r="E126">
        <f t="shared" si="3"/>
        <v>0.1674555684558364</v>
      </c>
      <c r="I126" t="s">
        <v>118</v>
      </c>
      <c r="K126" s="83">
        <v>3003</v>
      </c>
      <c r="L126" t="s">
        <v>144</v>
      </c>
    </row>
    <row r="127" spans="2:12" ht="15" thickBot="1">
      <c r="B127">
        <v>7</v>
      </c>
      <c r="C127" s="79">
        <v>39250</v>
      </c>
      <c r="D127" s="80">
        <f t="shared" si="2"/>
        <v>0.58423387216814027</v>
      </c>
      <c r="E127">
        <f t="shared" si="3"/>
        <v>4.0896371051769815</v>
      </c>
      <c r="I127" t="s">
        <v>119</v>
      </c>
      <c r="K127" s="24">
        <f>AVERAGE(E88:E92)</f>
        <v>5.3692000000000004E-2</v>
      </c>
    </row>
    <row r="128" spans="2:12" ht="15.75" thickBot="1">
      <c r="D128" s="81" t="s">
        <v>116</v>
      </c>
      <c r="E128" s="82">
        <f>SUM(E122:E127)</f>
        <v>5.2024351760888328</v>
      </c>
      <c r="I128" t="s">
        <v>120</v>
      </c>
      <c r="K128" s="84">
        <v>135611</v>
      </c>
      <c r="L128" t="s">
        <v>144</v>
      </c>
    </row>
    <row r="131" spans="1:14" ht="15">
      <c r="B131" s="33" t="s">
        <v>117</v>
      </c>
    </row>
    <row r="132" spans="1:14">
      <c r="I132" s="51" t="s">
        <v>107</v>
      </c>
      <c r="J132" s="51">
        <v>1</v>
      </c>
      <c r="K132" s="51">
        <v>2</v>
      </c>
      <c r="L132" s="51">
        <v>3</v>
      </c>
      <c r="M132" s="51">
        <v>4</v>
      </c>
      <c r="N132" s="51">
        <v>5</v>
      </c>
    </row>
    <row r="133" spans="1:14">
      <c r="I133" s="51" t="s">
        <v>108</v>
      </c>
      <c r="J133" s="75">
        <f>3003/((1+5.369%)^J132)</f>
        <v>2849.9843407453805</v>
      </c>
      <c r="K133" s="75">
        <f t="shared" ref="K133:N133" si="4">3003/((1+5.369%)^K132)</f>
        <v>2704.7654820159446</v>
      </c>
      <c r="L133" s="75">
        <f t="shared" si="4"/>
        <v>2566.9461435677899</v>
      </c>
      <c r="M133" s="75">
        <f t="shared" si="4"/>
        <v>2436.1492882800344</v>
      </c>
      <c r="N133" s="75">
        <f t="shared" si="4"/>
        <v>2312.0170906813528</v>
      </c>
    </row>
    <row r="134" spans="1:14">
      <c r="I134" s="51" t="s">
        <v>109</v>
      </c>
      <c r="J134" s="76">
        <f>SUM(J133:BK133)</f>
        <v>12869.862345290501</v>
      </c>
      <c r="K134" s="51"/>
      <c r="L134" s="51"/>
      <c r="M134" s="51"/>
      <c r="N134" s="51"/>
    </row>
    <row r="135" spans="1:14">
      <c r="I135" s="51"/>
      <c r="J135" s="51"/>
      <c r="K135" s="51"/>
      <c r="L135" s="51"/>
      <c r="M135" s="51"/>
      <c r="N135" s="51"/>
    </row>
    <row r="136" spans="1:14">
      <c r="I136" s="77" t="s">
        <v>121</v>
      </c>
      <c r="J136" s="77"/>
      <c r="K136" s="78">
        <f>J134</f>
        <v>12869.862345290501</v>
      </c>
      <c r="L136" s="51"/>
      <c r="M136" s="51"/>
      <c r="N136" s="51"/>
    </row>
    <row r="137" spans="1:14" ht="15" thickBot="1"/>
    <row r="138" spans="1:14" ht="15" thickBot="1">
      <c r="I138" t="s">
        <v>122</v>
      </c>
      <c r="N138" s="86">
        <f>K128+K136</f>
        <v>148480.86234529049</v>
      </c>
    </row>
    <row r="142" spans="1:14">
      <c r="A142" s="9"/>
      <c r="B142" s="9"/>
      <c r="C142" s="9"/>
      <c r="D142" s="9"/>
      <c r="E142" s="9"/>
    </row>
    <row r="143" spans="1:14" ht="15">
      <c r="A143" s="9"/>
      <c r="B143" s="97"/>
      <c r="C143" s="9"/>
      <c r="D143" s="9"/>
      <c r="E143" s="9"/>
    </row>
    <row r="144" spans="1:14">
      <c r="A144" s="9"/>
      <c r="B144" s="9"/>
      <c r="C144" s="9"/>
      <c r="D144" s="9"/>
      <c r="E144" s="9"/>
    </row>
    <row r="145" spans="1:5">
      <c r="A145" s="9"/>
      <c r="B145" s="9"/>
      <c r="C145" s="9"/>
      <c r="D145" s="98"/>
      <c r="E145" s="9"/>
    </row>
    <row r="146" spans="1:5">
      <c r="A146" s="9"/>
      <c r="B146" s="9"/>
      <c r="C146" s="9"/>
      <c r="D146" s="9"/>
      <c r="E146" s="9"/>
    </row>
    <row r="147" spans="1:5">
      <c r="A147" s="9"/>
      <c r="B147" s="9"/>
      <c r="C147" s="9"/>
      <c r="D147" s="99"/>
      <c r="E147" s="9"/>
    </row>
    <row r="148" spans="1:5">
      <c r="A148" s="9"/>
      <c r="B148" s="9"/>
      <c r="C148" s="9"/>
      <c r="D148" s="9"/>
      <c r="E148" s="9"/>
    </row>
    <row r="149" spans="1:5">
      <c r="A149" s="9"/>
      <c r="B149" s="9"/>
      <c r="C149" s="9"/>
      <c r="D149" s="98"/>
      <c r="E149" s="9"/>
    </row>
    <row r="150" spans="1:5">
      <c r="A150" s="9"/>
      <c r="B150" s="9"/>
      <c r="C150" s="9"/>
      <c r="D150" s="9"/>
      <c r="E150" s="9"/>
    </row>
    <row r="151" spans="1:5">
      <c r="A151" s="9"/>
      <c r="B151" s="9"/>
      <c r="C151" s="9"/>
      <c r="D151" s="98"/>
      <c r="E151" s="9"/>
    </row>
    <row r="152" spans="1:5">
      <c r="A152" s="9"/>
      <c r="B152" s="9"/>
      <c r="C152" s="9"/>
      <c r="D152" s="9"/>
      <c r="E152" s="9"/>
    </row>
  </sheetData>
  <mergeCells count="2">
    <mergeCell ref="A3:E6"/>
    <mergeCell ref="B13:E1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F1D1D-94E8-4E76-B835-40274F8FA2E8}">
  <dimension ref="A1:K46"/>
  <sheetViews>
    <sheetView showGridLines="0" topLeftCell="A3" workbookViewId="0">
      <selection activeCell="J11" sqref="J11"/>
    </sheetView>
  </sheetViews>
  <sheetFormatPr defaultRowHeight="14.25"/>
  <cols>
    <col min="4" max="5" width="12.75" customWidth="1"/>
    <col min="6" max="6" width="14.25" customWidth="1"/>
    <col min="7" max="7" width="21.5" customWidth="1"/>
    <col min="8" max="8" width="19.125" customWidth="1"/>
    <col min="9" max="15" width="14" customWidth="1"/>
  </cols>
  <sheetData>
    <row r="1" spans="1:9" ht="15" thickBot="1"/>
    <row r="2" spans="1:9">
      <c r="A2" s="284" t="s">
        <v>128</v>
      </c>
      <c r="B2" s="285"/>
      <c r="C2" s="285"/>
      <c r="D2" s="285"/>
      <c r="E2" s="285"/>
      <c r="F2" s="285"/>
      <c r="G2" s="285"/>
      <c r="H2" s="286"/>
    </row>
    <row r="3" spans="1:9">
      <c r="A3" s="287"/>
      <c r="B3" s="288"/>
      <c r="C3" s="288"/>
      <c r="D3" s="288"/>
      <c r="E3" s="288"/>
      <c r="F3" s="288"/>
      <c r="G3" s="288"/>
      <c r="H3" s="289"/>
    </row>
    <row r="4" spans="1:9">
      <c r="A4" s="287"/>
      <c r="B4" s="288"/>
      <c r="C4" s="288"/>
      <c r="D4" s="288"/>
      <c r="E4" s="288"/>
      <c r="F4" s="288"/>
      <c r="G4" s="288"/>
      <c r="H4" s="289"/>
    </row>
    <row r="5" spans="1:9">
      <c r="A5" s="287"/>
      <c r="B5" s="288"/>
      <c r="C5" s="288"/>
      <c r="D5" s="288"/>
      <c r="E5" s="288"/>
      <c r="F5" s="288"/>
      <c r="G5" s="288"/>
      <c r="H5" s="289"/>
    </row>
    <row r="6" spans="1:9" ht="15" thickBot="1">
      <c r="A6" s="290"/>
      <c r="B6" s="291"/>
      <c r="C6" s="291"/>
      <c r="D6" s="291"/>
      <c r="E6" s="291"/>
      <c r="F6" s="291"/>
      <c r="G6" s="291"/>
      <c r="H6" s="292"/>
    </row>
    <row r="10" spans="1:9" ht="15" thickBot="1"/>
    <row r="11" spans="1:9" ht="15" thickBot="1">
      <c r="B11" s="89" t="s">
        <v>7</v>
      </c>
      <c r="C11" s="89" t="s">
        <v>129</v>
      </c>
      <c r="D11" s="89" t="s">
        <v>105</v>
      </c>
      <c r="E11" s="89" t="s">
        <v>146</v>
      </c>
      <c r="F11" s="89" t="s">
        <v>130</v>
      </c>
      <c r="G11" s="89" t="s">
        <v>131</v>
      </c>
      <c r="H11" s="92" t="s">
        <v>106</v>
      </c>
      <c r="I11" s="93" t="s">
        <v>132</v>
      </c>
    </row>
    <row r="12" spans="1:9" ht="15" thickBot="1">
      <c r="B12" s="90">
        <v>1</v>
      </c>
      <c r="C12" s="96">
        <v>0.18</v>
      </c>
      <c r="D12" s="94">
        <f>Debt!E88</f>
        <v>5.722E-2</v>
      </c>
      <c r="E12" s="94">
        <f>D12*(1-C12)</f>
        <v>4.6920400000000001E-2</v>
      </c>
      <c r="F12" s="95">
        <f>Equity!F159</f>
        <v>0.10886026343999999</v>
      </c>
      <c r="G12" s="75">
        <f>Equity!E204</f>
        <v>1985640.8542857144</v>
      </c>
      <c r="H12" s="91">
        <f>Debt!N138</f>
        <v>148480.86234529049</v>
      </c>
      <c r="I12" s="115">
        <f>F12*G12/(G12+H12)+(E12*H12/(G12+H12))</f>
        <v>0.10455081648322602</v>
      </c>
    </row>
    <row r="13" spans="1:9" ht="15" thickBot="1">
      <c r="B13" s="90">
        <v>2</v>
      </c>
      <c r="C13" s="96">
        <f>Equity!D143</f>
        <v>0.152</v>
      </c>
      <c r="D13" s="94">
        <f>Debt!E89</f>
        <v>5.6610000000000001E-2</v>
      </c>
      <c r="E13" s="94">
        <f t="shared" ref="E13:E16" si="0">D13*(1-C13)</f>
        <v>4.8005279999999997E-2</v>
      </c>
      <c r="F13" s="95">
        <f>Equity!F160</f>
        <v>0.109204882</v>
      </c>
      <c r="G13" s="75">
        <f>Equity!E205</f>
        <v>2007127.4014285714</v>
      </c>
      <c r="H13" s="91">
        <f>H12</f>
        <v>148480.86234529049</v>
      </c>
      <c r="I13" s="115">
        <f t="shared" ref="I13:I16" si="1">F13*G13/(G13+H13)+(E13*H13/(G13+H13))</f>
        <v>0.10498938058777225</v>
      </c>
    </row>
    <row r="14" spans="1:9" ht="15" thickBot="1">
      <c r="B14" s="90">
        <v>3</v>
      </c>
      <c r="C14" s="96">
        <f>C13</f>
        <v>0.152</v>
      </c>
      <c r="D14" s="94">
        <f>Debt!E90</f>
        <v>5.2999999999999999E-2</v>
      </c>
      <c r="E14" s="94">
        <f t="shared" si="0"/>
        <v>4.4943999999999998E-2</v>
      </c>
      <c r="F14" s="95">
        <f>Equity!F161</f>
        <v>0.1048904448</v>
      </c>
      <c r="G14" s="75">
        <f>Equity!E206</f>
        <v>2028613.9485714284</v>
      </c>
      <c r="H14" s="91">
        <f t="shared" ref="H14:H16" si="2">H13</f>
        <v>148480.86234529049</v>
      </c>
      <c r="I14" s="115">
        <f t="shared" si="1"/>
        <v>0.10080201476295884</v>
      </c>
    </row>
    <row r="15" spans="1:9" ht="15" thickBot="1">
      <c r="B15" s="90">
        <v>4</v>
      </c>
      <c r="C15" s="96">
        <f>C13</f>
        <v>0.152</v>
      </c>
      <c r="D15" s="94">
        <f>Debt!E91</f>
        <v>5.2429999999999997E-2</v>
      </c>
      <c r="E15" s="94">
        <f t="shared" si="0"/>
        <v>4.4460639999999996E-2</v>
      </c>
      <c r="F15" s="95">
        <f>Equity!F162</f>
        <v>0.10008046271999999</v>
      </c>
      <c r="G15" s="75">
        <f>Equity!E207</f>
        <v>2050100.4957142854</v>
      </c>
      <c r="H15" s="91">
        <f t="shared" si="2"/>
        <v>148480.86234529049</v>
      </c>
      <c r="I15" s="115">
        <f t="shared" si="1"/>
        <v>9.6324186332645126E-2</v>
      </c>
    </row>
    <row r="16" spans="1:9">
      <c r="B16" s="90">
        <v>5</v>
      </c>
      <c r="C16" s="96">
        <f>C15</f>
        <v>0.152</v>
      </c>
      <c r="D16" s="94">
        <f>Debt!E92</f>
        <v>4.9200000000000001E-2</v>
      </c>
      <c r="E16" s="94">
        <f t="shared" si="0"/>
        <v>4.1721599999999998E-2</v>
      </c>
      <c r="F16" s="95">
        <f>Equity!F163</f>
        <v>9.4648121599999996E-2</v>
      </c>
      <c r="G16" s="75">
        <f>Equity!E208</f>
        <v>2071587.0428571426</v>
      </c>
      <c r="H16" s="91">
        <f t="shared" si="2"/>
        <v>148480.86234529049</v>
      </c>
      <c r="I16" s="115">
        <f t="shared" si="1"/>
        <v>9.1108330970312901E-2</v>
      </c>
    </row>
    <row r="18" spans="7:7">
      <c r="G18" t="s">
        <v>145</v>
      </c>
    </row>
    <row r="39" spans="4:11" ht="15" thickBot="1"/>
    <row r="40" spans="4:11" ht="15" thickBot="1">
      <c r="D40" s="89" t="s">
        <v>7</v>
      </c>
      <c r="E40" s="93" t="s">
        <v>132</v>
      </c>
    </row>
    <row r="41" spans="4:11" ht="15" thickBot="1">
      <c r="D41" s="90">
        <v>1</v>
      </c>
      <c r="E41" s="115">
        <v>0.10455081648322602</v>
      </c>
      <c r="I41" s="89" t="s">
        <v>7</v>
      </c>
      <c r="J41" s="89" t="s">
        <v>131</v>
      </c>
      <c r="K41" s="92" t="s">
        <v>106</v>
      </c>
    </row>
    <row r="42" spans="4:11" ht="15" thickBot="1">
      <c r="D42" s="90">
        <v>2</v>
      </c>
      <c r="E42" s="115">
        <v>0.10498938058777225</v>
      </c>
      <c r="I42" s="90">
        <v>1</v>
      </c>
      <c r="J42" s="75">
        <v>1985640.8542857144</v>
      </c>
      <c r="K42" s="91">
        <v>148480.86234529049</v>
      </c>
    </row>
    <row r="43" spans="4:11" ht="15" thickBot="1">
      <c r="D43" s="90">
        <v>3</v>
      </c>
      <c r="E43" s="115">
        <v>0.10080201476295884</v>
      </c>
      <c r="I43" s="90">
        <v>2</v>
      </c>
      <c r="J43" s="75">
        <v>2007127.4014285714</v>
      </c>
      <c r="K43" s="91">
        <v>148480.86234529049</v>
      </c>
    </row>
    <row r="44" spans="4:11" ht="15" thickBot="1">
      <c r="D44" s="90">
        <v>4</v>
      </c>
      <c r="E44" s="115">
        <v>9.6324186332645126E-2</v>
      </c>
      <c r="I44" s="90">
        <v>3</v>
      </c>
      <c r="J44" s="75">
        <v>2028613.9485714284</v>
      </c>
      <c r="K44" s="91">
        <v>148480.86234529049</v>
      </c>
    </row>
    <row r="45" spans="4:11">
      <c r="D45" s="90">
        <v>5</v>
      </c>
      <c r="E45" s="115">
        <v>9.1108330970312901E-2</v>
      </c>
      <c r="I45" s="90">
        <v>4</v>
      </c>
      <c r="J45" s="75">
        <v>2050100.4957142854</v>
      </c>
      <c r="K45" s="91">
        <v>148480.86234529049</v>
      </c>
    </row>
    <row r="46" spans="4:11">
      <c r="I46" s="90">
        <v>5</v>
      </c>
      <c r="J46" s="75">
        <v>2071587.0428571426</v>
      </c>
      <c r="K46" s="91">
        <v>148480.86234529049</v>
      </c>
    </row>
  </sheetData>
  <mergeCells count="1">
    <mergeCell ref="A2: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3C6D2-1C81-4AA5-8D90-DDDFD2D5BEDD}">
  <dimension ref="A1:AE106"/>
  <sheetViews>
    <sheetView showGridLines="0" topLeftCell="A31" zoomScaleNormal="100" workbookViewId="0">
      <selection activeCell="N81" sqref="N81"/>
    </sheetView>
  </sheetViews>
  <sheetFormatPr defaultColWidth="9.625" defaultRowHeight="14.25" outlineLevelRow="1" outlineLevelCol="1"/>
  <cols>
    <col min="1" max="1" width="3.625" customWidth="1"/>
    <col min="2" max="2" width="21.125" customWidth="1"/>
    <col min="3" max="3" width="10.125" bestFit="1" customWidth="1"/>
    <col min="5" max="7" width="9.625" customWidth="1" outlineLevel="1"/>
    <col min="8" max="8" width="10.75" customWidth="1" outlineLevel="1"/>
    <col min="9" max="9" width="13.5" customWidth="1" outlineLevel="1"/>
    <col min="10" max="10" width="14.875" customWidth="1" outlineLevel="1"/>
    <col min="11" max="13" width="11.875" customWidth="1"/>
    <col min="14" max="14" width="16.5" customWidth="1"/>
    <col min="15" max="15" width="13.625" customWidth="1"/>
    <col min="16" max="16" width="9.625" customWidth="1"/>
    <col min="17" max="17" width="12.75" customWidth="1"/>
    <col min="18" max="18" width="9.625" customWidth="1"/>
    <col min="22" max="26" width="10.5" bestFit="1" customWidth="1"/>
    <col min="27" max="27" width="12" bestFit="1" customWidth="1"/>
    <col min="30" max="30" width="10.375" bestFit="1" customWidth="1"/>
  </cols>
  <sheetData>
    <row r="1" spans="1:31" ht="15" thickBot="1"/>
    <row r="2" spans="1:31" s="118" customFormat="1" ht="21" thickBot="1">
      <c r="B2" s="174" t="str">
        <f>C4</f>
        <v>AMZN</v>
      </c>
      <c r="C2" s="293" t="s">
        <v>212</v>
      </c>
      <c r="D2" s="294"/>
      <c r="E2" s="294"/>
      <c r="F2" s="294"/>
      <c r="G2" s="294"/>
      <c r="H2" s="294"/>
      <c r="I2" s="294"/>
      <c r="J2" s="294"/>
      <c r="K2" s="294"/>
      <c r="L2" s="294"/>
      <c r="M2" s="294"/>
      <c r="N2" s="295"/>
    </row>
    <row r="4" spans="1:31" ht="14.25" customHeight="1">
      <c r="A4" t="s">
        <v>139</v>
      </c>
      <c r="B4" t="s">
        <v>191</v>
      </c>
      <c r="C4" s="173" t="s">
        <v>190</v>
      </c>
      <c r="E4" t="s">
        <v>189</v>
      </c>
      <c r="G4" s="170"/>
      <c r="I4" t="s">
        <v>188</v>
      </c>
      <c r="K4" s="172">
        <v>2023</v>
      </c>
      <c r="M4" s="168"/>
      <c r="N4" s="188" t="s">
        <v>187</v>
      </c>
      <c r="O4" s="188"/>
      <c r="P4" s="188"/>
      <c r="Q4" s="188"/>
      <c r="R4" s="188"/>
      <c r="S4" s="188"/>
      <c r="T4" s="188"/>
      <c r="U4" s="188"/>
      <c r="V4" s="188"/>
    </row>
    <row r="5" spans="1:31" ht="14.25" customHeight="1">
      <c r="B5" t="s">
        <v>186</v>
      </c>
      <c r="C5" s="171" t="s">
        <v>192</v>
      </c>
      <c r="E5" t="s">
        <v>185</v>
      </c>
      <c r="G5" s="170"/>
      <c r="K5" s="169"/>
      <c r="M5" s="168"/>
      <c r="N5" s="188"/>
      <c r="O5" s="188"/>
      <c r="P5" s="188"/>
      <c r="Q5" s="188"/>
      <c r="R5" s="188"/>
      <c r="S5" s="188"/>
      <c r="T5" s="188"/>
      <c r="U5" s="188"/>
      <c r="V5" s="188"/>
    </row>
    <row r="6" spans="1:31" ht="14.25" customHeight="1">
      <c r="N6" s="188"/>
      <c r="O6" s="188"/>
      <c r="P6" s="188"/>
      <c r="Q6" s="188"/>
      <c r="R6" s="188"/>
      <c r="S6" s="188"/>
      <c r="T6" s="188"/>
      <c r="U6" s="188"/>
      <c r="V6" s="188"/>
    </row>
    <row r="7" spans="1:31" ht="15">
      <c r="A7" t="s">
        <v>139</v>
      </c>
      <c r="B7" s="150" t="s">
        <v>184</v>
      </c>
      <c r="C7" s="152"/>
      <c r="D7" s="152"/>
      <c r="E7" s="152"/>
      <c r="F7" s="152"/>
      <c r="G7" s="152"/>
      <c r="H7" s="152"/>
      <c r="I7" s="152"/>
      <c r="J7" s="152"/>
      <c r="K7" s="152"/>
      <c r="L7" s="152"/>
      <c r="M7" s="152"/>
      <c r="N7" s="152"/>
    </row>
    <row r="8" spans="1:31" ht="15">
      <c r="B8" s="33" t="s">
        <v>183</v>
      </c>
    </row>
    <row r="9" spans="1:31">
      <c r="B9" t="s">
        <v>132</v>
      </c>
      <c r="D9" s="167"/>
    </row>
    <row r="10" spans="1:31">
      <c r="B10" t="s">
        <v>182</v>
      </c>
      <c r="D10" s="167"/>
    </row>
    <row r="11" spans="1:31" ht="15" outlineLevel="1" thickBot="1">
      <c r="E11">
        <v>-4</v>
      </c>
      <c r="F11">
        <v>-3</v>
      </c>
      <c r="G11">
        <v>-2</v>
      </c>
      <c r="H11">
        <v>-1</v>
      </c>
      <c r="J11">
        <v>1</v>
      </c>
      <c r="K11">
        <f t="shared" ref="K11:N12" si="0">J11+1</f>
        <v>2</v>
      </c>
      <c r="L11">
        <f t="shared" si="0"/>
        <v>3</v>
      </c>
      <c r="M11">
        <f t="shared" si="0"/>
        <v>4</v>
      </c>
      <c r="N11">
        <f t="shared" si="0"/>
        <v>5</v>
      </c>
      <c r="S11" t="s">
        <v>7</v>
      </c>
      <c r="T11" t="s">
        <v>193</v>
      </c>
      <c r="X11" t="s">
        <v>193</v>
      </c>
      <c r="Y11" t="s">
        <v>209</v>
      </c>
    </row>
    <row r="12" spans="1:31" ht="15.75" outlineLevel="1" thickBot="1">
      <c r="A12" t="s">
        <v>139</v>
      </c>
      <c r="B12" s="150" t="s">
        <v>181</v>
      </c>
      <c r="C12" s="152"/>
      <c r="D12" s="152"/>
      <c r="E12" s="150">
        <f>F12-1</f>
        <v>2019</v>
      </c>
      <c r="F12" s="150">
        <f>G12-1</f>
        <v>2020</v>
      </c>
      <c r="G12" s="150">
        <f>H12-1</f>
        <v>2021</v>
      </c>
      <c r="H12" s="150">
        <f>K4-1</f>
        <v>2022</v>
      </c>
      <c r="I12" s="166" t="s">
        <v>180</v>
      </c>
      <c r="J12" s="150">
        <f>K4+1</f>
        <v>2024</v>
      </c>
      <c r="K12" s="150">
        <f t="shared" si="0"/>
        <v>2025</v>
      </c>
      <c r="L12" s="150">
        <f t="shared" si="0"/>
        <v>2026</v>
      </c>
      <c r="M12" s="150">
        <f t="shared" si="0"/>
        <v>2027</v>
      </c>
      <c r="N12" s="150">
        <f t="shared" si="0"/>
        <v>2028</v>
      </c>
      <c r="O12" s="184"/>
      <c r="P12" s="184"/>
      <c r="S12" s="175">
        <v>2023</v>
      </c>
      <c r="T12" s="175" t="s">
        <v>194</v>
      </c>
      <c r="U12" s="175"/>
      <c r="W12" s="175" cm="1">
        <f t="array" ref="W12:W26">_xlfn.SEQUENCE(COUNTA(T12:T26))</f>
        <v>1</v>
      </c>
      <c r="X12" t="str" cm="1">
        <f t="array" ref="X12:X26">_xlfn.SORTBY(T12:T26,_xlfn.SEQUENCE(ROWS(T12:T26)),-1)</f>
        <v>$24,509</v>
      </c>
      <c r="Y12" cm="1">
        <f t="array" ref="Y12:Y26">_xlfn.SORTBY(S12:S26,_xlfn.SEQUENCE(ROWS(S12:S26)),-1)</f>
        <v>2009</v>
      </c>
      <c r="AA12" s="176"/>
      <c r="AB12" s="175"/>
      <c r="AD12" s="175">
        <v>1</v>
      </c>
      <c r="AE12" t="s">
        <v>208</v>
      </c>
    </row>
    <row r="13" spans="1:31" s="135" customFormat="1" ht="15.75" outlineLevel="1" thickBot="1">
      <c r="B13" s="135" t="s">
        <v>169</v>
      </c>
      <c r="C13" s="182"/>
      <c r="D13" s="182"/>
      <c r="E13" s="182"/>
      <c r="F13" s="182"/>
      <c r="G13" s="182"/>
      <c r="H13" s="182"/>
      <c r="I13" s="182">
        <v>574785</v>
      </c>
      <c r="J13" s="182">
        <f>'DCF estimations'!F18</f>
        <v>633224.74285714282</v>
      </c>
      <c r="K13" s="182">
        <f>'DCF estimations'!F19</f>
        <v>672801.28928571427</v>
      </c>
      <c r="L13" s="182">
        <f>'DCF estimations'!F20</f>
        <v>712377.83571428573</v>
      </c>
      <c r="M13" s="182">
        <f>'DCF estimations'!F21</f>
        <v>751954.38214285707</v>
      </c>
      <c r="N13" s="182">
        <f>'DCF estimations'!F22</f>
        <v>791530.92857142852</v>
      </c>
      <c r="O13" s="179"/>
      <c r="P13" s="179"/>
      <c r="S13" s="175">
        <v>2022</v>
      </c>
      <c r="T13" s="175" t="s">
        <v>195</v>
      </c>
      <c r="U13" s="175"/>
      <c r="W13" s="175">
        <v>2</v>
      </c>
      <c r="X13" s="135" t="str">
        <v>$34,204</v>
      </c>
      <c r="Y13" s="135">
        <v>2010</v>
      </c>
      <c r="AA13" s="176"/>
      <c r="AB13" s="175"/>
      <c r="AD13" s="175">
        <v>2</v>
      </c>
      <c r="AE13" s="135" t="s">
        <v>207</v>
      </c>
    </row>
    <row r="14" spans="1:31" s="135" customFormat="1" ht="15.75" outlineLevel="1" thickBot="1">
      <c r="B14" s="156" t="s">
        <v>163</v>
      </c>
      <c r="E14" s="153"/>
      <c r="F14" s="153"/>
      <c r="G14" s="153"/>
      <c r="H14" s="153"/>
      <c r="I14" s="160"/>
      <c r="J14" s="154">
        <f>(J13-I13)/I13</f>
        <v>0.1016723520223089</v>
      </c>
      <c r="K14" s="154">
        <f t="shared" ref="K14:N14" si="1">(K13-J13)/J13</f>
        <v>6.2500000000000042E-2</v>
      </c>
      <c r="L14" s="154">
        <f t="shared" si="1"/>
        <v>5.8823529411764747E-2</v>
      </c>
      <c r="M14" s="154">
        <f t="shared" si="1"/>
        <v>5.5555555555555428E-2</v>
      </c>
      <c r="N14" s="154">
        <f t="shared" si="1"/>
        <v>5.263157894736846E-2</v>
      </c>
      <c r="S14" s="175">
        <v>2021</v>
      </c>
      <c r="T14" s="175" t="s">
        <v>196</v>
      </c>
      <c r="U14" s="175"/>
      <c r="V14"/>
      <c r="W14" s="175">
        <v>3</v>
      </c>
      <c r="X14" s="135" t="str">
        <v>$48,077</v>
      </c>
      <c r="Y14" s="135">
        <v>2011</v>
      </c>
      <c r="AA14" s="176"/>
      <c r="AB14" s="175"/>
      <c r="AD14" s="175">
        <v>3</v>
      </c>
      <c r="AE14" s="135" t="s">
        <v>206</v>
      </c>
    </row>
    <row r="15" spans="1:31" s="135" customFormat="1" ht="15.75" outlineLevel="1" thickBot="1">
      <c r="B15" s="165"/>
      <c r="I15" s="164"/>
      <c r="S15" s="175">
        <v>2020</v>
      </c>
      <c r="T15" s="175" t="s">
        <v>197</v>
      </c>
      <c r="U15" s="175"/>
      <c r="W15" s="175">
        <v>4</v>
      </c>
      <c r="X15" s="135" t="str">
        <v>$61,093</v>
      </c>
      <c r="Y15" s="135">
        <v>2012</v>
      </c>
      <c r="AA15" s="176"/>
      <c r="AB15" s="175"/>
      <c r="AD15" s="175">
        <v>4</v>
      </c>
      <c r="AE15" s="135" t="s">
        <v>205</v>
      </c>
    </row>
    <row r="16" spans="1:31" s="135" customFormat="1" ht="15.75" outlineLevel="1" thickBot="1">
      <c r="B16" s="135" t="s">
        <v>168</v>
      </c>
      <c r="C16" s="179"/>
      <c r="D16" s="179"/>
      <c r="E16" s="181"/>
      <c r="F16" s="181"/>
      <c r="G16" s="181"/>
      <c r="H16" s="181"/>
      <c r="I16" s="183">
        <f>'DCF estimations'!$H$59</f>
        <v>36852</v>
      </c>
      <c r="J16" s="181">
        <f>'DCF estimations'!$H$60</f>
        <v>41812.400000000001</v>
      </c>
      <c r="K16" s="181">
        <f>'DCF estimations'!$H$61</f>
        <v>47785.599999999999</v>
      </c>
      <c r="L16" s="181">
        <f>'DCF estimations'!$H$62</f>
        <v>53758.799999999996</v>
      </c>
      <c r="M16" s="181">
        <f>'DCF estimations'!$H$63</f>
        <v>59732</v>
      </c>
      <c r="N16" s="181">
        <f>'DCF estimations'!$H$64</f>
        <v>65705.2</v>
      </c>
      <c r="S16" s="175">
        <v>2019</v>
      </c>
      <c r="T16" s="175" t="s">
        <v>198</v>
      </c>
      <c r="U16" s="175"/>
      <c r="V16"/>
      <c r="W16" s="175">
        <v>5</v>
      </c>
      <c r="X16" s="135" t="str">
        <v>$74,452</v>
      </c>
      <c r="Y16" s="135">
        <v>2013</v>
      </c>
      <c r="AA16" s="176"/>
      <c r="AB16" s="175"/>
      <c r="AD16" s="175">
        <v>5</v>
      </c>
      <c r="AE16" s="135" t="s">
        <v>204</v>
      </c>
    </row>
    <row r="17" spans="1:31" s="135" customFormat="1" ht="15.75" outlineLevel="1" thickBot="1">
      <c r="B17" s="156" t="s">
        <v>171</v>
      </c>
      <c r="E17" s="153"/>
      <c r="F17" s="153"/>
      <c r="G17" s="153"/>
      <c r="H17" s="153"/>
      <c r="I17" s="160"/>
      <c r="J17" s="154">
        <f>(J16-I16)/I16</f>
        <v>0.13460327797677199</v>
      </c>
      <c r="K17" s="154">
        <f t="shared" ref="K17:N17" si="2">(K16-J16)/J16</f>
        <v>0.14285714285714279</v>
      </c>
      <c r="L17" s="154">
        <f t="shared" si="2"/>
        <v>0.12499999999999994</v>
      </c>
      <c r="M17" s="154">
        <f t="shared" si="2"/>
        <v>0.1111111111111112</v>
      </c>
      <c r="N17" s="154">
        <f t="shared" si="2"/>
        <v>9.999999999999995E-2</v>
      </c>
      <c r="S17" s="175">
        <v>2018</v>
      </c>
      <c r="T17" s="175" t="s">
        <v>199</v>
      </c>
      <c r="U17" s="175"/>
      <c r="W17" s="175">
        <v>6</v>
      </c>
      <c r="X17" s="135" t="str">
        <v>$88,988</v>
      </c>
      <c r="Y17" s="135">
        <v>2014</v>
      </c>
      <c r="AA17" s="176"/>
      <c r="AB17" s="175"/>
      <c r="AD17" s="175">
        <v>6</v>
      </c>
      <c r="AE17" s="135" t="s">
        <v>203</v>
      </c>
    </row>
    <row r="18" spans="1:31" s="135" customFormat="1" ht="15.75" outlineLevel="1" thickBot="1">
      <c r="I18" s="164"/>
      <c r="S18" s="175">
        <v>2017</v>
      </c>
      <c r="T18" s="175" t="s">
        <v>200</v>
      </c>
      <c r="U18" s="175"/>
      <c r="V18"/>
      <c r="W18" s="175">
        <v>7</v>
      </c>
      <c r="X18" s="135" t="str">
        <v>$107,006</v>
      </c>
      <c r="Y18" s="135">
        <v>2015</v>
      </c>
      <c r="Z18" s="135" t="e">
        <f>SLOPE(_xlfn.ANCHORARRAY(X12),_xlfn.ANCHORARRAY(W12))</f>
        <v>#DIV/0!</v>
      </c>
      <c r="AA18" s="176"/>
      <c r="AB18" s="175"/>
      <c r="AD18" s="175">
        <v>7</v>
      </c>
      <c r="AE18" s="135" t="s">
        <v>202</v>
      </c>
    </row>
    <row r="19" spans="1:31" s="135" customFormat="1" ht="15.75" outlineLevel="1" thickBot="1">
      <c r="B19" s="135" t="s">
        <v>179</v>
      </c>
      <c r="E19" s="163"/>
      <c r="F19" s="163"/>
      <c r="G19" s="163"/>
      <c r="H19" s="163"/>
      <c r="I19" s="162"/>
      <c r="J19" s="163"/>
      <c r="K19" s="163"/>
      <c r="L19" s="163"/>
      <c r="M19" s="163"/>
      <c r="N19" s="163"/>
      <c r="S19" s="175">
        <v>2016</v>
      </c>
      <c r="T19" s="175" t="s">
        <v>201</v>
      </c>
      <c r="U19" s="175"/>
      <c r="W19" s="175">
        <v>8</v>
      </c>
      <c r="X19" s="135" t="str">
        <v>$135,987</v>
      </c>
      <c r="Y19" s="135">
        <v>2016</v>
      </c>
      <c r="AA19" s="176"/>
      <c r="AB19" s="175"/>
      <c r="AD19" s="175">
        <v>8</v>
      </c>
      <c r="AE19" s="135" t="s">
        <v>201</v>
      </c>
    </row>
    <row r="20" spans="1:31" s="135" customFormat="1" ht="15.75" outlineLevel="1" thickBot="1">
      <c r="B20" s="156" t="s">
        <v>178</v>
      </c>
      <c r="E20" s="153"/>
      <c r="F20" s="153"/>
      <c r="G20" s="153"/>
      <c r="H20" s="153"/>
      <c r="I20" s="160"/>
      <c r="J20" s="154"/>
      <c r="K20" s="153"/>
      <c r="L20" s="153"/>
      <c r="M20" s="153"/>
      <c r="N20" s="153"/>
      <c r="S20" s="175">
        <v>2015</v>
      </c>
      <c r="T20" s="175" t="s">
        <v>202</v>
      </c>
      <c r="U20" s="175"/>
      <c r="V20"/>
      <c r="W20" s="175">
        <v>9</v>
      </c>
      <c r="X20" s="135" t="str">
        <v>$177,866</v>
      </c>
      <c r="Y20" s="135">
        <v>2017</v>
      </c>
      <c r="AA20" s="176"/>
      <c r="AB20" s="175"/>
      <c r="AD20" s="175">
        <v>9</v>
      </c>
      <c r="AE20" s="135" t="s">
        <v>200</v>
      </c>
    </row>
    <row r="21" spans="1:31" s="135" customFormat="1" ht="15.75" outlineLevel="1" thickBot="1">
      <c r="I21" s="164"/>
      <c r="S21" s="175">
        <v>2014</v>
      </c>
      <c r="T21" s="175" t="s">
        <v>203</v>
      </c>
      <c r="U21" s="175"/>
      <c r="W21" s="175">
        <v>10</v>
      </c>
      <c r="X21" s="135" t="str">
        <v>$232,887</v>
      </c>
      <c r="Y21" s="135">
        <v>2018</v>
      </c>
      <c r="AA21" s="176"/>
      <c r="AB21" s="175"/>
      <c r="AD21" s="175">
        <v>10</v>
      </c>
      <c r="AE21" s="135" t="s">
        <v>199</v>
      </c>
    </row>
    <row r="22" spans="1:31" ht="15.75" outlineLevel="1" thickBot="1">
      <c r="A22" t="s">
        <v>139</v>
      </c>
      <c r="B22" s="150" t="s">
        <v>177</v>
      </c>
      <c r="C22" s="152"/>
      <c r="D22" s="152"/>
      <c r="E22" s="150">
        <f t="shared" ref="E22:N22" si="3">E12</f>
        <v>2019</v>
      </c>
      <c r="F22" s="150">
        <f t="shared" si="3"/>
        <v>2020</v>
      </c>
      <c r="G22" s="150">
        <f t="shared" si="3"/>
        <v>2021</v>
      </c>
      <c r="H22" s="150">
        <f t="shared" si="3"/>
        <v>2022</v>
      </c>
      <c r="I22" s="151" t="str">
        <f t="shared" si="3"/>
        <v>ttm</v>
      </c>
      <c r="J22" s="150">
        <f t="shared" si="3"/>
        <v>2024</v>
      </c>
      <c r="K22" s="150">
        <f t="shared" si="3"/>
        <v>2025</v>
      </c>
      <c r="L22" s="150">
        <f t="shared" si="3"/>
        <v>2026</v>
      </c>
      <c r="M22" s="150">
        <f t="shared" si="3"/>
        <v>2027</v>
      </c>
      <c r="N22" s="150">
        <f t="shared" si="3"/>
        <v>2028</v>
      </c>
      <c r="O22" s="184"/>
      <c r="P22" s="184"/>
      <c r="S22" s="175">
        <v>2013</v>
      </c>
      <c r="T22" s="175" t="s">
        <v>204</v>
      </c>
      <c r="U22" s="175"/>
      <c r="W22" s="175">
        <v>11</v>
      </c>
      <c r="X22" t="str">
        <v>$280,522</v>
      </c>
      <c r="Y22">
        <v>2019</v>
      </c>
      <c r="AA22" s="176"/>
      <c r="AB22" s="175"/>
      <c r="AD22" s="175">
        <v>11</v>
      </c>
      <c r="AE22" t="s">
        <v>198</v>
      </c>
    </row>
    <row r="23" spans="1:31" s="135" customFormat="1" ht="15.75" outlineLevel="1" thickBot="1">
      <c r="B23" s="135" t="s">
        <v>176</v>
      </c>
      <c r="E23" s="163"/>
      <c r="F23" s="163"/>
      <c r="G23" s="163"/>
      <c r="H23" s="163"/>
      <c r="I23" s="162"/>
      <c r="J23" s="161"/>
      <c r="K23" s="161"/>
      <c r="L23" s="161"/>
      <c r="M23" s="161"/>
      <c r="N23" s="161"/>
      <c r="S23" s="175">
        <v>2012</v>
      </c>
      <c r="T23" s="175" t="s">
        <v>205</v>
      </c>
      <c r="U23" s="175"/>
      <c r="W23" s="175">
        <v>12</v>
      </c>
      <c r="X23" s="135" t="str">
        <v>$386,064</v>
      </c>
      <c r="Y23" s="135">
        <v>2020</v>
      </c>
      <c r="AA23" s="176"/>
      <c r="AB23" s="175"/>
      <c r="AD23" s="175">
        <v>12</v>
      </c>
      <c r="AE23" s="135" t="s">
        <v>197</v>
      </c>
    </row>
    <row r="24" spans="1:31" s="135" customFormat="1" ht="15.75" outlineLevel="1" thickBot="1">
      <c r="B24" s="156" t="s">
        <v>171</v>
      </c>
      <c r="E24" s="153"/>
      <c r="F24" s="153"/>
      <c r="G24" s="153"/>
      <c r="H24" s="153"/>
      <c r="I24" s="160"/>
      <c r="J24" s="154"/>
      <c r="K24" s="153"/>
      <c r="L24" s="153"/>
      <c r="M24" s="153"/>
      <c r="N24" s="153"/>
      <c r="S24" s="175">
        <v>2011</v>
      </c>
      <c r="T24" s="175" t="s">
        <v>206</v>
      </c>
      <c r="U24" s="175"/>
      <c r="V24"/>
      <c r="W24" s="175">
        <v>13</v>
      </c>
      <c r="X24" s="135" t="str">
        <v>$469,822</v>
      </c>
      <c r="Y24" s="135">
        <v>2021</v>
      </c>
      <c r="AA24" s="176"/>
      <c r="AB24" s="175"/>
      <c r="AD24" s="175">
        <v>13</v>
      </c>
      <c r="AE24" s="135" t="s">
        <v>196</v>
      </c>
    </row>
    <row r="25" spans="1:31" s="135" customFormat="1" ht="15.75" outlineLevel="1" thickBot="1">
      <c r="E25" s="147"/>
      <c r="F25" s="147"/>
      <c r="G25" s="147"/>
      <c r="H25" s="147"/>
      <c r="I25" s="159"/>
      <c r="J25" s="147"/>
      <c r="K25" s="147"/>
      <c r="L25" s="147"/>
      <c r="M25" s="147"/>
      <c r="N25" s="147"/>
      <c r="S25" s="175">
        <v>2010</v>
      </c>
      <c r="T25" s="175" t="s">
        <v>207</v>
      </c>
      <c r="U25" s="175"/>
      <c r="W25" s="175">
        <v>14</v>
      </c>
      <c r="X25" s="135" t="str">
        <v>$513,983</v>
      </c>
      <c r="Y25" s="135">
        <v>2022</v>
      </c>
      <c r="AA25" s="176"/>
      <c r="AB25" s="175"/>
      <c r="AD25" s="175">
        <v>14</v>
      </c>
      <c r="AE25" s="135" t="s">
        <v>195</v>
      </c>
    </row>
    <row r="26" spans="1:31" s="135" customFormat="1" ht="15.75" outlineLevel="1" thickBot="1">
      <c r="B26" s="135" t="s">
        <v>166</v>
      </c>
      <c r="E26" s="163"/>
      <c r="F26" s="163"/>
      <c r="G26" s="163"/>
      <c r="H26" s="163"/>
      <c r="I26" s="162"/>
      <c r="J26" s="161"/>
      <c r="K26" s="161"/>
      <c r="L26" s="161"/>
      <c r="M26" s="161"/>
      <c r="N26" s="161"/>
      <c r="S26" s="175">
        <v>2009</v>
      </c>
      <c r="T26" s="175" t="s">
        <v>208</v>
      </c>
      <c r="U26" s="175"/>
      <c r="V26"/>
      <c r="W26" s="175">
        <v>15</v>
      </c>
      <c r="X26" s="135" t="str">
        <v>$574,785</v>
      </c>
      <c r="Y26" s="135">
        <v>2023</v>
      </c>
      <c r="AA26" s="176"/>
      <c r="AB26" s="175"/>
      <c r="AD26" s="175">
        <v>15</v>
      </c>
      <c r="AE26" s="135" t="s">
        <v>194</v>
      </c>
    </row>
    <row r="27" spans="1:31" s="135" customFormat="1" ht="15.75" outlineLevel="1" thickBot="1">
      <c r="B27" s="156" t="s">
        <v>171</v>
      </c>
      <c r="E27" s="153"/>
      <c r="F27" s="153"/>
      <c r="G27" s="153"/>
      <c r="H27" s="153"/>
      <c r="I27" s="160"/>
      <c r="J27" s="154"/>
      <c r="K27" s="153"/>
      <c r="L27" s="153"/>
      <c r="M27" s="153"/>
      <c r="N27" s="153"/>
      <c r="AA27" s="176"/>
      <c r="AB27" s="175"/>
    </row>
    <row r="28" spans="1:31" s="135" customFormat="1" ht="15.75" outlineLevel="1" thickBot="1">
      <c r="B28" s="156"/>
      <c r="E28" s="153"/>
      <c r="F28" s="153"/>
      <c r="G28" s="153"/>
      <c r="H28" s="153"/>
      <c r="I28" s="160"/>
      <c r="J28" s="154"/>
      <c r="K28" s="153"/>
      <c r="L28" s="153"/>
      <c r="M28" s="153"/>
      <c r="N28" s="153"/>
      <c r="AA28" s="176"/>
      <c r="AB28" s="175"/>
    </row>
    <row r="29" spans="1:31" s="135" customFormat="1" ht="15.75" outlineLevel="1" thickBot="1">
      <c r="B29" s="129" t="s">
        <v>175</v>
      </c>
      <c r="E29" s="147"/>
      <c r="F29" s="147"/>
      <c r="G29" s="147"/>
      <c r="H29" s="147"/>
      <c r="I29" s="159"/>
      <c r="J29" s="147"/>
      <c r="K29" s="147"/>
      <c r="L29" s="147"/>
      <c r="M29" s="147"/>
      <c r="N29" s="147"/>
      <c r="AA29" s="176"/>
      <c r="AB29" s="175"/>
    </row>
    <row r="30" spans="1:31" s="135" customFormat="1" ht="15.75" outlineLevel="1" thickBot="1">
      <c r="B30" s="129" t="s">
        <v>163</v>
      </c>
      <c r="E30" s="147"/>
      <c r="F30" s="147"/>
      <c r="G30" s="147"/>
      <c r="H30" s="147"/>
      <c r="I30" s="159"/>
      <c r="J30" s="147"/>
      <c r="K30" s="147"/>
      <c r="L30" s="147"/>
      <c r="M30" s="147"/>
      <c r="N30" s="147"/>
      <c r="AA30" s="176"/>
      <c r="AB30" s="175"/>
    </row>
    <row r="31" spans="1:31" s="135" customFormat="1" ht="15.75" outlineLevel="1" thickBot="1">
      <c r="B31"/>
      <c r="E31" s="147"/>
      <c r="F31" s="147"/>
      <c r="G31" s="147"/>
      <c r="H31" s="147"/>
      <c r="I31" s="159"/>
      <c r="J31" s="147"/>
      <c r="K31" s="147"/>
      <c r="L31" s="147"/>
      <c r="M31" s="147"/>
      <c r="N31" s="147"/>
      <c r="AA31" s="176"/>
      <c r="AB31" s="175"/>
    </row>
    <row r="32" spans="1:31" s="135" customFormat="1" ht="15.75" outlineLevel="1" thickBot="1">
      <c r="B32" s="129" t="s">
        <v>174</v>
      </c>
      <c r="E32" s="147"/>
      <c r="F32" s="147"/>
      <c r="G32" s="147"/>
      <c r="H32" s="147"/>
      <c r="I32" s="159"/>
      <c r="J32" s="147"/>
      <c r="K32" s="147"/>
      <c r="L32" s="147"/>
      <c r="M32" s="147"/>
      <c r="N32" s="147"/>
      <c r="AA32" s="176"/>
      <c r="AB32" s="175"/>
    </row>
    <row r="33" spans="1:30" s="135" customFormat="1" ht="15.75" outlineLevel="1" thickBot="1">
      <c r="B33" s="129" t="s">
        <v>163</v>
      </c>
      <c r="E33" s="147"/>
      <c r="F33" s="147"/>
      <c r="G33" s="147"/>
      <c r="H33" s="147"/>
      <c r="I33" s="159"/>
      <c r="J33" s="147"/>
      <c r="K33" s="147"/>
      <c r="L33" s="147"/>
      <c r="M33" s="147"/>
      <c r="N33" s="147"/>
      <c r="AA33" s="176"/>
      <c r="AB33" s="175"/>
    </row>
    <row r="34" spans="1:30" s="135" customFormat="1" ht="15.75" outlineLevel="1" thickBot="1">
      <c r="B34"/>
      <c r="E34" s="147"/>
      <c r="F34" s="147"/>
      <c r="G34" s="147"/>
      <c r="H34" s="147"/>
      <c r="I34" s="159"/>
      <c r="J34" s="147"/>
      <c r="K34" s="147"/>
      <c r="L34" s="147"/>
      <c r="M34" s="147"/>
      <c r="N34" s="147"/>
      <c r="AA34" s="176"/>
      <c r="AB34" s="175"/>
    </row>
    <row r="35" spans="1:30" s="135" customFormat="1" ht="15.75" outlineLevel="1" thickBot="1">
      <c r="B35" s="129" t="s">
        <v>173</v>
      </c>
      <c r="E35" s="147"/>
      <c r="F35" s="147"/>
      <c r="G35" s="147"/>
      <c r="H35" s="147"/>
      <c r="I35" s="159"/>
      <c r="J35" s="147"/>
      <c r="K35" s="147"/>
      <c r="L35" s="147"/>
      <c r="M35" s="147"/>
      <c r="N35" s="147"/>
      <c r="AA35" s="176"/>
      <c r="AB35" s="175"/>
    </row>
    <row r="36" spans="1:30" s="135" customFormat="1" ht="15.75" outlineLevel="1" thickBot="1">
      <c r="B36" s="129" t="s">
        <v>163</v>
      </c>
      <c r="E36" s="147"/>
      <c r="F36" s="147"/>
      <c r="G36" s="147"/>
      <c r="H36" s="147"/>
      <c r="I36" s="159"/>
      <c r="J36" s="147"/>
      <c r="K36" s="147"/>
      <c r="L36" s="147"/>
      <c r="M36" s="147"/>
      <c r="N36" s="147"/>
      <c r="AA36" s="176"/>
      <c r="AB36" s="175"/>
    </row>
    <row r="37" spans="1:30" s="135" customFormat="1" ht="15.75" outlineLevel="1" thickBot="1">
      <c r="E37" s="147"/>
      <c r="F37" s="147"/>
      <c r="G37" s="147"/>
      <c r="H37" s="147"/>
      <c r="I37" s="159"/>
      <c r="J37" s="147"/>
      <c r="K37" s="147"/>
      <c r="L37" s="147"/>
      <c r="M37" s="147"/>
      <c r="N37" s="147"/>
      <c r="AA37" s="176"/>
      <c r="AB37" s="175"/>
    </row>
    <row r="38" spans="1:30" s="135" customFormat="1" ht="15.75" outlineLevel="1" thickBot="1">
      <c r="B38" s="135" t="s">
        <v>172</v>
      </c>
      <c r="E38" s="158"/>
      <c r="F38" s="158"/>
      <c r="G38" s="158"/>
      <c r="H38" s="158"/>
      <c r="I38" s="157"/>
      <c r="J38" s="147"/>
      <c r="K38" s="147"/>
      <c r="L38" s="147"/>
      <c r="M38" s="147"/>
      <c r="N38" s="147"/>
      <c r="AA38" s="176"/>
      <c r="AB38" s="175"/>
    </row>
    <row r="39" spans="1:30" s="135" customFormat="1" ht="15.75" outlineLevel="1" thickBot="1">
      <c r="B39" s="156" t="s">
        <v>171</v>
      </c>
      <c r="E39" s="155"/>
      <c r="F39" s="155"/>
      <c r="G39" s="155"/>
      <c r="H39" s="155"/>
      <c r="I39" s="132"/>
      <c r="J39" s="154"/>
      <c r="K39" s="153"/>
      <c r="L39" s="153"/>
      <c r="M39" s="153"/>
      <c r="N39" s="153"/>
      <c r="AA39" s="176"/>
      <c r="AB39" s="175"/>
    </row>
    <row r="40" spans="1:30" ht="15.75" thickBot="1">
      <c r="I40" s="128"/>
      <c r="J40">
        <v>1</v>
      </c>
      <c r="K40">
        <f>J40+1</f>
        <v>2</v>
      </c>
      <c r="L40">
        <f>K40+1</f>
        <v>3</v>
      </c>
      <c r="M40">
        <f>L40+1</f>
        <v>4</v>
      </c>
      <c r="N40">
        <f>M40+1</f>
        <v>5</v>
      </c>
      <c r="O40" s="9"/>
      <c r="P40" s="9"/>
      <c r="AA40" s="176"/>
      <c r="AB40" s="175"/>
    </row>
    <row r="41" spans="1:30" ht="15.75" thickBot="1">
      <c r="A41" t="s">
        <v>139</v>
      </c>
      <c r="B41" s="150" t="s">
        <v>170</v>
      </c>
      <c r="C41" s="152"/>
      <c r="D41" s="152"/>
      <c r="E41" s="150">
        <f t="shared" ref="E41:N41" si="4">E22</f>
        <v>2019</v>
      </c>
      <c r="F41" s="150">
        <f t="shared" si="4"/>
        <v>2020</v>
      </c>
      <c r="G41" s="150">
        <f t="shared" si="4"/>
        <v>2021</v>
      </c>
      <c r="H41" s="150">
        <f t="shared" si="4"/>
        <v>2022</v>
      </c>
      <c r="I41" s="151" t="str">
        <f t="shared" si="4"/>
        <v>ttm</v>
      </c>
      <c r="J41" s="150">
        <f t="shared" si="4"/>
        <v>2024</v>
      </c>
      <c r="K41" s="150">
        <f t="shared" si="4"/>
        <v>2025</v>
      </c>
      <c r="L41" s="150">
        <f t="shared" si="4"/>
        <v>2026</v>
      </c>
      <c r="M41" s="150">
        <f t="shared" si="4"/>
        <v>2027</v>
      </c>
      <c r="N41" s="150">
        <f t="shared" si="4"/>
        <v>2028</v>
      </c>
      <c r="O41" s="184"/>
      <c r="P41" s="184"/>
      <c r="AA41" s="176"/>
      <c r="AB41" s="175"/>
    </row>
    <row r="42" spans="1:30" ht="15.75" thickBot="1">
      <c r="B42" t="s">
        <v>169</v>
      </c>
      <c r="E42" s="139"/>
      <c r="F42" s="139"/>
      <c r="G42" s="139"/>
      <c r="H42" s="139"/>
      <c r="I42" s="182">
        <v>574785</v>
      </c>
      <c r="J42" s="182">
        <v>633224.74285714282</v>
      </c>
      <c r="K42" s="182">
        <v>672801.28928571427</v>
      </c>
      <c r="L42" s="182">
        <v>712377.83571428573</v>
      </c>
      <c r="M42" s="182">
        <v>751954.38214285707</v>
      </c>
      <c r="N42" s="182">
        <v>791530.92857142852</v>
      </c>
      <c r="AA42" s="176"/>
      <c r="AB42" s="175"/>
    </row>
    <row r="43" spans="1:30" ht="15.75" thickBot="1">
      <c r="B43" s="129" t="s">
        <v>163</v>
      </c>
      <c r="E43" s="146"/>
      <c r="F43" s="146"/>
      <c r="G43" s="146"/>
      <c r="H43" s="146"/>
      <c r="I43" s="160"/>
      <c r="J43" s="154">
        <v>0.1016723520223089</v>
      </c>
      <c r="K43" s="154">
        <v>6.2500000000000042E-2</v>
      </c>
      <c r="L43" s="154">
        <v>5.8823529411764747E-2</v>
      </c>
      <c r="M43" s="154">
        <v>5.5555555555555428E-2</v>
      </c>
      <c r="N43" s="154">
        <v>5.263157894736846E-2</v>
      </c>
      <c r="U43" s="135"/>
      <c r="Y43" s="149"/>
      <c r="Z43" s="149"/>
      <c r="AA43" s="176"/>
      <c r="AB43" s="175"/>
    </row>
    <row r="44" spans="1:30" ht="15.75" thickBot="1">
      <c r="B44" t="s">
        <v>162</v>
      </c>
      <c r="I44" s="128"/>
      <c r="Y44" s="149"/>
      <c r="Z44" s="149"/>
      <c r="AA44" s="176"/>
      <c r="AB44" s="175"/>
    </row>
    <row r="45" spans="1:30" ht="15.75" thickBot="1">
      <c r="I45" s="128"/>
      <c r="Y45" s="149"/>
      <c r="Z45" s="149"/>
      <c r="AA45" s="176"/>
      <c r="AB45" s="175"/>
    </row>
    <row r="46" spans="1:30" ht="15.75" thickBot="1">
      <c r="B46" s="138" t="s">
        <v>168</v>
      </c>
      <c r="E46" s="139"/>
      <c r="F46" s="139"/>
      <c r="G46" s="139"/>
      <c r="H46" s="139"/>
      <c r="I46" s="183">
        <v>36852</v>
      </c>
      <c r="J46" s="181">
        <f>Q46</f>
        <v>44222.400000000001</v>
      </c>
      <c r="K46" s="181">
        <f t="shared" ref="K46:N46" si="5">R46</f>
        <v>53066.880000000005</v>
      </c>
      <c r="L46" s="181">
        <f t="shared" si="5"/>
        <v>63680.256000000008</v>
      </c>
      <c r="M46" s="181">
        <f t="shared" si="5"/>
        <v>76416.30720000001</v>
      </c>
      <c r="N46" s="181">
        <f t="shared" si="5"/>
        <v>91699.568640000012</v>
      </c>
      <c r="P46" s="185">
        <v>2024</v>
      </c>
      <c r="Q46" s="79">
        <v>44222.400000000001</v>
      </c>
      <c r="R46" s="79">
        <v>53066.880000000005</v>
      </c>
      <c r="S46" s="79">
        <v>63680.256000000008</v>
      </c>
      <c r="T46" s="79">
        <v>76416.30720000001</v>
      </c>
      <c r="U46" s="79">
        <v>91699.568640000012</v>
      </c>
      <c r="V46" s="104"/>
      <c r="W46" s="104"/>
      <c r="X46" s="104"/>
      <c r="Y46" s="104"/>
      <c r="Z46" s="104"/>
      <c r="AA46" s="176"/>
      <c r="AB46" s="175"/>
    </row>
    <row r="47" spans="1:30" ht="15.75" thickBot="1">
      <c r="B47" s="129" t="s">
        <v>163</v>
      </c>
      <c r="E47" s="146"/>
      <c r="F47" s="146"/>
      <c r="G47" s="146"/>
      <c r="H47" s="146"/>
      <c r="I47" s="160"/>
      <c r="J47" s="154">
        <v>0.13460327797677199</v>
      </c>
      <c r="K47" s="154">
        <v>0.14285714285714279</v>
      </c>
      <c r="L47" s="154">
        <v>0.12499999999999994</v>
      </c>
      <c r="M47" s="154">
        <v>0.1111111111111112</v>
      </c>
      <c r="N47" s="154">
        <v>9.999999999999995E-2</v>
      </c>
      <c r="P47" s="185">
        <v>2025</v>
      </c>
      <c r="V47" s="148"/>
      <c r="W47" s="148"/>
      <c r="X47" s="148"/>
      <c r="Y47" s="148"/>
      <c r="Z47" s="148"/>
      <c r="AA47" s="176"/>
      <c r="AB47" s="175"/>
    </row>
    <row r="48" spans="1:30" ht="15.75" thickBot="1">
      <c r="B48" t="s">
        <v>162</v>
      </c>
      <c r="C48" s="148"/>
      <c r="D48" s="148"/>
      <c r="E48" s="148"/>
      <c r="F48" s="148"/>
      <c r="G48" s="148"/>
      <c r="H48" s="148"/>
      <c r="I48" s="187">
        <f>I46/I42</f>
        <v>6.4114407996033296E-2</v>
      </c>
      <c r="J48" s="148">
        <f>J46/J42</f>
        <v>6.9836816231258189E-2</v>
      </c>
      <c r="K48" s="148">
        <f>K46/K42</f>
        <v>7.8874521861185709E-2</v>
      </c>
      <c r="L48" s="148">
        <f t="shared" ref="L48:M48" si="6">L46/L42</f>
        <v>8.939112477601048E-2</v>
      </c>
      <c r="M48" s="148">
        <f t="shared" si="6"/>
        <v>0.1016235944822014</v>
      </c>
      <c r="N48" s="148">
        <f>N46/N42</f>
        <v>0.11585089770970959</v>
      </c>
      <c r="P48" s="185">
        <v>2026</v>
      </c>
      <c r="U48" s="135"/>
      <c r="Y48" s="147"/>
      <c r="Z48" s="147"/>
      <c r="AA48" s="176"/>
      <c r="AB48" s="175"/>
      <c r="AC48" s="135"/>
      <c r="AD48" s="135"/>
    </row>
    <row r="49" spans="2:30" ht="15.75" thickBot="1">
      <c r="I49" s="128"/>
      <c r="P49" s="185">
        <v>2027</v>
      </c>
      <c r="U49" s="135"/>
      <c r="Y49" s="147"/>
      <c r="Z49" s="147"/>
      <c r="AA49" s="176"/>
      <c r="AB49" s="175"/>
      <c r="AC49" s="135"/>
      <c r="AD49" s="135"/>
    </row>
    <row r="50" spans="2:30" ht="15.75" thickBot="1">
      <c r="B50" s="138" t="s">
        <v>167</v>
      </c>
      <c r="C50" s="148"/>
      <c r="D50" s="148"/>
      <c r="E50" s="189"/>
      <c r="F50" s="189"/>
      <c r="G50" s="189"/>
      <c r="H50" s="189"/>
      <c r="I50" s="190"/>
      <c r="J50" s="191">
        <v>0.18</v>
      </c>
      <c r="K50" s="191">
        <f>R63</f>
        <v>0.152</v>
      </c>
      <c r="L50" s="191">
        <f>K50</f>
        <v>0.152</v>
      </c>
      <c r="M50" s="191">
        <f t="shared" ref="M50:N50" si="7">L50</f>
        <v>0.152</v>
      </c>
      <c r="N50" s="191">
        <f t="shared" si="7"/>
        <v>0.152</v>
      </c>
      <c r="O50" s="148"/>
      <c r="P50" s="185">
        <v>2028</v>
      </c>
      <c r="U50" s="135"/>
      <c r="Y50" s="147"/>
      <c r="Z50" s="147"/>
      <c r="AA50" s="176"/>
      <c r="AB50" s="175"/>
      <c r="AC50" s="135"/>
      <c r="AD50" s="135"/>
    </row>
    <row r="51" spans="2:30" ht="15.75" thickBot="1">
      <c r="B51" s="129" t="s">
        <v>163</v>
      </c>
      <c r="E51" s="146"/>
      <c r="F51" s="146"/>
      <c r="G51" s="146"/>
      <c r="H51" s="146"/>
      <c r="I51" s="145"/>
      <c r="J51" s="144"/>
      <c r="K51" s="203">
        <f>(K50-J50)/J50</f>
        <v>-0.15555555555555556</v>
      </c>
      <c r="L51" s="203">
        <f t="shared" ref="L51:N51" si="8">(L50-K50)/K50</f>
        <v>0</v>
      </c>
      <c r="M51" s="203">
        <f t="shared" si="8"/>
        <v>0</v>
      </c>
      <c r="N51" s="203">
        <f t="shared" si="8"/>
        <v>0</v>
      </c>
      <c r="U51" s="135"/>
      <c r="Y51" s="141"/>
      <c r="Z51" s="141"/>
      <c r="AA51" s="176"/>
      <c r="AB51" s="175"/>
      <c r="AC51" s="135"/>
      <c r="AD51" s="135"/>
    </row>
    <row r="52" spans="2:30" ht="15.75" thickBot="1">
      <c r="B52" t="s">
        <v>162</v>
      </c>
      <c r="I52" s="128"/>
      <c r="U52" s="135"/>
      <c r="Y52" s="143"/>
      <c r="Z52" s="143"/>
      <c r="AA52" s="176"/>
      <c r="AB52" s="175"/>
      <c r="AC52" s="143"/>
      <c r="AD52" s="143"/>
    </row>
    <row r="53" spans="2:30" ht="15.75" thickBot="1">
      <c r="I53" s="128"/>
      <c r="U53" s="135"/>
      <c r="Y53" s="143"/>
      <c r="Z53" s="143"/>
      <c r="AA53" s="176"/>
      <c r="AB53" s="175"/>
      <c r="AC53" s="143"/>
      <c r="AD53" s="143"/>
    </row>
    <row r="54" spans="2:30" ht="15.75" thickBot="1">
      <c r="B54" s="193" t="s">
        <v>229</v>
      </c>
      <c r="C54" s="193"/>
      <c r="D54" s="193"/>
      <c r="E54" s="193"/>
      <c r="F54" s="193"/>
      <c r="G54" s="193"/>
      <c r="H54" s="193"/>
      <c r="I54" s="194"/>
      <c r="J54" s="195">
        <f>K54</f>
        <v>-5793.7168253967538</v>
      </c>
      <c r="K54" s="195">
        <f>'DCF estimations'!AC110</f>
        <v>-5793.7168253967538</v>
      </c>
      <c r="L54" s="195">
        <f>'DCF estimations'!AC111</f>
        <v>-6044.6995434612036</v>
      </c>
      <c r="M54" s="195">
        <f>'DCF estimations'!AC112</f>
        <v>-6250.9809818100184</v>
      </c>
      <c r="N54" s="195">
        <f>'DCF estimations'!AC113</f>
        <v>-6548.2317691389471</v>
      </c>
      <c r="U54" s="135"/>
      <c r="Y54" s="143"/>
      <c r="Z54" s="143"/>
      <c r="AA54" s="176"/>
      <c r="AB54" s="175"/>
      <c r="AC54" s="143"/>
      <c r="AD54" s="143"/>
    </row>
    <row r="55" spans="2:30" ht="15.75" thickBot="1">
      <c r="B55" t="s">
        <v>163</v>
      </c>
      <c r="I55" s="128"/>
      <c r="K55" s="148">
        <f>(K54-J54)/J54</f>
        <v>0</v>
      </c>
      <c r="L55" s="148">
        <f t="shared" ref="L55:M55" si="9">(L54-K54)/K54</f>
        <v>4.3319811034648284E-2</v>
      </c>
      <c r="M55" s="148">
        <f t="shared" si="9"/>
        <v>3.4126003594663001E-2</v>
      </c>
      <c r="N55" s="148">
        <f>(N54-M54)/M54</f>
        <v>4.7552662245159721E-2</v>
      </c>
      <c r="U55" s="135"/>
      <c r="Y55" s="143"/>
      <c r="Z55" s="143"/>
      <c r="AA55" s="176"/>
      <c r="AB55" s="175"/>
      <c r="AC55" s="143"/>
      <c r="AD55" s="143"/>
    </row>
    <row r="56" spans="2:30" ht="15.75" thickBot="1">
      <c r="B56" s="138" t="s">
        <v>164</v>
      </c>
      <c r="I56" s="128"/>
      <c r="J56" s="193">
        <f>'DCF estimations'!K113</f>
        <v>52968.114285714284</v>
      </c>
      <c r="K56" s="193">
        <f>'DCF estimations'!K114</f>
        <v>56278.621428571423</v>
      </c>
      <c r="L56" s="193">
        <f>'DCF estimations'!K115</f>
        <v>59589.12857142857</v>
      </c>
      <c r="M56" s="193">
        <f>'DCF estimations'!K116</f>
        <v>62899.635714285716</v>
      </c>
      <c r="N56" s="193">
        <f>'DCF estimations'!K117</f>
        <v>66210.142857142855</v>
      </c>
      <c r="U56" s="135"/>
      <c r="Y56" s="143"/>
      <c r="Z56" s="143"/>
      <c r="AA56" s="176"/>
      <c r="AB56" s="175"/>
      <c r="AC56" s="143"/>
      <c r="AD56" s="143"/>
    </row>
    <row r="57" spans="2:30" ht="15.75" thickBot="1">
      <c r="I57" s="128"/>
      <c r="U57" s="135"/>
      <c r="Y57" s="143"/>
      <c r="Z57" s="143"/>
      <c r="AA57" s="176"/>
      <c r="AB57" s="175"/>
      <c r="AC57" s="143"/>
      <c r="AD57" s="143"/>
    </row>
    <row r="58" spans="2:30" ht="19.5" thickBot="1">
      <c r="B58" s="138" t="s">
        <v>166</v>
      </c>
      <c r="C58" s="33"/>
      <c r="D58" s="33"/>
      <c r="E58" s="33"/>
      <c r="F58" s="33"/>
      <c r="G58" s="33"/>
      <c r="H58" s="33"/>
      <c r="I58" s="142"/>
      <c r="J58" s="196">
        <f>J54+J56</f>
        <v>47174.39746031753</v>
      </c>
      <c r="K58" s="196">
        <f t="shared" ref="K58:N58" si="10">K54+K56</f>
        <v>50484.904603174669</v>
      </c>
      <c r="L58" s="196">
        <f t="shared" si="10"/>
        <v>53544.429027967366</v>
      </c>
      <c r="M58" s="196">
        <f t="shared" si="10"/>
        <v>56648.654732475698</v>
      </c>
      <c r="N58" s="196">
        <f t="shared" si="10"/>
        <v>59661.911088003908</v>
      </c>
      <c r="O58" s="188" t="s">
        <v>187</v>
      </c>
      <c r="U58" s="135"/>
      <c r="Y58" s="141"/>
      <c r="Z58" s="141"/>
      <c r="AA58" s="176"/>
      <c r="AB58" s="175"/>
      <c r="AC58" s="141"/>
      <c r="AD58" s="141"/>
    </row>
    <row r="59" spans="2:30" ht="15.75" thickBot="1">
      <c r="B59" s="129" t="s">
        <v>163</v>
      </c>
      <c r="I59" s="128"/>
      <c r="J59" s="148"/>
      <c r="K59" s="148">
        <f>(K58-J58)/J58</f>
        <v>7.0175928492608591E-2</v>
      </c>
      <c r="L59" s="148">
        <f t="shared" ref="L59:N59" si="11">(L58-K58)/K58</f>
        <v>6.0602757375524542E-2</v>
      </c>
      <c r="M59" s="148">
        <f t="shared" si="11"/>
        <v>5.7974765271788221E-2</v>
      </c>
      <c r="N59" s="148">
        <f t="shared" si="11"/>
        <v>5.319201964739266E-2</v>
      </c>
      <c r="U59" s="135"/>
      <c r="Y59" s="135"/>
      <c r="Z59" s="135"/>
      <c r="AA59" s="176"/>
      <c r="AB59" s="175"/>
      <c r="AC59" s="135"/>
      <c r="AD59" s="135"/>
    </row>
    <row r="60" spans="2:30" ht="15.75" thickBot="1">
      <c r="B60" t="s">
        <v>162</v>
      </c>
      <c r="E60" s="139"/>
      <c r="F60" s="139"/>
      <c r="G60" s="139"/>
      <c r="H60" s="139"/>
      <c r="I60" s="140"/>
      <c r="J60" s="139"/>
      <c r="K60" s="139"/>
      <c r="L60" s="139"/>
      <c r="M60" s="139"/>
      <c r="N60" s="139"/>
      <c r="O60" s="232" t="s">
        <v>360</v>
      </c>
      <c r="P60" s="233"/>
      <c r="Q60" s="233"/>
      <c r="R60" s="233"/>
      <c r="S60" s="233"/>
      <c r="T60" s="233"/>
      <c r="U60" s="234"/>
      <c r="AA60" s="176"/>
      <c r="AB60" s="175"/>
    </row>
    <row r="61" spans="2:30" ht="15.75" thickBot="1">
      <c r="E61" s="139"/>
      <c r="F61" s="139"/>
      <c r="G61" s="139"/>
      <c r="H61" s="139"/>
      <c r="I61" s="140"/>
      <c r="J61" s="139"/>
      <c r="K61" s="139"/>
      <c r="L61" s="139"/>
      <c r="M61" s="139"/>
      <c r="N61" s="139"/>
      <c r="U61" s="135"/>
      <c r="AA61" s="176"/>
      <c r="AB61" s="175"/>
    </row>
    <row r="62" spans="2:30" ht="15.75" thickBot="1">
      <c r="B62" s="138" t="s">
        <v>165</v>
      </c>
      <c r="E62" s="137"/>
      <c r="F62" s="137"/>
      <c r="G62" s="137"/>
      <c r="H62" s="137"/>
      <c r="I62" s="136"/>
      <c r="J62" s="193">
        <v>-11000</v>
      </c>
      <c r="K62" s="193">
        <v>-11000</v>
      </c>
      <c r="L62" s="193">
        <v>-11000</v>
      </c>
      <c r="M62" s="193">
        <v>-11000</v>
      </c>
      <c r="N62" s="193">
        <v>-11000</v>
      </c>
      <c r="R62" s="36">
        <v>0.18</v>
      </c>
      <c r="U62" s="135"/>
      <c r="Y62" s="134"/>
      <c r="Z62" s="134"/>
      <c r="AA62" s="176"/>
      <c r="AB62" s="175"/>
    </row>
    <row r="63" spans="2:30" ht="15.75" thickBot="1">
      <c r="B63" s="129" t="s">
        <v>163</v>
      </c>
      <c r="E63" s="131"/>
      <c r="F63" s="131"/>
      <c r="G63" s="131"/>
      <c r="H63" s="131"/>
      <c r="I63" s="132"/>
      <c r="J63" s="131"/>
      <c r="K63" s="130"/>
      <c r="L63" s="130"/>
      <c r="M63" s="130"/>
      <c r="N63" s="130"/>
      <c r="R63" s="36">
        <f>15.2%</f>
        <v>0.152</v>
      </c>
      <c r="AA63" s="176"/>
      <c r="AB63" s="175"/>
    </row>
    <row r="64" spans="2:30" ht="15.75" thickBot="1">
      <c r="B64" s="129"/>
      <c r="E64" s="131"/>
      <c r="F64" s="131"/>
      <c r="G64" s="131"/>
      <c r="H64" s="131"/>
      <c r="I64" s="132"/>
      <c r="J64" s="131"/>
      <c r="K64" s="130"/>
      <c r="L64" s="130"/>
      <c r="M64" s="130"/>
      <c r="N64" s="130"/>
      <c r="P64">
        <v>1</v>
      </c>
      <c r="R64" s="36">
        <f>R63</f>
        <v>0.152</v>
      </c>
      <c r="AA64" s="176"/>
      <c r="AB64" s="175"/>
    </row>
    <row r="65" spans="1:28" ht="15.75" thickBot="1">
      <c r="B65" s="133" t="s">
        <v>164</v>
      </c>
      <c r="E65" s="131"/>
      <c r="F65" s="131"/>
      <c r="G65" s="131"/>
      <c r="H65" s="131"/>
      <c r="I65" s="132"/>
      <c r="J65" s="193">
        <v>52968.114285714284</v>
      </c>
      <c r="K65" s="193">
        <v>56278.621428571423</v>
      </c>
      <c r="L65" s="193">
        <v>59589.12857142857</v>
      </c>
      <c r="M65" s="193">
        <v>62899.635714285716</v>
      </c>
      <c r="N65" s="193">
        <v>66210.142857142855</v>
      </c>
      <c r="R65" s="36">
        <f>R63</f>
        <v>0.152</v>
      </c>
      <c r="AA65" s="176"/>
      <c r="AB65" s="175"/>
    </row>
    <row r="66" spans="1:28" ht="15.75" thickBot="1">
      <c r="B66" s="129" t="s">
        <v>163</v>
      </c>
      <c r="I66" s="128"/>
      <c r="R66" s="36">
        <f>R65</f>
        <v>0.152</v>
      </c>
      <c r="AA66" s="176"/>
      <c r="AB66" s="175"/>
    </row>
    <row r="67" spans="1:28" ht="15.75" thickBot="1">
      <c r="B67" t="s">
        <v>162</v>
      </c>
      <c r="I67" s="128"/>
      <c r="AA67" s="176"/>
      <c r="AB67" s="175"/>
    </row>
    <row r="68" spans="1:28" ht="15.75" thickBot="1">
      <c r="I68" s="128"/>
      <c r="J68">
        <v>1</v>
      </c>
      <c r="K68">
        <v>2</v>
      </c>
      <c r="L68">
        <v>3</v>
      </c>
      <c r="M68">
        <v>4</v>
      </c>
      <c r="N68">
        <v>5</v>
      </c>
      <c r="AA68" s="176"/>
      <c r="AB68" s="175"/>
    </row>
    <row r="69" spans="1:28" ht="15.75" thickBot="1">
      <c r="C69" s="33"/>
      <c r="D69" s="33"/>
      <c r="E69" s="33"/>
      <c r="F69" s="33"/>
      <c r="G69" s="33"/>
      <c r="H69" s="127" t="s">
        <v>161</v>
      </c>
      <c r="I69" s="126"/>
      <c r="J69" s="125">
        <f>J46*(1-J50)-J54-J62</f>
        <v>53056.084825396756</v>
      </c>
      <c r="K69" s="125">
        <f>K46*(1-K50)-K54-K62</f>
        <v>61794.431065396755</v>
      </c>
      <c r="L69" s="125">
        <f t="shared" ref="L69:N69" si="12">L46*(1-L50)-L54-L62</f>
        <v>71045.556631461208</v>
      </c>
      <c r="M69" s="125">
        <f t="shared" si="12"/>
        <v>82052.009487410018</v>
      </c>
      <c r="N69" s="125">
        <f t="shared" si="12"/>
        <v>95309.465975858955</v>
      </c>
      <c r="P69" s="124"/>
      <c r="AA69" s="176"/>
      <c r="AB69" s="175"/>
    </row>
    <row r="70" spans="1:28" ht="15.75" thickBot="1">
      <c r="A70" t="s">
        <v>340</v>
      </c>
      <c r="C70" s="33"/>
      <c r="D70" s="33"/>
      <c r="E70" s="33"/>
      <c r="F70" s="33"/>
      <c r="G70" s="33"/>
      <c r="H70" s="296" t="s">
        <v>128</v>
      </c>
      <c r="I70" s="297"/>
      <c r="J70" s="206">
        <f>WACC!I12</f>
        <v>0.10455081648322602</v>
      </c>
      <c r="K70" s="206">
        <f>WACC!I13</f>
        <v>0.10498938058777225</v>
      </c>
      <c r="L70" s="206">
        <f>WACC!I14</f>
        <v>0.10080201476295884</v>
      </c>
      <c r="M70" s="206">
        <f>WACC!I15</f>
        <v>9.6324186332645126E-2</v>
      </c>
      <c r="N70" s="206">
        <f>WACC!I16</f>
        <v>9.1108330970312901E-2</v>
      </c>
      <c r="P70" s="124"/>
      <c r="AA70" s="176"/>
      <c r="AB70" s="175"/>
    </row>
    <row r="71" spans="1:28" ht="15.75" thickBot="1">
      <c r="C71" s="33"/>
      <c r="D71" s="33"/>
      <c r="E71" s="33"/>
      <c r="F71" s="33"/>
      <c r="G71" s="33"/>
      <c r="H71" s="123" t="s">
        <v>160</v>
      </c>
      <c r="I71" s="205"/>
      <c r="J71" s="207">
        <f>J69/((1+J70)^J68)</f>
        <v>48034.082301728558</v>
      </c>
      <c r="K71" s="208">
        <f t="shared" ref="K71:N71" si="13">K69/((1+K70)^K68)</f>
        <v>50609.626184555738</v>
      </c>
      <c r="L71" s="208">
        <f t="shared" si="13"/>
        <v>53260.9948095277</v>
      </c>
      <c r="M71" s="208">
        <f t="shared" si="13"/>
        <v>56798.025755361356</v>
      </c>
      <c r="N71" s="209">
        <f t="shared" si="13"/>
        <v>61630.639954123712</v>
      </c>
      <c r="O71" s="212">
        <f>SUM(J71:N71)</f>
        <v>270333.36900529708</v>
      </c>
      <c r="AA71" s="176"/>
      <c r="AB71" s="175"/>
    </row>
    <row r="72" spans="1:28" ht="15.75" thickBot="1">
      <c r="J72" s="122"/>
      <c r="K72" s="240">
        <f>(K71-J71)/J71</f>
        <v>5.3619092098996887E-2</v>
      </c>
      <c r="L72" s="240">
        <f t="shared" ref="L72:N72" si="14">(L71-K71)/K71</f>
        <v>5.2388622972699701E-2</v>
      </c>
      <c r="M72" s="240">
        <f t="shared" si="14"/>
        <v>6.640940445222264E-2</v>
      </c>
      <c r="N72" s="240">
        <f t="shared" si="14"/>
        <v>8.5084193235469799E-2</v>
      </c>
      <c r="AA72" s="176"/>
      <c r="AB72" s="175"/>
    </row>
    <row r="73" spans="1:28" ht="15.75" thickBot="1">
      <c r="B73" s="210" t="s">
        <v>341</v>
      </c>
      <c r="C73" s="235">
        <v>0.04</v>
      </c>
      <c r="J73" s="122"/>
      <c r="AA73" s="176"/>
      <c r="AB73" s="175"/>
    </row>
    <row r="74" spans="1:28" ht="15.75" thickBot="1">
      <c r="A74" t="s">
        <v>139</v>
      </c>
      <c r="B74" t="s">
        <v>159</v>
      </c>
      <c r="J74" s="122"/>
      <c r="N74" s="204">
        <f>(N69*(1+C73))/(N70-C73)</f>
        <v>1939445.9324541402</v>
      </c>
      <c r="AA74" s="176"/>
      <c r="AB74" s="175"/>
    </row>
    <row r="75" spans="1:28" ht="15.75" thickBot="1">
      <c r="B75" s="118" t="s">
        <v>158</v>
      </c>
      <c r="C75" s="118"/>
      <c r="D75" s="118"/>
      <c r="E75" s="118"/>
      <c r="F75" s="118"/>
      <c r="G75" s="118"/>
      <c r="H75" s="118"/>
      <c r="I75" s="118"/>
      <c r="J75" s="118"/>
      <c r="K75" s="118"/>
      <c r="L75" s="118"/>
      <c r="M75" s="118"/>
      <c r="N75" s="211">
        <f>N74/((1+N70)^N68)</f>
        <v>1254117.7599698917</v>
      </c>
      <c r="AA75" s="176"/>
      <c r="AB75" s="175"/>
    </row>
    <row r="76" spans="1:28" ht="15.75" thickBot="1">
      <c r="B76" s="33" t="s">
        <v>157</v>
      </c>
      <c r="C76" s="33"/>
      <c r="D76" s="33"/>
      <c r="E76" s="33"/>
      <c r="F76" s="33"/>
      <c r="G76" s="33"/>
      <c r="H76" s="33"/>
      <c r="I76" s="33"/>
      <c r="J76" s="33"/>
      <c r="K76" s="33"/>
      <c r="L76" s="33"/>
      <c r="M76" s="33"/>
      <c r="N76" s="213">
        <f>O71+N75</f>
        <v>1524451.1289751888</v>
      </c>
      <c r="AA76" s="176"/>
      <c r="AB76" s="175"/>
    </row>
    <row r="77" spans="1:28" ht="15">
      <c r="B77" s="121" t="s">
        <v>156</v>
      </c>
      <c r="N77" s="120">
        <f>86780</f>
        <v>86780</v>
      </c>
      <c r="AA77" s="176"/>
      <c r="AB77" s="175"/>
    </row>
    <row r="78" spans="1:28">
      <c r="B78" s="119" t="s">
        <v>155</v>
      </c>
      <c r="C78" s="118"/>
      <c r="D78" s="118"/>
      <c r="E78" s="118"/>
      <c r="F78" s="118"/>
      <c r="G78" s="118"/>
      <c r="H78" s="118"/>
      <c r="I78" s="118"/>
      <c r="J78" s="118"/>
      <c r="K78" s="118"/>
      <c r="L78" s="118"/>
      <c r="M78" s="118"/>
      <c r="N78" s="83">
        <v>135611</v>
      </c>
    </row>
    <row r="79" spans="1:28" ht="15">
      <c r="B79" s="33" t="s">
        <v>154</v>
      </c>
      <c r="C79" s="33"/>
      <c r="D79" s="33"/>
      <c r="E79" s="33"/>
      <c r="F79" s="33"/>
      <c r="G79" s="33"/>
      <c r="H79" s="33"/>
      <c r="I79" s="33"/>
      <c r="J79" s="33"/>
      <c r="K79" s="33"/>
      <c r="L79" s="33"/>
      <c r="M79" s="33"/>
      <c r="N79" s="213">
        <f>N76+N77-N78</f>
        <v>1475620.1289751888</v>
      </c>
      <c r="O79" s="214"/>
    </row>
    <row r="80" spans="1:28">
      <c r="B80" s="118" t="s">
        <v>153</v>
      </c>
      <c r="C80" s="118"/>
      <c r="D80" s="118"/>
      <c r="E80" s="118"/>
      <c r="F80" s="118"/>
      <c r="G80" s="118"/>
      <c r="H80" s="118"/>
      <c r="I80" s="118"/>
      <c r="J80" s="118"/>
      <c r="K80" s="118"/>
      <c r="L80" s="118"/>
      <c r="M80" s="118"/>
      <c r="N80" s="117">
        <f>10.41*1000</f>
        <v>10410</v>
      </c>
    </row>
    <row r="81" spans="1:15" ht="15">
      <c r="A81" t="s">
        <v>139</v>
      </c>
      <c r="B81" s="33" t="s">
        <v>152</v>
      </c>
      <c r="C81" s="33"/>
      <c r="D81" s="33"/>
      <c r="E81" s="33"/>
      <c r="F81" s="33"/>
      <c r="G81" s="33"/>
      <c r="H81" s="33"/>
      <c r="I81" s="33"/>
      <c r="J81" s="33"/>
      <c r="K81" s="33"/>
      <c r="L81" s="33"/>
      <c r="M81" s="33"/>
      <c r="N81" s="215">
        <f>N79/N80</f>
        <v>141.75025254324581</v>
      </c>
      <c r="O81" s="244">
        <v>141.75</v>
      </c>
    </row>
    <row r="82" spans="1:15">
      <c r="M82" t="s">
        <v>365</v>
      </c>
      <c r="N82" t="s">
        <v>366</v>
      </c>
      <c r="O82" s="244">
        <v>186</v>
      </c>
    </row>
    <row r="83" spans="1:15" ht="15">
      <c r="B83" s="218"/>
      <c r="C83" s="218"/>
      <c r="D83" s="218"/>
      <c r="E83" s="218"/>
      <c r="F83" s="218"/>
      <c r="G83" s="218"/>
      <c r="H83" s="218"/>
      <c r="I83" s="218"/>
      <c r="J83" s="218"/>
      <c r="K83" s="218"/>
      <c r="L83" s="218"/>
      <c r="M83" s="218"/>
      <c r="N83" s="243">
        <f>(O81-O82)/O82</f>
        <v>-0.23790322580645162</v>
      </c>
    </row>
    <row r="84" spans="1:15" ht="15" thickBot="1"/>
    <row r="85" spans="1:15" ht="15">
      <c r="B85" s="246" t="s">
        <v>364</v>
      </c>
      <c r="C85" s="247"/>
      <c r="D85" s="247"/>
      <c r="E85" s="248"/>
      <c r="F85" s="248"/>
      <c r="G85" s="248"/>
      <c r="H85" s="248"/>
      <c r="I85" s="249"/>
      <c r="J85" s="249"/>
      <c r="K85" s="249"/>
      <c r="L85" s="249"/>
      <c r="M85" s="249"/>
      <c r="N85" s="250"/>
    </row>
    <row r="86" spans="1:15">
      <c r="B86" s="251" t="s">
        <v>367</v>
      </c>
      <c r="C86" s="9"/>
      <c r="D86" s="9"/>
      <c r="E86" s="9"/>
      <c r="F86" s="9"/>
      <c r="G86" s="9"/>
      <c r="H86" s="9"/>
      <c r="I86" s="9"/>
      <c r="J86" s="9"/>
      <c r="K86" s="9"/>
      <c r="L86" s="9"/>
      <c r="M86" s="9"/>
      <c r="N86" s="252"/>
    </row>
    <row r="87" spans="1:15">
      <c r="B87" s="253" t="s">
        <v>368</v>
      </c>
      <c r="C87" s="245"/>
      <c r="D87" s="245"/>
      <c r="E87" s="245"/>
      <c r="F87" s="245"/>
      <c r="G87" s="245"/>
      <c r="H87" s="245"/>
      <c r="I87" s="245"/>
      <c r="J87" s="245"/>
      <c r="K87" s="245"/>
      <c r="L87" s="245"/>
      <c r="M87" s="245"/>
      <c r="N87" s="254"/>
    </row>
    <row r="88" spans="1:15">
      <c r="B88" s="253" t="s">
        <v>369</v>
      </c>
      <c r="C88" s="255"/>
      <c r="D88" s="255"/>
      <c r="E88" s="219"/>
      <c r="F88" s="219"/>
      <c r="G88" s="219"/>
      <c r="H88" s="219"/>
      <c r="I88" s="219"/>
      <c r="J88" s="256"/>
      <c r="K88" s="256"/>
      <c r="L88" s="256"/>
      <c r="M88" s="256"/>
      <c r="N88" s="254"/>
    </row>
    <row r="89" spans="1:15">
      <c r="B89" s="257"/>
      <c r="C89" s="255"/>
      <c r="D89" s="255"/>
      <c r="E89" s="219"/>
      <c r="F89" s="219"/>
      <c r="G89" s="219"/>
      <c r="H89" s="219"/>
      <c r="I89" s="219"/>
      <c r="J89" s="258"/>
      <c r="K89" s="259"/>
      <c r="L89" s="258"/>
      <c r="M89" s="258"/>
      <c r="N89" s="260"/>
    </row>
    <row r="90" spans="1:15">
      <c r="B90" s="251" t="s">
        <v>370</v>
      </c>
      <c r="C90" s="9"/>
      <c r="D90" s="9"/>
      <c r="E90" s="9"/>
      <c r="F90" s="9"/>
      <c r="G90" s="9"/>
      <c r="H90" s="9"/>
      <c r="I90" s="9"/>
      <c r="J90" s="9"/>
      <c r="K90" s="9"/>
      <c r="L90" s="9"/>
      <c r="M90" s="9"/>
      <c r="N90" s="252"/>
    </row>
    <row r="91" spans="1:15" ht="15" thickBot="1">
      <c r="B91" s="261"/>
      <c r="C91" s="262"/>
      <c r="D91" s="262"/>
      <c r="E91" s="262"/>
      <c r="F91" s="262"/>
      <c r="G91" s="262"/>
      <c r="H91" s="262"/>
      <c r="I91" s="262"/>
      <c r="J91" s="263"/>
      <c r="K91" s="263"/>
      <c r="L91" s="263"/>
      <c r="M91" s="263"/>
      <c r="N91" s="264"/>
    </row>
    <row r="92" spans="1:15">
      <c r="B92" s="9"/>
      <c r="C92" s="9"/>
      <c r="D92" s="9"/>
      <c r="E92" s="9"/>
      <c r="F92" s="9"/>
      <c r="G92" s="9"/>
      <c r="H92" s="9"/>
      <c r="I92" s="9"/>
      <c r="J92" s="9"/>
      <c r="K92" s="9"/>
      <c r="L92" s="9"/>
      <c r="M92" s="9"/>
      <c r="N92" s="9"/>
    </row>
    <row r="93" spans="1:15" ht="15">
      <c r="B93" s="9"/>
      <c r="C93" s="97"/>
      <c r="D93" s="97"/>
      <c r="E93" s="97"/>
      <c r="F93" s="97"/>
      <c r="G93" s="97"/>
      <c r="H93" s="97"/>
      <c r="I93" s="9"/>
      <c r="J93" s="228"/>
      <c r="K93" s="228"/>
      <c r="L93" s="228"/>
      <c r="M93" s="228"/>
      <c r="N93" s="228"/>
    </row>
    <row r="94" spans="1:15" ht="15">
      <c r="B94" s="9"/>
      <c r="C94" s="97"/>
      <c r="D94" s="97"/>
      <c r="E94" s="97"/>
      <c r="F94" s="97"/>
      <c r="G94" s="97"/>
      <c r="H94" s="298"/>
      <c r="I94" s="298"/>
      <c r="J94" s="229"/>
      <c r="K94" s="229"/>
      <c r="L94" s="229"/>
      <c r="M94" s="229"/>
      <c r="N94" s="229"/>
    </row>
    <row r="95" spans="1:15" ht="15">
      <c r="B95" s="9"/>
      <c r="C95" s="97"/>
      <c r="D95" s="97"/>
      <c r="E95" s="97"/>
      <c r="F95" s="97"/>
      <c r="G95" s="97"/>
      <c r="H95" s="97"/>
      <c r="I95" s="9"/>
      <c r="J95" s="230"/>
      <c r="K95" s="230"/>
      <c r="L95" s="230"/>
      <c r="M95" s="230"/>
      <c r="N95" s="230"/>
    </row>
    <row r="96" spans="1:15">
      <c r="B96" s="9"/>
      <c r="C96" s="9"/>
      <c r="D96" s="9"/>
      <c r="E96" s="9"/>
      <c r="F96" s="9"/>
      <c r="G96" s="9"/>
      <c r="H96" s="9"/>
      <c r="I96" s="9"/>
      <c r="J96" s="222"/>
      <c r="K96" s="9"/>
      <c r="L96" s="9"/>
      <c r="M96" s="9"/>
      <c r="N96" s="9"/>
    </row>
    <row r="97" spans="2:14">
      <c r="B97" s="9"/>
      <c r="C97" s="221"/>
      <c r="D97" s="9"/>
      <c r="E97" s="9"/>
      <c r="F97" s="9"/>
      <c r="G97" s="9"/>
      <c r="H97" s="9"/>
      <c r="I97" s="9"/>
      <c r="J97" s="222"/>
      <c r="K97" s="9"/>
      <c r="L97" s="9"/>
      <c r="M97" s="9"/>
      <c r="N97" s="9"/>
    </row>
    <row r="98" spans="2:14">
      <c r="B98" s="9"/>
      <c r="C98" s="9"/>
      <c r="D98" s="9"/>
      <c r="E98" s="9"/>
      <c r="F98" s="9"/>
      <c r="G98" s="9"/>
      <c r="H98" s="9"/>
      <c r="I98" s="9"/>
      <c r="J98" s="222"/>
      <c r="K98" s="9"/>
      <c r="L98" s="9"/>
      <c r="M98" s="9"/>
      <c r="N98" s="179"/>
    </row>
    <row r="99" spans="2:14">
      <c r="B99" s="9"/>
      <c r="C99" s="9"/>
      <c r="D99" s="9"/>
      <c r="E99" s="9"/>
      <c r="F99" s="9"/>
      <c r="G99" s="9"/>
      <c r="H99" s="9"/>
      <c r="I99" s="9"/>
      <c r="J99" s="9"/>
      <c r="K99" s="9"/>
      <c r="L99" s="9"/>
      <c r="M99" s="9"/>
      <c r="N99" s="179"/>
    </row>
    <row r="100" spans="2:14" ht="15">
      <c r="B100" s="97"/>
      <c r="C100" s="97"/>
      <c r="D100" s="97"/>
      <c r="E100" s="97"/>
      <c r="F100" s="97"/>
      <c r="G100" s="97"/>
      <c r="H100" s="97"/>
      <c r="I100" s="97"/>
      <c r="J100" s="97"/>
      <c r="K100" s="97"/>
      <c r="L100" s="97"/>
      <c r="M100" s="97"/>
      <c r="N100" s="223"/>
    </row>
    <row r="101" spans="2:14">
      <c r="B101" s="220"/>
      <c r="C101" s="9"/>
      <c r="D101" s="9"/>
      <c r="E101" s="9"/>
      <c r="F101" s="9"/>
      <c r="G101" s="9"/>
      <c r="H101" s="9"/>
      <c r="I101" s="9"/>
      <c r="J101" s="9"/>
      <c r="K101" s="9"/>
      <c r="L101" s="9"/>
      <c r="M101" s="9"/>
      <c r="N101" s="224"/>
    </row>
    <row r="102" spans="2:14">
      <c r="B102" s="220"/>
      <c r="C102" s="9"/>
      <c r="D102" s="9"/>
      <c r="E102" s="9"/>
      <c r="F102" s="9"/>
      <c r="G102" s="9"/>
      <c r="H102" s="9"/>
      <c r="I102" s="9"/>
      <c r="J102" s="9"/>
      <c r="K102" s="9"/>
      <c r="L102" s="9"/>
      <c r="M102" s="9"/>
      <c r="N102" s="225"/>
    </row>
    <row r="103" spans="2:14" ht="15">
      <c r="B103" s="97"/>
      <c r="C103" s="97"/>
      <c r="D103" s="97"/>
      <c r="E103" s="97"/>
      <c r="F103" s="97"/>
      <c r="G103" s="97"/>
      <c r="H103" s="97"/>
      <c r="I103" s="97"/>
      <c r="J103" s="97"/>
      <c r="K103" s="97"/>
      <c r="L103" s="97"/>
      <c r="M103" s="97"/>
      <c r="N103" s="223"/>
    </row>
    <row r="104" spans="2:14">
      <c r="B104" s="9"/>
      <c r="C104" s="9"/>
      <c r="D104" s="9"/>
      <c r="E104" s="9"/>
      <c r="F104" s="9"/>
      <c r="G104" s="9"/>
      <c r="H104" s="9"/>
      <c r="I104" s="9"/>
      <c r="J104" s="9"/>
      <c r="K104" s="9"/>
      <c r="L104" s="9"/>
      <c r="M104" s="9"/>
      <c r="N104" s="226"/>
    </row>
    <row r="105" spans="2:14" ht="15">
      <c r="B105" s="97"/>
      <c r="C105" s="97"/>
      <c r="D105" s="97"/>
      <c r="E105" s="97"/>
      <c r="F105" s="97"/>
      <c r="G105" s="97"/>
      <c r="H105" s="97"/>
      <c r="I105" s="97"/>
      <c r="J105" s="97"/>
      <c r="K105" s="97"/>
      <c r="L105" s="97"/>
      <c r="M105" s="97"/>
      <c r="N105" s="227"/>
    </row>
    <row r="106" spans="2:14">
      <c r="B106" s="9"/>
      <c r="C106" s="9"/>
      <c r="D106" s="9"/>
      <c r="E106" s="9"/>
      <c r="F106" s="9"/>
      <c r="G106" s="9"/>
      <c r="H106" s="9"/>
      <c r="I106" s="9"/>
      <c r="J106" s="9"/>
      <c r="K106" s="9"/>
      <c r="L106" s="9"/>
      <c r="M106" s="9"/>
      <c r="N106" s="9"/>
    </row>
  </sheetData>
  <mergeCells count="3">
    <mergeCell ref="C2:N2"/>
    <mergeCell ref="H70:I70"/>
    <mergeCell ref="H94:I9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A1331-F176-44BC-9D20-4FF1B39F0B63}">
  <dimension ref="B2:AC257"/>
  <sheetViews>
    <sheetView topLeftCell="H43" zoomScaleNormal="100" workbookViewId="0">
      <selection activeCell="AC108" sqref="AC108"/>
    </sheetView>
  </sheetViews>
  <sheetFormatPr defaultRowHeight="14.25"/>
  <cols>
    <col min="6" max="6" width="15.5" customWidth="1"/>
    <col min="7" max="7" width="12" bestFit="1" customWidth="1"/>
    <col min="8" max="8" width="15.625" bestFit="1" customWidth="1"/>
    <col min="9" max="9" width="14.625" bestFit="1" customWidth="1"/>
    <col min="10" max="11" width="12" bestFit="1" customWidth="1"/>
    <col min="12" max="12" width="14" customWidth="1"/>
    <col min="15" max="15" width="13.375" customWidth="1"/>
    <col min="22" max="22" width="11" bestFit="1" customWidth="1"/>
    <col min="26" max="26" width="13.875" customWidth="1"/>
    <col min="28" max="28" width="13.875" customWidth="1"/>
    <col min="29" max="29" width="14.875" customWidth="1"/>
  </cols>
  <sheetData>
    <row r="2" spans="2:10" ht="15" thickBot="1">
      <c r="F2" t="s">
        <v>209</v>
      </c>
    </row>
    <row r="3" spans="2:10" ht="15.75" thickBot="1">
      <c r="B3" s="175"/>
      <c r="E3">
        <v>2009</v>
      </c>
      <c r="F3" s="79">
        <v>24509</v>
      </c>
      <c r="G3">
        <v>1</v>
      </c>
      <c r="I3" s="177" t="s">
        <v>208</v>
      </c>
    </row>
    <row r="4" spans="2:10" ht="15.75" thickBot="1">
      <c r="B4" s="175"/>
      <c r="C4" s="135"/>
      <c r="E4" s="135">
        <v>2010</v>
      </c>
      <c r="F4" s="179">
        <v>34204</v>
      </c>
      <c r="G4">
        <v>2</v>
      </c>
      <c r="I4" s="178" t="s">
        <v>207</v>
      </c>
    </row>
    <row r="5" spans="2:10" ht="15.75" thickBot="1">
      <c r="B5" s="175"/>
      <c r="C5" s="135"/>
      <c r="E5" s="135">
        <v>2011</v>
      </c>
      <c r="F5" s="179">
        <v>48007</v>
      </c>
      <c r="G5">
        <v>3</v>
      </c>
      <c r="I5" s="178" t="s">
        <v>206</v>
      </c>
    </row>
    <row r="6" spans="2:10" ht="15.75" thickBot="1">
      <c r="B6" s="175"/>
      <c r="C6" s="135"/>
      <c r="E6" s="135">
        <v>2012</v>
      </c>
      <c r="F6" s="179">
        <v>61093</v>
      </c>
      <c r="G6">
        <v>4</v>
      </c>
      <c r="I6" s="178" t="s">
        <v>205</v>
      </c>
      <c r="J6" s="80" t="str">
        <f>I6</f>
        <v>$61,093</v>
      </c>
    </row>
    <row r="7" spans="2:10" ht="15.75" thickBot="1">
      <c r="B7" s="175"/>
      <c r="C7" s="135"/>
      <c r="E7" s="135">
        <v>2013</v>
      </c>
      <c r="F7" s="179">
        <v>74452</v>
      </c>
      <c r="G7">
        <v>5</v>
      </c>
      <c r="I7" s="178" t="s">
        <v>204</v>
      </c>
    </row>
    <row r="8" spans="2:10" ht="15.75" thickBot="1">
      <c r="B8" s="175"/>
      <c r="C8" s="135"/>
      <c r="D8" t="e">
        <f>SLOPE(I3:I17,E3:E17)</f>
        <v>#DIV/0!</v>
      </c>
      <c r="E8" s="135">
        <v>2014</v>
      </c>
      <c r="F8" s="179">
        <v>88988</v>
      </c>
      <c r="G8">
        <v>6</v>
      </c>
      <c r="I8" s="178" t="s">
        <v>203</v>
      </c>
    </row>
    <row r="9" spans="2:10" ht="15.75" thickBot="1">
      <c r="B9" s="175"/>
      <c r="C9" s="135"/>
      <c r="E9" s="135">
        <v>2015</v>
      </c>
      <c r="F9" s="179">
        <v>107006</v>
      </c>
      <c r="G9">
        <v>7</v>
      </c>
      <c r="I9" s="178" t="s">
        <v>202</v>
      </c>
    </row>
    <row r="10" spans="2:10" ht="15.75" thickBot="1">
      <c r="B10" s="175"/>
      <c r="C10" s="135"/>
      <c r="E10" s="135">
        <v>2016</v>
      </c>
      <c r="F10" s="179">
        <v>135987</v>
      </c>
      <c r="G10">
        <v>8</v>
      </c>
      <c r="I10" s="178" t="s">
        <v>201</v>
      </c>
    </row>
    <row r="11" spans="2:10" ht="15.75" thickBot="1">
      <c r="B11" s="175"/>
      <c r="C11" s="135"/>
      <c r="E11" s="135">
        <v>2017</v>
      </c>
      <c r="F11" s="179">
        <v>177866</v>
      </c>
      <c r="G11">
        <v>9</v>
      </c>
      <c r="I11" s="178" t="s">
        <v>200</v>
      </c>
    </row>
    <row r="12" spans="2:10" ht="15.75" thickBot="1">
      <c r="B12" s="175"/>
      <c r="C12" s="135"/>
      <c r="E12" s="135">
        <v>2018</v>
      </c>
      <c r="F12" s="179">
        <v>232887</v>
      </c>
      <c r="G12">
        <v>10</v>
      </c>
      <c r="I12" s="178" t="s">
        <v>199</v>
      </c>
    </row>
    <row r="13" spans="2:10" ht="15.75" thickBot="1">
      <c r="B13" s="175"/>
      <c r="E13">
        <v>2019</v>
      </c>
      <c r="F13" s="179">
        <v>280522</v>
      </c>
      <c r="G13">
        <v>11</v>
      </c>
      <c r="I13" s="177" t="s">
        <v>198</v>
      </c>
    </row>
    <row r="14" spans="2:10" ht="15.75" thickBot="1">
      <c r="B14" s="175"/>
      <c r="C14" s="135"/>
      <c r="E14" s="135">
        <v>2020</v>
      </c>
      <c r="F14" s="179">
        <v>386064</v>
      </c>
      <c r="G14">
        <v>12</v>
      </c>
      <c r="I14" s="178" t="s">
        <v>197</v>
      </c>
    </row>
    <row r="15" spans="2:10" ht="15.75" thickBot="1">
      <c r="B15" s="175"/>
      <c r="C15" s="135"/>
      <c r="E15" s="135">
        <v>2021</v>
      </c>
      <c r="F15" s="179">
        <v>462822</v>
      </c>
      <c r="G15">
        <v>13</v>
      </c>
      <c r="I15" s="178" t="s">
        <v>196</v>
      </c>
    </row>
    <row r="16" spans="2:10" ht="15.75" thickBot="1">
      <c r="B16" s="175"/>
      <c r="C16" s="135"/>
      <c r="E16" s="135">
        <v>2022</v>
      </c>
      <c r="F16" s="179">
        <v>513983</v>
      </c>
      <c r="G16">
        <v>14</v>
      </c>
      <c r="I16" s="178" t="s">
        <v>195</v>
      </c>
    </row>
    <row r="17" spans="2:10" ht="15">
      <c r="B17" s="175"/>
      <c r="C17" s="135"/>
      <c r="E17" s="135">
        <v>2023</v>
      </c>
      <c r="F17" s="179">
        <v>574785</v>
      </c>
      <c r="G17">
        <v>15</v>
      </c>
      <c r="I17" s="178" t="s">
        <v>194</v>
      </c>
    </row>
    <row r="18" spans="2:10">
      <c r="D18" t="s">
        <v>210</v>
      </c>
      <c r="E18" s="135">
        <v>2024</v>
      </c>
      <c r="F18" s="79">
        <f>G18*I22</f>
        <v>633224.74285714282</v>
      </c>
      <c r="G18">
        <v>16</v>
      </c>
    </row>
    <row r="19" spans="2:10">
      <c r="E19" s="135">
        <v>2025</v>
      </c>
      <c r="F19" s="79">
        <f>G19*I23</f>
        <v>672801.28928571427</v>
      </c>
      <c r="G19">
        <v>17</v>
      </c>
    </row>
    <row r="20" spans="2:10">
      <c r="E20" s="135">
        <v>2026</v>
      </c>
      <c r="F20" s="79">
        <f>G20*I24</f>
        <v>712377.83571428573</v>
      </c>
      <c r="G20">
        <v>18</v>
      </c>
      <c r="H20" s="79"/>
    </row>
    <row r="21" spans="2:10">
      <c r="E21" s="135">
        <v>2027</v>
      </c>
      <c r="F21" s="79">
        <f>G21*I25</f>
        <v>751954.38214285707</v>
      </c>
      <c r="G21">
        <v>19</v>
      </c>
    </row>
    <row r="22" spans="2:10">
      <c r="E22" s="135">
        <v>2028</v>
      </c>
      <c r="F22" s="79">
        <f>G22*I26</f>
        <v>791530.92857142852</v>
      </c>
      <c r="G22">
        <v>20</v>
      </c>
      <c r="H22" s="180" t="s">
        <v>211</v>
      </c>
      <c r="I22">
        <f>SLOPE(F3:F17,G3:G17)</f>
        <v>39576.546428571426</v>
      </c>
    </row>
    <row r="23" spans="2:10">
      <c r="I23">
        <f>I22</f>
        <v>39576.546428571426</v>
      </c>
    </row>
    <row r="24" spans="2:10">
      <c r="I24">
        <f t="shared" ref="I24:I26" si="0">I23</f>
        <v>39576.546428571426</v>
      </c>
      <c r="J24" s="79"/>
    </row>
    <row r="25" spans="2:10">
      <c r="I25">
        <f t="shared" si="0"/>
        <v>39576.546428571426</v>
      </c>
    </row>
    <row r="26" spans="2:10">
      <c r="I26">
        <f t="shared" si="0"/>
        <v>39576.546428571426</v>
      </c>
    </row>
    <row r="34" spans="4:12" ht="15">
      <c r="D34" s="33" t="s">
        <v>213</v>
      </c>
    </row>
    <row r="36" spans="4:12" ht="15" thickBot="1">
      <c r="J36" t="s">
        <v>358</v>
      </c>
    </row>
    <row r="37" spans="4:12" ht="15.75" thickBot="1">
      <c r="E37" s="175">
        <v>2023</v>
      </c>
      <c r="F37" s="175" t="s">
        <v>214</v>
      </c>
      <c r="G37" cm="1">
        <f t="array" ref="G37:G51">_xlfn.SORTBY(E37:E51,_xlfn.SEQUENCE(ROWS(E37:E51)),-1)</f>
        <v>2009</v>
      </c>
      <c r="H37" s="79">
        <v>1129</v>
      </c>
      <c r="I37" t="str" cm="1">
        <f t="array" ref="I37:I51">_xlfn.SORTBY(F37:F51,_xlfn.SEQUENCE(ROWS(F37:F51)),-1)</f>
        <v>$1,129</v>
      </c>
    </row>
    <row r="38" spans="4:12" ht="15.75" thickBot="1">
      <c r="E38" s="175">
        <v>2022</v>
      </c>
      <c r="F38" s="175" t="s">
        <v>215</v>
      </c>
      <c r="G38">
        <v>2010</v>
      </c>
      <c r="H38" s="79">
        <v>1406</v>
      </c>
      <c r="I38" t="str">
        <v>$1,406</v>
      </c>
      <c r="J38" s="148">
        <f>(H38-H37)/H37</f>
        <v>0.24534986713906112</v>
      </c>
    </row>
    <row r="39" spans="4:12" ht="15.75" thickBot="1">
      <c r="E39" s="175">
        <v>2021</v>
      </c>
      <c r="F39" s="175" t="s">
        <v>216</v>
      </c>
      <c r="G39">
        <v>2011</v>
      </c>
      <c r="H39" s="79">
        <v>862</v>
      </c>
      <c r="I39" t="str">
        <v>$862</v>
      </c>
      <c r="J39" s="148">
        <f t="shared" ref="J39:J51" si="1">(H39-H38)/H38</f>
        <v>-0.38691322901849218</v>
      </c>
      <c r="K39" s="148"/>
    </row>
    <row r="40" spans="4:12" ht="15.75" thickBot="1">
      <c r="E40" s="175">
        <v>2020</v>
      </c>
      <c r="F40" s="175" t="s">
        <v>217</v>
      </c>
      <c r="G40">
        <v>2012</v>
      </c>
      <c r="H40" s="79">
        <v>676</v>
      </c>
      <c r="I40" t="str">
        <v>$676</v>
      </c>
      <c r="J40" s="148">
        <f t="shared" si="1"/>
        <v>-0.21577726218097448</v>
      </c>
      <c r="K40" s="148"/>
    </row>
    <row r="41" spans="4:12" ht="15.75" thickBot="1">
      <c r="E41" s="175">
        <v>2019</v>
      </c>
      <c r="F41" s="175" t="s">
        <v>218</v>
      </c>
      <c r="G41">
        <v>2013</v>
      </c>
      <c r="H41" s="79">
        <v>745</v>
      </c>
      <c r="I41" t="str">
        <v>$745</v>
      </c>
      <c r="J41" s="148">
        <f t="shared" si="1"/>
        <v>0.10207100591715976</v>
      </c>
    </row>
    <row r="42" spans="4:12" ht="15.75" thickBot="1">
      <c r="E42" s="175">
        <v>2018</v>
      </c>
      <c r="F42" s="175" t="s">
        <v>219</v>
      </c>
      <c r="G42">
        <v>2014</v>
      </c>
      <c r="H42" s="79">
        <v>178</v>
      </c>
      <c r="I42" t="str">
        <v>$178</v>
      </c>
      <c r="J42" s="148">
        <f t="shared" si="1"/>
        <v>-0.76107382550335567</v>
      </c>
      <c r="K42" s="148"/>
    </row>
    <row r="43" spans="4:12" ht="15.75" thickBot="1">
      <c r="E43" s="175">
        <v>2017</v>
      </c>
      <c r="F43" s="175" t="s">
        <v>220</v>
      </c>
      <c r="G43">
        <v>2015</v>
      </c>
      <c r="H43" s="79">
        <v>2233</v>
      </c>
      <c r="I43" t="str">
        <v>$2,233</v>
      </c>
      <c r="J43" s="148">
        <f t="shared" si="1"/>
        <v>11.544943820224718</v>
      </c>
      <c r="K43" s="148"/>
    </row>
    <row r="44" spans="4:12" ht="15.75" thickBot="1">
      <c r="E44" s="175">
        <v>2016</v>
      </c>
      <c r="F44" s="175" t="s">
        <v>221</v>
      </c>
      <c r="G44">
        <v>2016</v>
      </c>
      <c r="H44" s="79">
        <v>4186</v>
      </c>
      <c r="I44" t="str">
        <v>$4,186</v>
      </c>
      <c r="J44" s="148">
        <f t="shared" si="1"/>
        <v>0.87460815047021945</v>
      </c>
      <c r="K44" s="148">
        <v>0.87460815047021945</v>
      </c>
      <c r="L44" s="134">
        <f>AVERAGE(K44:K49)</f>
        <v>0.34232714996043062</v>
      </c>
    </row>
    <row r="45" spans="4:12" ht="15.75" thickBot="1">
      <c r="E45" s="175">
        <v>2015</v>
      </c>
      <c r="F45" s="175" t="s">
        <v>222</v>
      </c>
      <c r="G45">
        <v>2017</v>
      </c>
      <c r="H45" s="79">
        <v>4106</v>
      </c>
      <c r="I45" t="str">
        <v>$4,106</v>
      </c>
      <c r="J45" s="148">
        <f t="shared" si="1"/>
        <v>-1.9111323459149548E-2</v>
      </c>
      <c r="K45" s="148">
        <v>0.10207100591715976</v>
      </c>
    </row>
    <row r="46" spans="4:12" ht="15.75" thickBot="1">
      <c r="E46" s="175">
        <v>2014</v>
      </c>
      <c r="F46" s="175" t="s">
        <v>223</v>
      </c>
      <c r="G46">
        <v>2018</v>
      </c>
      <c r="H46" s="79">
        <v>12421</v>
      </c>
      <c r="I46" t="str">
        <v>$12,421</v>
      </c>
      <c r="J46" s="148">
        <f t="shared" si="1"/>
        <v>2.02508524111057</v>
      </c>
      <c r="K46" s="148">
        <v>0.24534986713906112</v>
      </c>
    </row>
    <row r="47" spans="4:12" ht="15.75" thickBot="1">
      <c r="E47" s="175">
        <v>2013</v>
      </c>
      <c r="F47" s="175" t="s">
        <v>224</v>
      </c>
      <c r="G47">
        <v>2019</v>
      </c>
      <c r="H47" s="79">
        <v>14541</v>
      </c>
      <c r="I47" t="str">
        <v>$14,541</v>
      </c>
      <c r="J47" s="148">
        <f t="shared" si="1"/>
        <v>0.17067868931648014</v>
      </c>
      <c r="K47" s="148">
        <v>0.17067868931648014</v>
      </c>
    </row>
    <row r="48" spans="4:12" ht="15.75" thickBot="1">
      <c r="E48" s="175">
        <v>2012</v>
      </c>
      <c r="F48" s="175" t="s">
        <v>225</v>
      </c>
      <c r="G48">
        <v>2020</v>
      </c>
      <c r="H48" s="79">
        <v>22899</v>
      </c>
      <c r="I48" t="str">
        <v>$22,899</v>
      </c>
      <c r="J48" s="148">
        <f t="shared" si="1"/>
        <v>0.57478852898700228</v>
      </c>
      <c r="K48" s="148">
        <v>0.57478852898700228</v>
      </c>
    </row>
    <row r="49" spans="5:15" ht="15.75" thickBot="1">
      <c r="E49" s="175">
        <v>2011</v>
      </c>
      <c r="F49" s="175" t="s">
        <v>226</v>
      </c>
      <c r="G49">
        <v>2021</v>
      </c>
      <c r="H49" s="79">
        <v>24879</v>
      </c>
      <c r="I49" t="str">
        <v>$24,879</v>
      </c>
      <c r="J49" s="148">
        <f t="shared" si="1"/>
        <v>8.6466657932660812E-2</v>
      </c>
      <c r="K49" s="148">
        <v>8.6466657932660812E-2</v>
      </c>
    </row>
    <row r="50" spans="5:15" ht="15.75" thickBot="1">
      <c r="E50" s="175">
        <v>2010</v>
      </c>
      <c r="F50" s="175" t="s">
        <v>227</v>
      </c>
      <c r="G50">
        <v>2022</v>
      </c>
      <c r="H50" s="79">
        <v>12248</v>
      </c>
      <c r="I50" t="str">
        <v>$12,248</v>
      </c>
      <c r="J50" s="148">
        <f t="shared" si="1"/>
        <v>-0.50769725471281002</v>
      </c>
      <c r="K50" s="148"/>
    </row>
    <row r="51" spans="5:15" ht="15">
      <c r="E51" s="175">
        <v>2009</v>
      </c>
      <c r="F51" s="175" t="s">
        <v>228</v>
      </c>
      <c r="G51">
        <v>2023</v>
      </c>
      <c r="H51" s="79">
        <v>36852</v>
      </c>
      <c r="I51" t="str">
        <v>$36,852</v>
      </c>
      <c r="J51" s="148">
        <f t="shared" si="1"/>
        <v>2.0088177661659046</v>
      </c>
      <c r="K51" s="148"/>
    </row>
    <row r="52" spans="5:15">
      <c r="N52">
        <v>2009</v>
      </c>
      <c r="O52" s="79">
        <v>1129</v>
      </c>
    </row>
    <row r="53" spans="5:15">
      <c r="J53" t="s">
        <v>358</v>
      </c>
      <c r="N53">
        <v>2010</v>
      </c>
      <c r="O53" s="79">
        <v>1406</v>
      </c>
    </row>
    <row r="54" spans="5:15">
      <c r="G54">
        <v>1</v>
      </c>
      <c r="H54" s="79">
        <v>4186</v>
      </c>
      <c r="I54">
        <v>2016</v>
      </c>
      <c r="N54">
        <v>2011</v>
      </c>
      <c r="O54" s="79">
        <v>862</v>
      </c>
    </row>
    <row r="55" spans="5:15">
      <c r="G55">
        <v>2</v>
      </c>
      <c r="H55" s="79">
        <v>12421</v>
      </c>
      <c r="I55">
        <v>2018</v>
      </c>
      <c r="J55" s="148">
        <f>(H55-H54)/H54</f>
        <v>1.9672718585762063</v>
      </c>
      <c r="K55" s="134">
        <f>AVERAGE(J56:J59)</f>
        <v>0.32829578064712217</v>
      </c>
      <c r="L55" s="231">
        <v>0.2</v>
      </c>
      <c r="N55">
        <v>2012</v>
      </c>
      <c r="O55" s="79">
        <v>676</v>
      </c>
    </row>
    <row r="56" spans="5:15">
      <c r="G56">
        <v>3</v>
      </c>
      <c r="H56" s="79">
        <v>14541</v>
      </c>
      <c r="I56">
        <v>2019</v>
      </c>
      <c r="J56" s="148">
        <f t="shared" ref="J56:J59" si="2">(H56-H55)/H55</f>
        <v>0.17067868931648014</v>
      </c>
      <c r="K56" s="134">
        <f>K55</f>
        <v>0.32829578064712217</v>
      </c>
      <c r="L56" s="231">
        <v>0.2</v>
      </c>
      <c r="N56">
        <v>2013</v>
      </c>
      <c r="O56" s="79">
        <v>745</v>
      </c>
    </row>
    <row r="57" spans="5:15">
      <c r="G57">
        <v>4</v>
      </c>
      <c r="H57" s="79">
        <v>22899</v>
      </c>
      <c r="I57">
        <v>2020</v>
      </c>
      <c r="J57" s="148">
        <f t="shared" si="2"/>
        <v>0.57478852898700228</v>
      </c>
      <c r="K57" s="134">
        <f>K56</f>
        <v>0.32829578064712217</v>
      </c>
      <c r="L57" s="231">
        <v>0.2</v>
      </c>
      <c r="N57">
        <v>2014</v>
      </c>
      <c r="O57" s="79">
        <v>178</v>
      </c>
    </row>
    <row r="58" spans="5:15">
      <c r="G58">
        <v>5</v>
      </c>
      <c r="H58" s="79">
        <v>24879</v>
      </c>
      <c r="I58">
        <v>2021</v>
      </c>
      <c r="J58" s="148">
        <f t="shared" si="2"/>
        <v>8.6466657932660812E-2</v>
      </c>
      <c r="K58" s="134">
        <f t="shared" ref="K58:K59" si="3">K57</f>
        <v>0.32829578064712217</v>
      </c>
      <c r="L58" s="231">
        <v>0.2</v>
      </c>
      <c r="N58">
        <v>2015</v>
      </c>
      <c r="O58" s="79">
        <v>2233</v>
      </c>
    </row>
    <row r="59" spans="5:15">
      <c r="G59">
        <v>6</v>
      </c>
      <c r="H59" s="79">
        <v>36852</v>
      </c>
      <c r="I59">
        <v>2023</v>
      </c>
      <c r="J59" s="148">
        <f t="shared" si="2"/>
        <v>0.48124924635234534</v>
      </c>
      <c r="K59" s="134">
        <f t="shared" si="3"/>
        <v>0.32829578064712217</v>
      </c>
      <c r="L59" s="231">
        <v>0.2</v>
      </c>
      <c r="N59">
        <v>2016</v>
      </c>
      <c r="O59" s="79">
        <v>4186</v>
      </c>
    </row>
    <row r="60" spans="5:15" ht="15">
      <c r="E60" s="33" t="s">
        <v>211</v>
      </c>
      <c r="F60">
        <f>SLOPE(H54:H59,G54:G59)</f>
        <v>5973.2</v>
      </c>
      <c r="G60" s="185">
        <v>7</v>
      </c>
      <c r="H60" s="186">
        <f>G60*F60</f>
        <v>41812.400000000001</v>
      </c>
      <c r="I60" s="185">
        <v>2024</v>
      </c>
      <c r="K60" s="148" t="s">
        <v>359</v>
      </c>
      <c r="N60">
        <v>2017</v>
      </c>
      <c r="O60" s="79">
        <v>4106</v>
      </c>
    </row>
    <row r="61" spans="5:15">
      <c r="F61">
        <f>F60</f>
        <v>5973.2</v>
      </c>
      <c r="G61" s="185">
        <v>8</v>
      </c>
      <c r="H61" s="186">
        <f t="shared" ref="H61:H64" si="4">G61*F61</f>
        <v>47785.599999999999</v>
      </c>
      <c r="I61" s="185">
        <v>2025</v>
      </c>
      <c r="J61" s="148"/>
      <c r="K61" s="185">
        <v>2024</v>
      </c>
      <c r="L61" s="79">
        <f>H59+H59*L55</f>
        <v>44222.400000000001</v>
      </c>
      <c r="N61">
        <v>2018</v>
      </c>
      <c r="O61" s="79">
        <v>12421</v>
      </c>
    </row>
    <row r="62" spans="5:15">
      <c r="F62">
        <f t="shared" ref="F62:F64" si="5">F61</f>
        <v>5973.2</v>
      </c>
      <c r="G62" s="185">
        <v>9</v>
      </c>
      <c r="H62" s="186">
        <f t="shared" si="4"/>
        <v>53758.799999999996</v>
      </c>
      <c r="I62" s="185">
        <v>2026</v>
      </c>
      <c r="J62" s="148"/>
      <c r="K62" s="185">
        <v>2025</v>
      </c>
      <c r="L62" s="79">
        <f>L61+L61*L55</f>
        <v>53066.880000000005</v>
      </c>
      <c r="N62">
        <v>2019</v>
      </c>
      <c r="O62" s="79">
        <v>14541</v>
      </c>
    </row>
    <row r="63" spans="5:15">
      <c r="F63">
        <f t="shared" si="5"/>
        <v>5973.2</v>
      </c>
      <c r="G63" s="185">
        <v>10</v>
      </c>
      <c r="H63" s="186">
        <f t="shared" si="4"/>
        <v>59732</v>
      </c>
      <c r="I63" s="185">
        <v>2027</v>
      </c>
      <c r="J63" s="148"/>
      <c r="K63" s="185">
        <v>2026</v>
      </c>
      <c r="L63" s="79">
        <f>L62+L62*L56</f>
        <v>63680.256000000008</v>
      </c>
      <c r="N63">
        <v>2020</v>
      </c>
      <c r="O63" s="79">
        <v>22899</v>
      </c>
    </row>
    <row r="64" spans="5:15">
      <c r="F64">
        <f t="shared" si="5"/>
        <v>5973.2</v>
      </c>
      <c r="G64" s="185">
        <v>11</v>
      </c>
      <c r="H64" s="186">
        <f t="shared" si="4"/>
        <v>65705.2</v>
      </c>
      <c r="I64" s="185">
        <v>2028</v>
      </c>
      <c r="J64" s="148"/>
      <c r="K64" s="185">
        <v>2027</v>
      </c>
      <c r="L64" s="79">
        <f>L63+L63*L57</f>
        <v>76416.30720000001</v>
      </c>
      <c r="N64">
        <v>2021</v>
      </c>
      <c r="O64" s="79">
        <v>24879</v>
      </c>
    </row>
    <row r="65" spans="4:15">
      <c r="K65" s="185">
        <v>2028</v>
      </c>
      <c r="L65" s="79">
        <f t="shared" ref="L65" si="6">L64+L64*L58</f>
        <v>91699.568640000012</v>
      </c>
      <c r="N65">
        <v>2022</v>
      </c>
      <c r="O65" s="79">
        <v>12248</v>
      </c>
    </row>
    <row r="66" spans="4:15">
      <c r="N66">
        <v>2023</v>
      </c>
      <c r="O66" s="79">
        <v>36852</v>
      </c>
    </row>
    <row r="67" spans="4:15">
      <c r="N67" s="185">
        <v>2024</v>
      </c>
      <c r="O67" s="79">
        <f>L61</f>
        <v>44222.400000000001</v>
      </c>
    </row>
    <row r="68" spans="4:15">
      <c r="N68" s="185">
        <v>2025</v>
      </c>
      <c r="O68" s="79">
        <f t="shared" ref="O68:O71" si="7">L62</f>
        <v>53066.880000000005</v>
      </c>
    </row>
    <row r="69" spans="4:15">
      <c r="N69" s="185">
        <v>2026</v>
      </c>
      <c r="O69" s="79">
        <f t="shared" si="7"/>
        <v>63680.256000000008</v>
      </c>
    </row>
    <row r="70" spans="4:15">
      <c r="N70" s="185">
        <v>2027</v>
      </c>
      <c r="O70" s="79">
        <f t="shared" si="7"/>
        <v>76416.30720000001</v>
      </c>
    </row>
    <row r="71" spans="4:15" ht="15">
      <c r="D71" s="33" t="s">
        <v>230</v>
      </c>
      <c r="N71" s="185">
        <v>2028</v>
      </c>
      <c r="O71" s="79">
        <f t="shared" si="7"/>
        <v>91699.568640000012</v>
      </c>
    </row>
    <row r="72" spans="4:15" ht="15" thickBot="1"/>
    <row r="73" spans="4:15" ht="15.75" thickBot="1">
      <c r="F73" s="175">
        <v>2023</v>
      </c>
      <c r="G73" s="192" t="s">
        <v>231</v>
      </c>
      <c r="H73" t="str" cm="1">
        <f t="array" ref="H73:H87">_xlfn.SORTBY(G73:G87,_xlfn.SEQUENCE(ROWS(G73:G87)),-1)</f>
        <v>$-373</v>
      </c>
      <c r="I73">
        <v>1</v>
      </c>
      <c r="J73" cm="1">
        <f t="array" ref="J73:J87">_xlfn.SORTBY(F73:F87,_xlfn.SEQUENCE(ROWS(F73:F87)),-1)</f>
        <v>2009</v>
      </c>
      <c r="K73" s="79">
        <v>-373</v>
      </c>
      <c r="L73" t="str" cm="1">
        <f t="array" ref="L73:L87">_xlfn.SORTBY(G73:G87,_xlfn.SEQUENCE(ROWS(G73:G87)),-1)</f>
        <v>$-373</v>
      </c>
    </row>
    <row r="74" spans="4:15" ht="15.75" thickBot="1">
      <c r="F74" s="175">
        <v>2022</v>
      </c>
      <c r="G74" s="192" t="s">
        <v>232</v>
      </c>
      <c r="H74" t="str">
        <v>$-979</v>
      </c>
      <c r="I74">
        <v>2</v>
      </c>
      <c r="J74">
        <v>2010</v>
      </c>
      <c r="K74" s="79">
        <v>-979</v>
      </c>
      <c r="L74" t="str">
        <v>$-979</v>
      </c>
    </row>
    <row r="75" spans="4:15" ht="15.75" thickBot="1">
      <c r="F75" s="175">
        <v>2021</v>
      </c>
      <c r="G75" s="192" t="s">
        <v>233</v>
      </c>
      <c r="H75" t="str">
        <v>$-1,811</v>
      </c>
      <c r="I75">
        <v>3</v>
      </c>
      <c r="J75">
        <v>2011</v>
      </c>
      <c r="K75" s="79">
        <v>-1811</v>
      </c>
      <c r="L75" t="str">
        <v>$-1,811</v>
      </c>
    </row>
    <row r="76" spans="4:15" ht="15.75" thickBot="1">
      <c r="F76" s="175">
        <v>2020</v>
      </c>
      <c r="G76" s="192" t="s">
        <v>234</v>
      </c>
      <c r="H76" t="str">
        <v>$-3,785</v>
      </c>
      <c r="I76">
        <v>4</v>
      </c>
      <c r="J76">
        <v>2012</v>
      </c>
      <c r="K76" s="79">
        <v>-3785</v>
      </c>
      <c r="L76" t="str">
        <v>$-3,785</v>
      </c>
    </row>
    <row r="77" spans="4:15" ht="15.75" thickBot="1">
      <c r="F77" s="175">
        <v>2019</v>
      </c>
      <c r="G77" s="192" t="s">
        <v>235</v>
      </c>
      <c r="H77" t="str">
        <v>$-3,444</v>
      </c>
      <c r="I77">
        <v>5</v>
      </c>
      <c r="J77">
        <v>2013</v>
      </c>
      <c r="K77" s="79">
        <v>-3444</v>
      </c>
      <c r="L77" t="str">
        <v>$-3,444</v>
      </c>
    </row>
    <row r="78" spans="4:15" ht="15.75" thickBot="1">
      <c r="F78" s="175">
        <v>2018</v>
      </c>
      <c r="G78" s="192" t="s">
        <v>236</v>
      </c>
      <c r="H78" t="str">
        <v>$-4,893</v>
      </c>
      <c r="I78">
        <v>6</v>
      </c>
      <c r="J78">
        <v>2014</v>
      </c>
      <c r="K78" s="79">
        <v>-4893</v>
      </c>
      <c r="L78" t="str">
        <v>$-4,893</v>
      </c>
    </row>
    <row r="79" spans="4:15" ht="15.75" thickBot="1">
      <c r="F79" s="175">
        <v>2017</v>
      </c>
      <c r="G79" s="192" t="s">
        <v>237</v>
      </c>
      <c r="H79" t="str">
        <v>$-4,589</v>
      </c>
      <c r="I79">
        <v>7</v>
      </c>
      <c r="J79">
        <v>2015</v>
      </c>
      <c r="K79" s="79">
        <v>-4589</v>
      </c>
      <c r="L79" t="str">
        <v>$-4,589</v>
      </c>
    </row>
    <row r="80" spans="4:15" ht="15.75" thickBot="1">
      <c r="F80" s="175">
        <v>2016</v>
      </c>
      <c r="G80" s="192" t="s">
        <v>238</v>
      </c>
      <c r="H80" t="str">
        <v>$-6,737</v>
      </c>
      <c r="I80">
        <v>8</v>
      </c>
      <c r="J80">
        <v>2016</v>
      </c>
      <c r="K80" s="79">
        <v>-6737</v>
      </c>
      <c r="L80" t="str">
        <v>$-6,737</v>
      </c>
    </row>
    <row r="81" spans="4:29" ht="15.75" thickBot="1">
      <c r="F81" s="175">
        <v>2015</v>
      </c>
      <c r="G81" s="192" t="s">
        <v>239</v>
      </c>
      <c r="H81" t="str">
        <v>$-10,058</v>
      </c>
      <c r="I81">
        <v>9</v>
      </c>
      <c r="J81">
        <v>2017</v>
      </c>
      <c r="K81" s="79">
        <v>-10058</v>
      </c>
      <c r="L81" t="str">
        <v>$-10,058</v>
      </c>
    </row>
    <row r="82" spans="4:29" ht="15.75" thickBot="1">
      <c r="F82" s="175">
        <v>2014</v>
      </c>
      <c r="G82" s="192" t="s">
        <v>240</v>
      </c>
      <c r="H82" t="str">
        <v>$-11,323</v>
      </c>
      <c r="I82">
        <v>10</v>
      </c>
      <c r="J82">
        <v>2018</v>
      </c>
      <c r="K82" s="79">
        <v>-11323</v>
      </c>
      <c r="L82" t="str">
        <v>$-11,323</v>
      </c>
    </row>
    <row r="83" spans="4:29" ht="15.75" thickBot="1">
      <c r="F83" s="175">
        <v>2013</v>
      </c>
      <c r="G83" s="192" t="s">
        <v>241</v>
      </c>
      <c r="H83" t="str">
        <v>$-12,689</v>
      </c>
      <c r="I83">
        <v>11</v>
      </c>
      <c r="J83">
        <v>2019</v>
      </c>
      <c r="K83" s="79">
        <v>-12689</v>
      </c>
      <c r="L83" t="str">
        <v>$-12,689</v>
      </c>
    </row>
    <row r="84" spans="4:29" ht="15.75" thickBot="1">
      <c r="F84" s="175">
        <v>2012</v>
      </c>
      <c r="G84" s="192" t="s">
        <v>242</v>
      </c>
      <c r="H84" t="str">
        <v>$-35,044</v>
      </c>
      <c r="I84">
        <v>12</v>
      </c>
      <c r="J84">
        <v>2020</v>
      </c>
      <c r="K84" s="79">
        <v>-35044</v>
      </c>
      <c r="L84" t="str">
        <v>$-35,044</v>
      </c>
    </row>
    <row r="85" spans="4:29" ht="15.75" thickBot="1">
      <c r="F85" s="175">
        <v>2011</v>
      </c>
      <c r="G85" s="192" t="s">
        <v>243</v>
      </c>
      <c r="H85" t="str">
        <v>$-55,396</v>
      </c>
      <c r="I85">
        <v>13</v>
      </c>
      <c r="J85">
        <v>2021</v>
      </c>
      <c r="K85" s="79">
        <v>-55396</v>
      </c>
      <c r="L85" t="str">
        <v>$-55,396</v>
      </c>
    </row>
    <row r="86" spans="4:29" ht="15.75" thickBot="1">
      <c r="F86" s="175">
        <v>2010</v>
      </c>
      <c r="G86" s="192" t="s">
        <v>244</v>
      </c>
      <c r="H86" t="str">
        <v>$-58,321</v>
      </c>
      <c r="I86">
        <v>14</v>
      </c>
      <c r="J86">
        <v>2022</v>
      </c>
      <c r="K86" s="79">
        <v>-58321</v>
      </c>
      <c r="L86" t="str">
        <v>$-58,321</v>
      </c>
    </row>
    <row r="87" spans="4:29" ht="15">
      <c r="D87">
        <v>121</v>
      </c>
      <c r="F87" s="175">
        <v>2009</v>
      </c>
      <c r="G87" s="192" t="s">
        <v>245</v>
      </c>
      <c r="H87" t="str">
        <v>$-48,133</v>
      </c>
      <c r="I87">
        <v>15</v>
      </c>
      <c r="J87">
        <v>2023</v>
      </c>
      <c r="K87" s="79">
        <v>-48133</v>
      </c>
      <c r="L87" t="str">
        <v>$-48,133</v>
      </c>
    </row>
    <row r="88" spans="4:29">
      <c r="I88" s="185">
        <v>16</v>
      </c>
      <c r="J88" s="185">
        <v>2024</v>
      </c>
      <c r="K88" s="186">
        <f>I88*M90</f>
        <v>-63851.257142857146</v>
      </c>
      <c r="L88" s="195">
        <f>K88*(-1)</f>
        <v>63851.257142857146</v>
      </c>
    </row>
    <row r="89" spans="4:29">
      <c r="I89" s="185">
        <v>17</v>
      </c>
      <c r="J89" s="185">
        <v>2025</v>
      </c>
      <c r="K89" s="186">
        <f t="shared" ref="K89:K92" si="8">I89*M91</f>
        <v>-67841.960714285713</v>
      </c>
      <c r="L89" s="195">
        <f t="shared" ref="L89:L92" si="9">K89*(-1)</f>
        <v>67841.960714285713</v>
      </c>
    </row>
    <row r="90" spans="4:29">
      <c r="I90" s="185">
        <v>18</v>
      </c>
      <c r="J90" s="185">
        <v>2026</v>
      </c>
      <c r="K90" s="186">
        <f t="shared" si="8"/>
        <v>-71832.664285714287</v>
      </c>
      <c r="L90" s="195">
        <f t="shared" si="9"/>
        <v>71832.664285714287</v>
      </c>
      <c r="M90">
        <f>SLOPE(K73:K87,I73:I87)</f>
        <v>-3990.7035714285716</v>
      </c>
    </row>
    <row r="91" spans="4:29">
      <c r="I91" s="185">
        <v>19</v>
      </c>
      <c r="J91" s="185">
        <v>2027</v>
      </c>
      <c r="K91" s="186">
        <f t="shared" si="8"/>
        <v>-75823.367857142861</v>
      </c>
      <c r="L91" s="195">
        <f t="shared" si="9"/>
        <v>75823.367857142861</v>
      </c>
      <c r="M91">
        <f>M90</f>
        <v>-3990.7035714285716</v>
      </c>
    </row>
    <row r="92" spans="4:29">
      <c r="I92" s="185">
        <v>20</v>
      </c>
      <c r="J92" s="185">
        <v>2028</v>
      </c>
      <c r="K92" s="186">
        <f t="shared" si="8"/>
        <v>-79814.071428571435</v>
      </c>
      <c r="L92" s="195">
        <f t="shared" si="9"/>
        <v>79814.071428571435</v>
      </c>
      <c r="M92">
        <f t="shared" ref="M92:M94" si="10">M91</f>
        <v>-3990.7035714285716</v>
      </c>
    </row>
    <row r="93" spans="4:29">
      <c r="H93" t="s">
        <v>339</v>
      </c>
      <c r="I93" s="185">
        <v>2024</v>
      </c>
      <c r="J93" s="79">
        <f>K88-K87</f>
        <v>-15718.257142857146</v>
      </c>
      <c r="M93">
        <f t="shared" si="10"/>
        <v>-3990.7035714285716</v>
      </c>
      <c r="AA93" t="s">
        <v>358</v>
      </c>
      <c r="AC93" t="s">
        <v>361</v>
      </c>
    </row>
    <row r="94" spans="4:29">
      <c r="I94" s="185">
        <v>2025</v>
      </c>
      <c r="J94" s="79">
        <f t="shared" ref="J94:J97" si="11">K89-K88</f>
        <v>-3990.7035714285666</v>
      </c>
      <c r="M94">
        <f t="shared" si="10"/>
        <v>-3990.7035714285716</v>
      </c>
      <c r="Y94">
        <v>2009</v>
      </c>
      <c r="Z94" s="79">
        <v>-373</v>
      </c>
      <c r="AA94" s="148"/>
      <c r="AB94">
        <v>2009</v>
      </c>
      <c r="AC94" s="79"/>
    </row>
    <row r="95" spans="4:29">
      <c r="I95" s="185">
        <v>2026</v>
      </c>
      <c r="J95" s="79">
        <f t="shared" si="11"/>
        <v>-3990.7035714285739</v>
      </c>
      <c r="Y95">
        <v>2010</v>
      </c>
      <c r="Z95" s="79">
        <v>-979</v>
      </c>
      <c r="AA95" s="148">
        <f>(Z95-Z94)/Z94</f>
        <v>1.6246648793565683</v>
      </c>
      <c r="AB95">
        <v>2010</v>
      </c>
      <c r="AC95" s="79">
        <f t="shared" ref="AC95:AC113" si="12">Z95-Z94</f>
        <v>-606</v>
      </c>
    </row>
    <row r="96" spans="4:29" ht="15">
      <c r="D96" s="33" t="s">
        <v>164</v>
      </c>
      <c r="I96" s="185">
        <v>2027</v>
      </c>
      <c r="J96" s="79">
        <f t="shared" si="11"/>
        <v>-3990.7035714285739</v>
      </c>
      <c r="Y96">
        <v>2011</v>
      </c>
      <c r="Z96" s="79">
        <v>-1811</v>
      </c>
      <c r="AA96" s="148">
        <f t="shared" ref="AA96:AA113" si="13">(Z96-Z95)/Z95</f>
        <v>0.84984678243105205</v>
      </c>
      <c r="AB96">
        <v>2011</v>
      </c>
      <c r="AC96" s="79">
        <f t="shared" si="12"/>
        <v>-832</v>
      </c>
    </row>
    <row r="97" spans="5:29" ht="15" thickBot="1">
      <c r="I97" s="185">
        <v>2028</v>
      </c>
      <c r="J97" s="79">
        <f t="shared" si="11"/>
        <v>-3990.7035714285739</v>
      </c>
      <c r="Y97">
        <v>2012</v>
      </c>
      <c r="Z97" s="79">
        <v>-3785</v>
      </c>
      <c r="AA97" s="148">
        <f t="shared" si="13"/>
        <v>1.090005521811154</v>
      </c>
      <c r="AB97">
        <v>2012</v>
      </c>
      <c r="AC97" s="79">
        <f t="shared" si="12"/>
        <v>-1974</v>
      </c>
    </row>
    <row r="98" spans="5:29" ht="15.75" thickBot="1">
      <c r="E98" s="175">
        <v>2023</v>
      </c>
      <c r="F98" s="192" t="s">
        <v>246</v>
      </c>
      <c r="H98" t="str" cm="1">
        <f t="array" ref="H98:H112">_xlfn.SORTBY(F98:F112,_xlfn.SEQUENCE(ROWS(F98:F112)),-1)</f>
        <v>$378</v>
      </c>
      <c r="I98">
        <v>1</v>
      </c>
      <c r="J98">
        <v>2009</v>
      </c>
      <c r="K98" s="79">
        <v>378</v>
      </c>
      <c r="Y98">
        <v>2013</v>
      </c>
      <c r="Z98" s="79">
        <v>-3444</v>
      </c>
      <c r="AA98" s="148">
        <f t="shared" si="13"/>
        <v>-9.0092470277410838E-2</v>
      </c>
      <c r="AB98">
        <v>2013</v>
      </c>
      <c r="AC98" s="79">
        <f t="shared" si="12"/>
        <v>341</v>
      </c>
    </row>
    <row r="99" spans="5:29" ht="15.75" thickBot="1">
      <c r="E99" s="175">
        <v>2022</v>
      </c>
      <c r="F99" s="192" t="s">
        <v>247</v>
      </c>
      <c r="H99" t="str">
        <v>$568</v>
      </c>
      <c r="I99">
        <v>2</v>
      </c>
      <c r="J99">
        <v>2010</v>
      </c>
      <c r="K99" s="79">
        <v>568</v>
      </c>
      <c r="Y99">
        <v>2014</v>
      </c>
      <c r="Z99" s="79">
        <v>-4893</v>
      </c>
      <c r="AA99" s="148">
        <f t="shared" si="13"/>
        <v>0.42073170731707316</v>
      </c>
      <c r="AB99">
        <v>2014</v>
      </c>
      <c r="AC99" s="79">
        <f t="shared" si="12"/>
        <v>-1449</v>
      </c>
    </row>
    <row r="100" spans="5:29" ht="15.75" thickBot="1">
      <c r="E100" s="175">
        <v>2021</v>
      </c>
      <c r="F100" s="192" t="s">
        <v>248</v>
      </c>
      <c r="H100" t="str">
        <v>$1,083</v>
      </c>
      <c r="I100">
        <v>3</v>
      </c>
      <c r="J100">
        <v>2011</v>
      </c>
      <c r="K100" s="79">
        <v>1083</v>
      </c>
      <c r="Y100">
        <v>2015</v>
      </c>
      <c r="Z100" s="79">
        <v>-4589</v>
      </c>
      <c r="AA100" s="148">
        <f t="shared" si="13"/>
        <v>-6.2129572859186591E-2</v>
      </c>
      <c r="AB100">
        <v>2015</v>
      </c>
      <c r="AC100" s="79">
        <f t="shared" si="12"/>
        <v>304</v>
      </c>
    </row>
    <row r="101" spans="5:29" ht="15.75" thickBot="1">
      <c r="E101" s="175">
        <v>2020</v>
      </c>
      <c r="F101" s="192" t="s">
        <v>249</v>
      </c>
      <c r="H101" t="str">
        <v>$2,159</v>
      </c>
      <c r="I101">
        <v>4</v>
      </c>
      <c r="J101">
        <v>2012</v>
      </c>
      <c r="K101" s="79">
        <v>2159</v>
      </c>
      <c r="Y101">
        <v>2016</v>
      </c>
      <c r="Z101" s="79">
        <v>-6737</v>
      </c>
      <c r="AA101" s="148">
        <f t="shared" si="13"/>
        <v>0.46807583351492699</v>
      </c>
      <c r="AB101">
        <v>2016</v>
      </c>
      <c r="AC101" s="79">
        <f t="shared" si="12"/>
        <v>-2148</v>
      </c>
    </row>
    <row r="102" spans="5:29" ht="15.75" thickBot="1">
      <c r="E102" s="175">
        <v>2019</v>
      </c>
      <c r="F102" s="192" t="s">
        <v>250</v>
      </c>
      <c r="H102" t="str">
        <v>$3,253</v>
      </c>
      <c r="I102">
        <v>5</v>
      </c>
      <c r="J102">
        <v>2013</v>
      </c>
      <c r="K102" s="79">
        <v>3253</v>
      </c>
      <c r="Y102">
        <v>2017</v>
      </c>
      <c r="Z102" s="79">
        <v>-10058</v>
      </c>
      <c r="AA102" s="148">
        <f t="shared" si="13"/>
        <v>0.49294938399881255</v>
      </c>
      <c r="AB102">
        <v>2017</v>
      </c>
      <c r="AC102" s="79">
        <f t="shared" si="12"/>
        <v>-3321</v>
      </c>
    </row>
    <row r="103" spans="5:29" ht="15.75" thickBot="1">
      <c r="E103" s="175">
        <v>2018</v>
      </c>
      <c r="F103" s="192" t="s">
        <v>251</v>
      </c>
      <c r="H103" t="str">
        <v>$4,746</v>
      </c>
      <c r="I103">
        <v>6</v>
      </c>
      <c r="J103">
        <v>2014</v>
      </c>
      <c r="K103" s="79">
        <v>4746</v>
      </c>
      <c r="Y103">
        <v>2018</v>
      </c>
      <c r="Z103" s="79">
        <v>-11323</v>
      </c>
      <c r="AA103" s="148">
        <f t="shared" si="13"/>
        <v>0.12577053092066018</v>
      </c>
      <c r="AB103">
        <v>2018</v>
      </c>
      <c r="AC103" s="79">
        <f t="shared" si="12"/>
        <v>-1265</v>
      </c>
    </row>
    <row r="104" spans="5:29" ht="15.75" thickBot="1">
      <c r="E104" s="175">
        <v>2017</v>
      </c>
      <c r="F104" s="192" t="s">
        <v>252</v>
      </c>
      <c r="H104" t="str">
        <v>$6,281</v>
      </c>
      <c r="I104">
        <v>7</v>
      </c>
      <c r="J104">
        <v>2015</v>
      </c>
      <c r="K104" s="79">
        <v>6281</v>
      </c>
      <c r="Y104">
        <v>2019</v>
      </c>
      <c r="Z104" s="79">
        <v>-12689</v>
      </c>
      <c r="AA104" s="148">
        <f t="shared" si="13"/>
        <v>0.12063940651770733</v>
      </c>
      <c r="AB104">
        <v>2019</v>
      </c>
      <c r="AC104" s="79">
        <f t="shared" si="12"/>
        <v>-1366</v>
      </c>
    </row>
    <row r="105" spans="5:29" ht="15.75" thickBot="1">
      <c r="E105" s="175">
        <v>2016</v>
      </c>
      <c r="F105" s="192" t="s">
        <v>253</v>
      </c>
      <c r="H105" t="str">
        <v>$8,116</v>
      </c>
      <c r="I105">
        <v>8</v>
      </c>
      <c r="J105">
        <v>2016</v>
      </c>
      <c r="K105" s="79">
        <v>8116</v>
      </c>
      <c r="Y105">
        <v>2020</v>
      </c>
      <c r="Z105" s="79">
        <v>-35044</v>
      </c>
      <c r="AA105" s="148">
        <f t="shared" si="13"/>
        <v>1.7617621561982819</v>
      </c>
      <c r="AB105">
        <v>2020</v>
      </c>
      <c r="AC105" s="79">
        <f t="shared" si="12"/>
        <v>-22355</v>
      </c>
    </row>
    <row r="106" spans="5:29" ht="15.75" thickBot="1">
      <c r="E106" s="175">
        <v>2015</v>
      </c>
      <c r="F106" s="192" t="s">
        <v>254</v>
      </c>
      <c r="H106" t="str">
        <v>$11,478</v>
      </c>
      <c r="I106">
        <v>9</v>
      </c>
      <c r="J106">
        <v>2017</v>
      </c>
      <c r="K106" s="79">
        <v>11478</v>
      </c>
      <c r="Y106">
        <v>2021</v>
      </c>
      <c r="Z106" s="79">
        <v>-55396</v>
      </c>
      <c r="AA106" s="148">
        <f t="shared" si="13"/>
        <v>0.58075562150439453</v>
      </c>
      <c r="AB106">
        <v>2021</v>
      </c>
      <c r="AC106" s="79">
        <f t="shared" si="12"/>
        <v>-20352</v>
      </c>
    </row>
    <row r="107" spans="5:29" ht="15.75" thickBot="1">
      <c r="E107" s="175">
        <v>2014</v>
      </c>
      <c r="F107" s="192" t="s">
        <v>255</v>
      </c>
      <c r="H107" t="str">
        <v>$15,341</v>
      </c>
      <c r="I107">
        <v>10</v>
      </c>
      <c r="J107">
        <v>2018</v>
      </c>
      <c r="K107" s="79">
        <v>15341</v>
      </c>
      <c r="Y107">
        <v>2022</v>
      </c>
      <c r="Z107" s="79">
        <v>-58321</v>
      </c>
      <c r="AA107" s="148">
        <f t="shared" si="13"/>
        <v>5.280164632825475E-2</v>
      </c>
      <c r="AB107">
        <v>2022</v>
      </c>
      <c r="AC107" s="79">
        <f t="shared" si="12"/>
        <v>-2925</v>
      </c>
    </row>
    <row r="108" spans="5:29" ht="15.75" thickBot="1">
      <c r="E108" s="175">
        <v>2013</v>
      </c>
      <c r="F108" s="192" t="s">
        <v>256</v>
      </c>
      <c r="H108" t="str">
        <v>$21,789</v>
      </c>
      <c r="I108">
        <v>11</v>
      </c>
      <c r="J108">
        <v>2019</v>
      </c>
      <c r="K108" s="79">
        <v>21789</v>
      </c>
      <c r="Y108">
        <v>2023</v>
      </c>
      <c r="Z108" s="79">
        <v>-48133</v>
      </c>
      <c r="AA108" s="148">
        <f t="shared" si="13"/>
        <v>-0.17468836268239571</v>
      </c>
      <c r="AB108">
        <v>2023</v>
      </c>
      <c r="AC108" s="79">
        <f>Z108-Z107</f>
        <v>10188</v>
      </c>
    </row>
    <row r="109" spans="5:29" ht="15.75" thickBot="1">
      <c r="E109" s="175">
        <v>2012</v>
      </c>
      <c r="F109" s="192" t="s">
        <v>257</v>
      </c>
      <c r="H109" t="str">
        <v>$25,180</v>
      </c>
      <c r="I109">
        <v>12</v>
      </c>
      <c r="J109">
        <v>2020</v>
      </c>
      <c r="K109" s="79">
        <v>25180</v>
      </c>
      <c r="Y109" s="185">
        <v>2024</v>
      </c>
      <c r="Z109" s="186">
        <f>FORECAST(Y109,Z94:Z108,Y94:Y108)</f>
        <v>-49097.295238095336</v>
      </c>
      <c r="AA109" s="148">
        <f t="shared" si="13"/>
        <v>2.0033973325895658E-2</v>
      </c>
      <c r="AB109" s="185">
        <v>2024</v>
      </c>
      <c r="AC109" s="79">
        <f t="shared" si="12"/>
        <v>-964.29523809533566</v>
      </c>
    </row>
    <row r="110" spans="5:29" ht="15.75" thickBot="1">
      <c r="E110" s="175">
        <v>2011</v>
      </c>
      <c r="F110" s="192" t="s">
        <v>258</v>
      </c>
      <c r="H110" t="str">
        <v>$34,433</v>
      </c>
      <c r="I110">
        <v>13</v>
      </c>
      <c r="J110">
        <v>2021</v>
      </c>
      <c r="K110" s="79">
        <v>34433</v>
      </c>
      <c r="Y110" s="185">
        <v>2025</v>
      </c>
      <c r="Z110" s="186">
        <f t="shared" ref="Z110:Z113" si="14">FORECAST(Y110,Z95:Z109,Y95:Y109)</f>
        <v>-54891.01206349209</v>
      </c>
      <c r="AA110" s="148">
        <f t="shared" si="13"/>
        <v>0.11800480652346244</v>
      </c>
      <c r="AB110" s="185">
        <v>2025</v>
      </c>
      <c r="AC110" s="79">
        <f t="shared" si="12"/>
        <v>-5793.7168253967538</v>
      </c>
    </row>
    <row r="111" spans="5:29" ht="15.75" thickBot="1">
      <c r="E111" s="175">
        <v>2010</v>
      </c>
      <c r="F111" s="192" t="s">
        <v>259</v>
      </c>
      <c r="H111" t="str">
        <v>$41,921</v>
      </c>
      <c r="I111">
        <v>14</v>
      </c>
      <c r="J111">
        <v>2022</v>
      </c>
      <c r="K111" s="79">
        <v>41921</v>
      </c>
      <c r="Y111" s="185">
        <v>2026</v>
      </c>
      <c r="Z111" s="186">
        <f t="shared" si="14"/>
        <v>-60935.711606953293</v>
      </c>
      <c r="AA111" s="148">
        <f t="shared" si="13"/>
        <v>0.1101218453846203</v>
      </c>
      <c r="AB111" s="185">
        <v>2026</v>
      </c>
      <c r="AC111" s="79">
        <f t="shared" si="12"/>
        <v>-6044.6995434612036</v>
      </c>
    </row>
    <row r="112" spans="5:29" ht="15">
      <c r="E112" s="175">
        <v>2009</v>
      </c>
      <c r="F112" s="192" t="s">
        <v>260</v>
      </c>
      <c r="H112" t="str">
        <v>$48,663</v>
      </c>
      <c r="I112">
        <v>15</v>
      </c>
      <c r="J112">
        <v>2023</v>
      </c>
      <c r="K112" s="79">
        <v>48663</v>
      </c>
      <c r="Y112" s="185">
        <v>2027</v>
      </c>
      <c r="Z112" s="186">
        <f>FORECAST(Y112,Z97:Z111,Y97:Y111)</f>
        <v>-67186.692588763312</v>
      </c>
      <c r="AA112" s="148">
        <f t="shared" si="13"/>
        <v>0.10258321133804117</v>
      </c>
      <c r="AB112" s="185">
        <v>2027</v>
      </c>
      <c r="AC112" s="79">
        <f t="shared" si="12"/>
        <v>-6250.9809818100184</v>
      </c>
    </row>
    <row r="113" spans="5:29">
      <c r="I113" s="185">
        <v>16</v>
      </c>
      <c r="J113" s="185">
        <v>2024</v>
      </c>
      <c r="K113" s="186">
        <f>I113*L113</f>
        <v>52968.114285714284</v>
      </c>
      <c r="L113">
        <f>M113</f>
        <v>3310.5071428571428</v>
      </c>
      <c r="M113">
        <f>SLOPE(K98:K112,I98:I112)</f>
        <v>3310.5071428571428</v>
      </c>
      <c r="Y113" s="185">
        <v>2028</v>
      </c>
      <c r="Z113" s="186">
        <f t="shared" si="14"/>
        <v>-73734.924357902259</v>
      </c>
      <c r="AA113" s="148">
        <f t="shared" si="13"/>
        <v>9.7463225481560778E-2</v>
      </c>
      <c r="AB113" s="185">
        <v>2028</v>
      </c>
      <c r="AC113" s="79">
        <f t="shared" si="12"/>
        <v>-6548.2317691389471</v>
      </c>
    </row>
    <row r="114" spans="5:29">
      <c r="I114" s="185">
        <v>17</v>
      </c>
      <c r="J114" s="185">
        <v>2025</v>
      </c>
      <c r="K114" s="186">
        <f t="shared" ref="K114:K117" si="15">I114*L114</f>
        <v>56278.621428571423</v>
      </c>
      <c r="L114">
        <f>L113</f>
        <v>3310.5071428571428</v>
      </c>
    </row>
    <row r="115" spans="5:29">
      <c r="I115" s="185">
        <v>18</v>
      </c>
      <c r="J115" s="185">
        <v>2026</v>
      </c>
      <c r="K115" s="186">
        <f t="shared" si="15"/>
        <v>59589.12857142857</v>
      </c>
      <c r="L115">
        <f t="shared" ref="L115:L117" si="16">L114</f>
        <v>3310.5071428571428</v>
      </c>
    </row>
    <row r="116" spans="5:29">
      <c r="I116" s="185">
        <v>19</v>
      </c>
      <c r="J116" s="185">
        <v>2027</v>
      </c>
      <c r="K116" s="186">
        <f t="shared" si="15"/>
        <v>62899.635714285716</v>
      </c>
      <c r="L116">
        <f t="shared" si="16"/>
        <v>3310.5071428571428</v>
      </c>
    </row>
    <row r="117" spans="5:29">
      <c r="I117" s="185">
        <v>20</v>
      </c>
      <c r="J117" s="185">
        <v>2028</v>
      </c>
      <c r="K117" s="186">
        <f t="shared" si="15"/>
        <v>66210.142857142855</v>
      </c>
      <c r="L117">
        <f t="shared" si="16"/>
        <v>3310.5071428571428</v>
      </c>
    </row>
    <row r="121" spans="5:29" ht="15">
      <c r="E121" s="33" t="s">
        <v>261</v>
      </c>
    </row>
    <row r="122" spans="5:29" ht="15" thickBot="1"/>
    <row r="123" spans="5:29" ht="15.75" thickBot="1">
      <c r="E123" s="175">
        <v>2023</v>
      </c>
      <c r="F123" s="175" t="s">
        <v>262</v>
      </c>
      <c r="G123">
        <v>1</v>
      </c>
      <c r="H123" t="str" cm="1">
        <f t="array" ref="H123:H137">_xlfn.SORTBY(F123:F137,_xlfn.SEQUENCE(ROWS(F123:F137)),-1)</f>
        <v>$9,797</v>
      </c>
      <c r="I123">
        <v>2009</v>
      </c>
      <c r="J123" s="79">
        <v>9797</v>
      </c>
    </row>
    <row r="124" spans="5:29" ht="15.75" thickBot="1">
      <c r="E124" s="175">
        <v>2022</v>
      </c>
      <c r="F124" s="175" t="s">
        <v>263</v>
      </c>
      <c r="G124">
        <v>2</v>
      </c>
      <c r="H124" t="str">
        <v>$13,747</v>
      </c>
      <c r="I124">
        <v>2010</v>
      </c>
      <c r="J124" s="79">
        <v>13747</v>
      </c>
    </row>
    <row r="125" spans="5:29" ht="15.75" thickBot="1">
      <c r="E125" s="175">
        <v>2021</v>
      </c>
      <c r="F125" s="175" t="s">
        <v>264</v>
      </c>
      <c r="G125">
        <v>3</v>
      </c>
      <c r="H125" t="str">
        <v>$17,490</v>
      </c>
      <c r="I125">
        <v>2011</v>
      </c>
      <c r="J125" s="79">
        <v>17490</v>
      </c>
    </row>
    <row r="126" spans="5:29" ht="15.75" thickBot="1">
      <c r="E126" s="175">
        <v>2020</v>
      </c>
      <c r="F126" s="175" t="s">
        <v>265</v>
      </c>
      <c r="G126">
        <v>4</v>
      </c>
      <c r="H126" t="str">
        <v>$21,296</v>
      </c>
      <c r="I126">
        <v>2012</v>
      </c>
      <c r="J126" s="79">
        <v>21296</v>
      </c>
    </row>
    <row r="127" spans="5:29" ht="15.75" thickBot="1">
      <c r="E127" s="175">
        <v>2019</v>
      </c>
      <c r="F127" s="175" t="s">
        <v>266</v>
      </c>
      <c r="G127">
        <v>5</v>
      </c>
      <c r="H127" t="str">
        <v>$24,625</v>
      </c>
      <c r="I127">
        <v>2013</v>
      </c>
      <c r="J127" s="79">
        <v>24625</v>
      </c>
    </row>
    <row r="128" spans="5:29" ht="15.75" thickBot="1">
      <c r="E128" s="175">
        <v>2018</v>
      </c>
      <c r="F128" s="175" t="s">
        <v>267</v>
      </c>
      <c r="G128">
        <v>6</v>
      </c>
      <c r="H128" t="str">
        <v>$31,327</v>
      </c>
      <c r="I128">
        <v>2014</v>
      </c>
      <c r="J128" s="79">
        <v>31327</v>
      </c>
    </row>
    <row r="129" spans="5:11" ht="15.75" thickBot="1">
      <c r="E129" s="175">
        <v>2017</v>
      </c>
      <c r="F129" s="175" t="s">
        <v>268</v>
      </c>
      <c r="G129">
        <v>7</v>
      </c>
      <c r="H129" t="str">
        <v>$35,705</v>
      </c>
      <c r="I129">
        <v>2015</v>
      </c>
      <c r="J129" s="79">
        <v>35705</v>
      </c>
    </row>
    <row r="130" spans="5:11" ht="15.75" thickBot="1">
      <c r="E130" s="175">
        <v>2016</v>
      </c>
      <c r="F130" s="175" t="s">
        <v>269</v>
      </c>
      <c r="G130">
        <v>8</v>
      </c>
      <c r="H130" t="str">
        <v>$45,781</v>
      </c>
      <c r="I130">
        <v>2016</v>
      </c>
      <c r="J130" s="79">
        <v>45781</v>
      </c>
    </row>
    <row r="131" spans="5:11" ht="15.75" thickBot="1">
      <c r="E131" s="175">
        <v>2015</v>
      </c>
      <c r="F131" s="175" t="s">
        <v>270</v>
      </c>
      <c r="G131">
        <v>9</v>
      </c>
      <c r="H131" t="str">
        <v>$60,197</v>
      </c>
      <c r="I131">
        <v>2017</v>
      </c>
      <c r="J131" s="79">
        <v>60197</v>
      </c>
    </row>
    <row r="132" spans="5:11" ht="15.75" thickBot="1">
      <c r="E132" s="175">
        <v>2014</v>
      </c>
      <c r="F132" s="175" t="s">
        <v>271</v>
      </c>
      <c r="G132">
        <v>10</v>
      </c>
      <c r="H132" t="str">
        <v>$75,101</v>
      </c>
      <c r="I132">
        <v>2018</v>
      </c>
      <c r="J132" s="79">
        <v>75101</v>
      </c>
    </row>
    <row r="133" spans="5:11" ht="15.75" thickBot="1">
      <c r="E133" s="175">
        <v>2013</v>
      </c>
      <c r="F133" s="175" t="s">
        <v>272</v>
      </c>
      <c r="G133">
        <v>11</v>
      </c>
      <c r="H133" t="str">
        <v>$96,334</v>
      </c>
      <c r="I133">
        <v>2019</v>
      </c>
      <c r="J133" s="79">
        <v>96334</v>
      </c>
    </row>
    <row r="134" spans="5:11" ht="15.75" thickBot="1">
      <c r="E134" s="175">
        <v>2012</v>
      </c>
      <c r="F134" s="175" t="s">
        <v>273</v>
      </c>
      <c r="G134">
        <v>12</v>
      </c>
      <c r="H134" t="str">
        <v>$132,733</v>
      </c>
      <c r="I134">
        <v>2020</v>
      </c>
      <c r="J134" s="79">
        <v>132733</v>
      </c>
    </row>
    <row r="135" spans="5:11" ht="15.75" thickBot="1">
      <c r="E135" s="175">
        <v>2011</v>
      </c>
      <c r="F135" s="175" t="s">
        <v>274</v>
      </c>
      <c r="G135">
        <v>13</v>
      </c>
      <c r="H135" t="str">
        <v>$161,580</v>
      </c>
      <c r="I135">
        <v>2021</v>
      </c>
      <c r="J135" s="79">
        <v>161580</v>
      </c>
    </row>
    <row r="136" spans="5:11" ht="15.75" thickBot="1">
      <c r="E136" s="175">
        <v>2010</v>
      </c>
      <c r="F136" s="175" t="s">
        <v>275</v>
      </c>
      <c r="G136">
        <v>14</v>
      </c>
      <c r="H136" t="str">
        <v>$146,791</v>
      </c>
      <c r="I136">
        <v>2022</v>
      </c>
      <c r="J136" s="79">
        <v>146791</v>
      </c>
    </row>
    <row r="137" spans="5:11" ht="15">
      <c r="E137" s="175">
        <v>2009</v>
      </c>
      <c r="F137" s="175" t="s">
        <v>276</v>
      </c>
      <c r="G137">
        <v>15</v>
      </c>
      <c r="H137" t="str">
        <v>$172,351</v>
      </c>
      <c r="I137">
        <v>2023</v>
      </c>
      <c r="J137" s="79">
        <v>172351</v>
      </c>
    </row>
    <row r="138" spans="5:11">
      <c r="G138" s="185">
        <v>16</v>
      </c>
      <c r="H138" s="185"/>
      <c r="I138" s="185">
        <v>2024</v>
      </c>
      <c r="J138" s="186">
        <f>G138*K138</f>
        <v>195971.82857142857</v>
      </c>
      <c r="K138">
        <f>SLOPE(J123:J137,G123:G137)</f>
        <v>12248.239285714286</v>
      </c>
    </row>
    <row r="139" spans="5:11">
      <c r="G139" s="185">
        <v>17</v>
      </c>
      <c r="H139" s="185"/>
      <c r="I139" s="185">
        <v>2025</v>
      </c>
      <c r="J139" s="186">
        <f t="shared" ref="J139:J142" si="17">G139*K139</f>
        <v>208220.06785714286</v>
      </c>
      <c r="K139">
        <f>K138</f>
        <v>12248.239285714286</v>
      </c>
    </row>
    <row r="140" spans="5:11">
      <c r="G140" s="185">
        <v>18</v>
      </c>
      <c r="H140" s="185"/>
      <c r="I140" s="185">
        <v>2026</v>
      </c>
      <c r="J140" s="186">
        <f t="shared" si="17"/>
        <v>220468.30714285714</v>
      </c>
      <c r="K140">
        <f t="shared" ref="K140:K142" si="18">K139</f>
        <v>12248.239285714286</v>
      </c>
    </row>
    <row r="141" spans="5:11">
      <c r="G141" s="185">
        <v>19</v>
      </c>
      <c r="H141" s="185"/>
      <c r="I141" s="185">
        <v>2027</v>
      </c>
      <c r="J141" s="186">
        <f t="shared" si="17"/>
        <v>232716.54642857143</v>
      </c>
      <c r="K141">
        <f t="shared" si="18"/>
        <v>12248.239285714286</v>
      </c>
    </row>
    <row r="142" spans="5:11">
      <c r="G142" s="185">
        <v>20</v>
      </c>
      <c r="H142" s="185"/>
      <c r="I142" s="185">
        <v>2028</v>
      </c>
      <c r="J142" s="186">
        <f t="shared" si="17"/>
        <v>244964.78571428571</v>
      </c>
      <c r="K142">
        <f t="shared" si="18"/>
        <v>12248.239285714286</v>
      </c>
    </row>
    <row r="143" spans="5:11" ht="15" thickBot="1"/>
    <row r="144" spans="5:11" ht="15.75" thickBot="1">
      <c r="E144" s="175">
        <v>2023</v>
      </c>
      <c r="F144" s="175" t="s">
        <v>277</v>
      </c>
      <c r="G144" s="9">
        <v>1</v>
      </c>
      <c r="H144" t="str" cm="1">
        <f t="array" ref="H144:H158">_xlfn.SORTBY(F144:F158,_xlfn.SEQUENCE(ROWS(F144:F158)),-1)</f>
        <v>$6,366</v>
      </c>
      <c r="I144">
        <v>2009</v>
      </c>
      <c r="J144" s="79">
        <v>6366</v>
      </c>
    </row>
    <row r="145" spans="5:11" ht="15.75" thickBot="1">
      <c r="E145" s="175">
        <v>2022</v>
      </c>
      <c r="F145" s="175" t="s">
        <v>278</v>
      </c>
      <c r="G145" s="9">
        <v>2</v>
      </c>
      <c r="H145" t="str">
        <v>$8,762</v>
      </c>
      <c r="I145">
        <v>2010</v>
      </c>
      <c r="J145" s="79">
        <v>8762</v>
      </c>
    </row>
    <row r="146" spans="5:11" ht="15.75" thickBot="1">
      <c r="E146" s="175">
        <v>2021</v>
      </c>
      <c r="F146" s="175" t="s">
        <v>279</v>
      </c>
      <c r="G146">
        <v>3</v>
      </c>
      <c r="H146" t="str">
        <v>$9,576</v>
      </c>
      <c r="I146">
        <v>2011</v>
      </c>
      <c r="J146" s="79">
        <v>9576</v>
      </c>
    </row>
    <row r="147" spans="5:11" ht="15.75" thickBot="1">
      <c r="E147" s="175">
        <v>2020</v>
      </c>
      <c r="F147" s="175" t="s">
        <v>280</v>
      </c>
      <c r="G147" s="9">
        <v>4</v>
      </c>
      <c r="H147" t="str">
        <v>$11,448</v>
      </c>
      <c r="I147">
        <v>2012</v>
      </c>
      <c r="J147" s="79">
        <v>11448</v>
      </c>
    </row>
    <row r="148" spans="5:11" ht="15.75" thickBot="1">
      <c r="E148" s="175">
        <v>2019</v>
      </c>
      <c r="F148" s="175" t="s">
        <v>281</v>
      </c>
      <c r="G148" s="9">
        <v>5</v>
      </c>
      <c r="H148" t="str">
        <v>$12,447</v>
      </c>
      <c r="I148">
        <v>2013</v>
      </c>
      <c r="J148" s="79">
        <v>12447</v>
      </c>
    </row>
    <row r="149" spans="5:11" ht="15.75" thickBot="1">
      <c r="E149" s="175">
        <v>2018</v>
      </c>
      <c r="F149" s="175" t="s">
        <v>282</v>
      </c>
      <c r="G149">
        <v>6</v>
      </c>
      <c r="H149" t="str">
        <v>$17,416</v>
      </c>
      <c r="I149">
        <v>2014</v>
      </c>
      <c r="J149" s="79">
        <v>17416</v>
      </c>
    </row>
    <row r="150" spans="5:11" ht="15.75" thickBot="1">
      <c r="E150" s="175">
        <v>2017</v>
      </c>
      <c r="F150" s="175" t="s">
        <v>283</v>
      </c>
      <c r="G150" s="9">
        <v>7</v>
      </c>
      <c r="H150" t="str">
        <v>$19,808</v>
      </c>
      <c r="I150">
        <v>2015</v>
      </c>
      <c r="J150" s="79">
        <v>19808</v>
      </c>
    </row>
    <row r="151" spans="5:11" ht="15.75" thickBot="1">
      <c r="E151" s="175">
        <v>2016</v>
      </c>
      <c r="F151" s="175" t="s">
        <v>284</v>
      </c>
      <c r="G151" s="9">
        <v>8</v>
      </c>
      <c r="H151" t="str">
        <v>$25,981</v>
      </c>
      <c r="I151">
        <v>2016</v>
      </c>
      <c r="J151" s="79">
        <v>25981</v>
      </c>
    </row>
    <row r="152" spans="5:11" ht="15.75" thickBot="1">
      <c r="E152" s="175">
        <v>2015</v>
      </c>
      <c r="F152" s="175" t="s">
        <v>285</v>
      </c>
      <c r="G152">
        <v>9</v>
      </c>
      <c r="H152" t="str">
        <v>$30,986</v>
      </c>
      <c r="I152">
        <v>2017</v>
      </c>
      <c r="J152" s="79">
        <v>30986</v>
      </c>
    </row>
    <row r="153" spans="5:11" ht="15.75" thickBot="1">
      <c r="E153" s="175">
        <v>2014</v>
      </c>
      <c r="F153" s="175" t="s">
        <v>286</v>
      </c>
      <c r="G153" s="9">
        <v>10</v>
      </c>
      <c r="H153" t="str">
        <v>$41,250</v>
      </c>
      <c r="I153">
        <v>2018</v>
      </c>
      <c r="J153" s="79">
        <v>41250</v>
      </c>
    </row>
    <row r="154" spans="5:11" ht="15.75" thickBot="1">
      <c r="E154" s="175">
        <v>2013</v>
      </c>
      <c r="F154" s="175" t="s">
        <v>287</v>
      </c>
      <c r="G154" s="9">
        <v>11</v>
      </c>
      <c r="H154" t="str">
        <v>$55,021</v>
      </c>
      <c r="I154">
        <v>2019</v>
      </c>
      <c r="J154" s="79">
        <v>55021</v>
      </c>
    </row>
    <row r="155" spans="5:11" ht="15.75" thickBot="1">
      <c r="E155" s="175">
        <v>2012</v>
      </c>
      <c r="F155" s="175" t="s">
        <v>288</v>
      </c>
      <c r="G155">
        <v>12</v>
      </c>
      <c r="H155" t="str">
        <v>$84,396</v>
      </c>
      <c r="I155">
        <v>2020</v>
      </c>
      <c r="J155" s="79">
        <v>84396</v>
      </c>
    </row>
    <row r="156" spans="5:11" ht="15.75" thickBot="1">
      <c r="E156" s="175">
        <v>2011</v>
      </c>
      <c r="F156" s="175" t="s">
        <v>289</v>
      </c>
      <c r="G156" s="9">
        <v>13</v>
      </c>
      <c r="H156" t="str">
        <v>$96,049</v>
      </c>
      <c r="I156">
        <v>2021</v>
      </c>
      <c r="J156" s="79">
        <v>96049</v>
      </c>
    </row>
    <row r="157" spans="5:11" ht="15.75" thickBot="1">
      <c r="E157" s="175">
        <v>2010</v>
      </c>
      <c r="F157" s="175" t="s">
        <v>290</v>
      </c>
      <c r="G157" s="9">
        <v>14</v>
      </c>
      <c r="H157" t="str">
        <v>$70,026</v>
      </c>
      <c r="I157">
        <v>2022</v>
      </c>
      <c r="J157" s="79">
        <v>70026</v>
      </c>
    </row>
    <row r="158" spans="5:11" ht="15">
      <c r="E158" s="175">
        <v>2009</v>
      </c>
      <c r="F158" s="175" t="s">
        <v>291</v>
      </c>
      <c r="G158">
        <v>15</v>
      </c>
      <c r="H158" t="str">
        <v>$86,780</v>
      </c>
      <c r="I158">
        <v>2023</v>
      </c>
      <c r="J158" s="79">
        <v>86780</v>
      </c>
    </row>
    <row r="159" spans="5:11">
      <c r="G159" s="9">
        <v>16</v>
      </c>
      <c r="I159" s="185">
        <v>2024</v>
      </c>
      <c r="J159" s="79">
        <f>G159*K159</f>
        <v>105211.82857142857</v>
      </c>
      <c r="K159">
        <f>SLOPE(J144:J158,G144:G158)</f>
        <v>6575.7392857142859</v>
      </c>
    </row>
    <row r="160" spans="5:11">
      <c r="G160" s="9">
        <v>17</v>
      </c>
      <c r="I160" s="185">
        <v>2025</v>
      </c>
      <c r="J160" s="79">
        <f t="shared" ref="J160:J163" si="19">G160*K160</f>
        <v>111787.56785714286</v>
      </c>
      <c r="K160">
        <f>K159</f>
        <v>6575.7392857142859</v>
      </c>
    </row>
    <row r="161" spans="3:11">
      <c r="G161">
        <v>18</v>
      </c>
      <c r="I161" s="185">
        <v>2026</v>
      </c>
      <c r="J161" s="79">
        <f t="shared" si="19"/>
        <v>118363.30714285714</v>
      </c>
      <c r="K161">
        <f t="shared" ref="K161:K163" si="20">K160</f>
        <v>6575.7392857142859</v>
      </c>
    </row>
    <row r="162" spans="3:11">
      <c r="G162" s="9">
        <v>19</v>
      </c>
      <c r="I162" s="185">
        <v>2027</v>
      </c>
      <c r="J162" s="79">
        <f t="shared" si="19"/>
        <v>124939.04642857143</v>
      </c>
      <c r="K162">
        <f t="shared" si="20"/>
        <v>6575.7392857142859</v>
      </c>
    </row>
    <row r="163" spans="3:11">
      <c r="G163" s="9">
        <v>20</v>
      </c>
      <c r="I163" s="185">
        <v>2028</v>
      </c>
      <c r="J163" s="79">
        <f t="shared" si="19"/>
        <v>131514.78571428571</v>
      </c>
      <c r="K163">
        <f t="shared" si="20"/>
        <v>6575.7392857142859</v>
      </c>
    </row>
    <row r="166" spans="3:11" ht="15" thickBot="1">
      <c r="H166" t="s">
        <v>292</v>
      </c>
    </row>
    <row r="167" spans="3:11">
      <c r="H167" s="197">
        <v>2024</v>
      </c>
      <c r="I167" s="198">
        <f>J138-J159</f>
        <v>90760</v>
      </c>
    </row>
    <row r="168" spans="3:11">
      <c r="H168" s="199">
        <v>2025</v>
      </c>
      <c r="I168" s="200">
        <f t="shared" ref="I168:I171" si="21">J139-J160</f>
        <v>96432.5</v>
      </c>
    </row>
    <row r="169" spans="3:11">
      <c r="H169" s="199">
        <v>2026</v>
      </c>
      <c r="I169" s="200">
        <f t="shared" si="21"/>
        <v>102105</v>
      </c>
    </row>
    <row r="170" spans="3:11">
      <c r="H170" s="199">
        <v>2027</v>
      </c>
      <c r="I170" s="200">
        <f t="shared" si="21"/>
        <v>107777.5</v>
      </c>
    </row>
    <row r="171" spans="3:11" ht="15" thickBot="1">
      <c r="H171" s="201">
        <v>2028</v>
      </c>
      <c r="I171" s="202">
        <f t="shared" si="21"/>
        <v>113450</v>
      </c>
    </row>
    <row r="174" spans="3:11" ht="15">
      <c r="C174" s="33" t="s">
        <v>293</v>
      </c>
    </row>
    <row r="175" spans="3:11" ht="15" thickBot="1">
      <c r="J175" t="s">
        <v>309</v>
      </c>
    </row>
    <row r="176" spans="3:11" ht="15.75" thickBot="1">
      <c r="E176" s="175">
        <v>2023</v>
      </c>
      <c r="F176" s="175" t="s">
        <v>294</v>
      </c>
      <c r="G176">
        <v>1</v>
      </c>
      <c r="H176">
        <v>2009</v>
      </c>
      <c r="I176" s="79">
        <v>7364</v>
      </c>
      <c r="J176" s="148"/>
      <c r="K176" t="str" cm="1">
        <f t="array" ref="K176:K190">_xlfn.SORTBY(F176:F190,_xlfn.SEQUENCE(ROWS(F176:F190)),-1)</f>
        <v>$7,364</v>
      </c>
    </row>
    <row r="177" spans="5:13" ht="15.75" thickBot="1">
      <c r="E177" s="175">
        <v>2022</v>
      </c>
      <c r="F177" s="175" t="s">
        <v>295</v>
      </c>
      <c r="G177">
        <v>2</v>
      </c>
      <c r="H177">
        <v>2010</v>
      </c>
      <c r="I177" s="79">
        <v>10372</v>
      </c>
      <c r="J177" s="148">
        <f>(I177-I176)/I176</f>
        <v>0.4084736556219446</v>
      </c>
      <c r="K177" t="str">
        <v>$10,372</v>
      </c>
    </row>
    <row r="178" spans="5:13" ht="15.75" thickBot="1">
      <c r="E178" s="175">
        <v>2021</v>
      </c>
      <c r="F178" s="175" t="s">
        <v>296</v>
      </c>
      <c r="G178">
        <v>3</v>
      </c>
      <c r="H178">
        <v>2011</v>
      </c>
      <c r="I178" s="79">
        <v>14896</v>
      </c>
      <c r="J178" s="148">
        <f t="shared" ref="J178:J195" si="22">(I178-I177)/I177</f>
        <v>0.43617431546471269</v>
      </c>
      <c r="K178" t="str">
        <v>$14,896</v>
      </c>
    </row>
    <row r="179" spans="5:13" ht="15.75" thickBot="1">
      <c r="E179" s="175">
        <v>2020</v>
      </c>
      <c r="F179" s="175" t="s">
        <v>297</v>
      </c>
      <c r="G179">
        <v>4</v>
      </c>
      <c r="H179">
        <v>2012</v>
      </c>
      <c r="I179" s="79">
        <v>19002</v>
      </c>
      <c r="J179" s="148">
        <f t="shared" si="22"/>
        <v>0.27564446831364126</v>
      </c>
      <c r="K179" t="str">
        <v>$19,002</v>
      </c>
    </row>
    <row r="180" spans="5:13" ht="15.75" thickBot="1">
      <c r="E180" s="175">
        <v>2019</v>
      </c>
      <c r="F180" s="175" t="s">
        <v>298</v>
      </c>
      <c r="G180">
        <v>5</v>
      </c>
      <c r="H180">
        <v>2013</v>
      </c>
      <c r="I180" s="79">
        <v>22980</v>
      </c>
      <c r="J180" s="148">
        <f t="shared" si="22"/>
        <v>0.20934638459109567</v>
      </c>
      <c r="K180" t="str">
        <v>$22,980</v>
      </c>
    </row>
    <row r="181" spans="5:13" ht="15.75" thickBot="1">
      <c r="E181" s="175">
        <v>2018</v>
      </c>
      <c r="F181" s="175" t="s">
        <v>299</v>
      </c>
      <c r="G181">
        <v>6</v>
      </c>
      <c r="H181">
        <v>2014</v>
      </c>
      <c r="I181" s="79">
        <v>28089</v>
      </c>
      <c r="J181" s="148">
        <f t="shared" si="22"/>
        <v>0.2223237597911227</v>
      </c>
      <c r="K181" t="str">
        <v>$28,089</v>
      </c>
    </row>
    <row r="182" spans="5:13" ht="15.75" thickBot="1">
      <c r="E182" s="175">
        <v>2017</v>
      </c>
      <c r="F182" s="175" t="s">
        <v>300</v>
      </c>
      <c r="G182">
        <v>7</v>
      </c>
      <c r="H182">
        <v>2015</v>
      </c>
      <c r="I182" s="79">
        <v>33887</v>
      </c>
      <c r="J182" s="148">
        <f t="shared" si="22"/>
        <v>0.20641532272419807</v>
      </c>
      <c r="K182" t="str">
        <v>$33,887</v>
      </c>
    </row>
    <row r="183" spans="5:13" ht="15.75" thickBot="1">
      <c r="E183" s="175">
        <v>2016</v>
      </c>
      <c r="F183" s="175" t="s">
        <v>301</v>
      </c>
      <c r="G183">
        <v>8</v>
      </c>
      <c r="H183">
        <v>2016</v>
      </c>
      <c r="I183" s="79">
        <v>43816</v>
      </c>
      <c r="J183" s="148">
        <f t="shared" si="22"/>
        <v>0.29300321657272699</v>
      </c>
      <c r="K183" t="str">
        <v>$43,816</v>
      </c>
    </row>
    <row r="184" spans="5:13" ht="15.75" thickBot="1">
      <c r="E184" s="175">
        <v>2015</v>
      </c>
      <c r="F184" s="175" t="s">
        <v>302</v>
      </c>
      <c r="G184">
        <v>9</v>
      </c>
      <c r="H184">
        <v>2017</v>
      </c>
      <c r="I184" s="79">
        <v>57883</v>
      </c>
      <c r="J184" s="148">
        <f t="shared" si="22"/>
        <v>0.32104710607997078</v>
      </c>
      <c r="K184" t="str">
        <v>$57,883</v>
      </c>
    </row>
    <row r="185" spans="5:13" ht="15.75" thickBot="1">
      <c r="E185" s="175">
        <v>2014</v>
      </c>
      <c r="F185" s="175" t="s">
        <v>303</v>
      </c>
      <c r="G185">
        <v>10</v>
      </c>
      <c r="H185">
        <v>2018</v>
      </c>
      <c r="I185" s="79">
        <v>68391</v>
      </c>
      <c r="J185" s="148">
        <f t="shared" si="22"/>
        <v>0.18153862101135049</v>
      </c>
      <c r="K185" t="str">
        <v>$68,391</v>
      </c>
    </row>
    <row r="186" spans="5:13" ht="15.75" thickBot="1">
      <c r="E186" s="175">
        <v>2013</v>
      </c>
      <c r="F186" s="175" t="s">
        <v>304</v>
      </c>
      <c r="G186">
        <v>11</v>
      </c>
      <c r="H186">
        <v>2019</v>
      </c>
      <c r="I186" s="79">
        <v>87812</v>
      </c>
      <c r="J186" s="148">
        <f t="shared" si="22"/>
        <v>0.28397011302656783</v>
      </c>
      <c r="K186" t="str">
        <v>$87,812</v>
      </c>
    </row>
    <row r="187" spans="5:13" ht="15.75" thickBot="1">
      <c r="E187" s="175">
        <v>2012</v>
      </c>
      <c r="F187" s="175" t="s">
        <v>305</v>
      </c>
      <c r="G187">
        <v>12</v>
      </c>
      <c r="H187">
        <v>2020</v>
      </c>
      <c r="I187" s="79">
        <v>126385</v>
      </c>
      <c r="J187" s="148">
        <f t="shared" si="22"/>
        <v>0.43926798159704822</v>
      </c>
      <c r="K187" t="str">
        <v>$126,385</v>
      </c>
    </row>
    <row r="188" spans="5:13" ht="15.75" thickBot="1">
      <c r="E188" s="175">
        <v>2011</v>
      </c>
      <c r="F188" s="175" t="s">
        <v>306</v>
      </c>
      <c r="G188">
        <v>13</v>
      </c>
      <c r="H188">
        <v>2021</v>
      </c>
      <c r="I188" s="79">
        <v>142266</v>
      </c>
      <c r="J188" s="148">
        <f t="shared" si="22"/>
        <v>0.12565573446215927</v>
      </c>
      <c r="K188" t="str">
        <v>$142,266</v>
      </c>
    </row>
    <row r="189" spans="5:13" ht="15.75" thickBot="1">
      <c r="E189" s="175">
        <v>2010</v>
      </c>
      <c r="F189" s="175" t="s">
        <v>307</v>
      </c>
      <c r="G189">
        <v>14</v>
      </c>
      <c r="H189">
        <v>2022</v>
      </c>
      <c r="I189" s="79">
        <v>155393</v>
      </c>
      <c r="J189" s="148">
        <f t="shared" si="22"/>
        <v>9.2270816639253225E-2</v>
      </c>
      <c r="K189" t="str">
        <v>$155,393</v>
      </c>
    </row>
    <row r="190" spans="5:13" ht="15">
      <c r="E190" s="175">
        <v>2009</v>
      </c>
      <c r="F190" s="175" t="s">
        <v>308</v>
      </c>
      <c r="G190">
        <v>15</v>
      </c>
      <c r="H190">
        <v>2023</v>
      </c>
      <c r="I190" s="79">
        <v>164917</v>
      </c>
      <c r="J190" s="148">
        <f t="shared" si="22"/>
        <v>6.1289762087095301E-2</v>
      </c>
      <c r="K190" t="str">
        <v>$164,917</v>
      </c>
    </row>
    <row r="191" spans="5:13" ht="15">
      <c r="G191" s="185">
        <v>16</v>
      </c>
      <c r="H191" s="185">
        <v>2024</v>
      </c>
      <c r="I191" s="186">
        <f>G191*M191</f>
        <v>205956.8</v>
      </c>
      <c r="J191" s="148">
        <f t="shared" si="22"/>
        <v>0.24885124032088862</v>
      </c>
      <c r="K191" s="33" t="s">
        <v>211</v>
      </c>
      <c r="L191">
        <f>SLOPE(I176:I190,G176:G190)</f>
        <v>11923.125</v>
      </c>
      <c r="M191">
        <f>SLOPE(I187:I190,G187:G190)</f>
        <v>12872.3</v>
      </c>
    </row>
    <row r="192" spans="5:13">
      <c r="G192" s="185">
        <v>17</v>
      </c>
      <c r="H192" s="185">
        <v>2025</v>
      </c>
      <c r="I192" s="186">
        <f>G192*M192</f>
        <v>218829.09999999998</v>
      </c>
      <c r="J192" s="148">
        <f t="shared" si="22"/>
        <v>6.2499999999999944E-2</v>
      </c>
      <c r="L192">
        <f>L191</f>
        <v>11923.125</v>
      </c>
      <c r="M192">
        <f>M191</f>
        <v>12872.3</v>
      </c>
    </row>
    <row r="193" spans="5:13">
      <c r="G193" s="185">
        <v>18</v>
      </c>
      <c r="H193" s="185">
        <v>2026</v>
      </c>
      <c r="I193" s="186">
        <f>G193*M193</f>
        <v>231701.4</v>
      </c>
      <c r="J193" s="148">
        <f t="shared" si="22"/>
        <v>5.8823529411764795E-2</v>
      </c>
      <c r="L193">
        <f t="shared" ref="L193:L195" si="23">L192</f>
        <v>11923.125</v>
      </c>
      <c r="M193">
        <f t="shared" ref="M193:M195" si="24">M192</f>
        <v>12872.3</v>
      </c>
    </row>
    <row r="194" spans="5:13">
      <c r="G194" s="185">
        <v>19</v>
      </c>
      <c r="H194" s="185">
        <v>2027</v>
      </c>
      <c r="I194" s="186">
        <f t="shared" ref="I194:I195" si="25">G194*M194</f>
        <v>244573.69999999998</v>
      </c>
      <c r="J194" s="148">
        <f t="shared" si="22"/>
        <v>5.5555555555555504E-2</v>
      </c>
      <c r="L194">
        <f t="shared" si="23"/>
        <v>11923.125</v>
      </c>
      <c r="M194">
        <f t="shared" si="24"/>
        <v>12872.3</v>
      </c>
    </row>
    <row r="195" spans="5:13">
      <c r="G195" s="185">
        <v>20</v>
      </c>
      <c r="H195" s="185">
        <v>2028</v>
      </c>
      <c r="I195" s="186">
        <f t="shared" si="25"/>
        <v>257446</v>
      </c>
      <c r="J195" s="148">
        <f t="shared" si="22"/>
        <v>5.2631578947368494E-2</v>
      </c>
      <c r="L195">
        <f t="shared" si="23"/>
        <v>11923.125</v>
      </c>
      <c r="M195">
        <f t="shared" si="24"/>
        <v>12872.3</v>
      </c>
    </row>
    <row r="197" spans="5:13" ht="15" thickBot="1"/>
    <row r="198" spans="5:13" ht="15.75" thickBot="1">
      <c r="E198" s="175">
        <v>2023</v>
      </c>
      <c r="F198" s="175" t="s">
        <v>311</v>
      </c>
      <c r="G198">
        <v>1</v>
      </c>
      <c r="H198">
        <v>2010</v>
      </c>
      <c r="I198" s="79">
        <v>1561</v>
      </c>
      <c r="K198" t="str" cm="1">
        <f t="array" ref="K198:K211">_xlfn.SORTBY(F198:F211,_xlfn.SEQUENCE(ROWS(F198:F211)),-1)</f>
        <v>$1,561</v>
      </c>
    </row>
    <row r="199" spans="5:13" ht="15.75" thickBot="1">
      <c r="E199" s="175">
        <v>2022</v>
      </c>
      <c r="F199" s="175" t="s">
        <v>312</v>
      </c>
      <c r="G199">
        <v>2</v>
      </c>
      <c r="H199">
        <v>2011</v>
      </c>
      <c r="I199" s="79">
        <v>255</v>
      </c>
      <c r="K199" t="str">
        <v>$255</v>
      </c>
    </row>
    <row r="200" spans="5:13" ht="15.75" thickBot="1">
      <c r="E200" s="175">
        <v>2021</v>
      </c>
      <c r="F200" s="175" t="s">
        <v>313</v>
      </c>
      <c r="G200">
        <v>3</v>
      </c>
      <c r="H200">
        <v>2012</v>
      </c>
      <c r="I200" s="79">
        <v>3084</v>
      </c>
      <c r="K200" t="str">
        <v>$3,084</v>
      </c>
    </row>
    <row r="201" spans="5:13" ht="15.75" thickBot="1">
      <c r="E201" s="175">
        <v>2020</v>
      </c>
      <c r="F201" s="175" t="s">
        <v>314</v>
      </c>
      <c r="G201">
        <v>4</v>
      </c>
      <c r="H201">
        <v>2013</v>
      </c>
      <c r="I201" s="79">
        <v>3191</v>
      </c>
      <c r="K201" t="str">
        <v>$3,191</v>
      </c>
    </row>
    <row r="202" spans="5:13" ht="15.75" thickBot="1">
      <c r="E202" s="175">
        <v>2019</v>
      </c>
      <c r="F202" s="175" t="s">
        <v>315</v>
      </c>
      <c r="G202">
        <v>5</v>
      </c>
      <c r="H202">
        <v>2014</v>
      </c>
      <c r="I202" s="79">
        <v>8265</v>
      </c>
      <c r="K202" t="str">
        <v>$8,265</v>
      </c>
    </row>
    <row r="203" spans="5:13" ht="15.75" thickBot="1">
      <c r="E203" s="175">
        <v>2018</v>
      </c>
      <c r="F203" s="175" t="s">
        <v>316</v>
      </c>
      <c r="G203">
        <v>6</v>
      </c>
      <c r="H203">
        <v>2015</v>
      </c>
      <c r="I203" s="79">
        <v>8227</v>
      </c>
      <c r="K203" t="str">
        <v>$8,227</v>
      </c>
    </row>
    <row r="204" spans="5:13" ht="15.75" thickBot="1">
      <c r="E204" s="175">
        <v>2017</v>
      </c>
      <c r="F204" s="175" t="s">
        <v>317</v>
      </c>
      <c r="G204">
        <v>7</v>
      </c>
      <c r="H204">
        <v>2016</v>
      </c>
      <c r="I204" s="79">
        <v>7694</v>
      </c>
      <c r="K204" t="str">
        <v>$7,694</v>
      </c>
    </row>
    <row r="205" spans="5:13" ht="15.75" thickBot="1">
      <c r="E205" s="175">
        <v>2016</v>
      </c>
      <c r="F205" s="175" t="s">
        <v>318</v>
      </c>
      <c r="G205">
        <v>8</v>
      </c>
      <c r="H205">
        <v>2017</v>
      </c>
      <c r="I205" s="79">
        <v>24743</v>
      </c>
      <c r="K205" t="str">
        <v>$24,743</v>
      </c>
    </row>
    <row r="206" spans="5:13" ht="15.75" thickBot="1">
      <c r="E206" s="175">
        <v>2015</v>
      </c>
      <c r="F206" s="175" t="s">
        <v>319</v>
      </c>
      <c r="G206">
        <v>9</v>
      </c>
      <c r="H206">
        <v>2018</v>
      </c>
      <c r="I206" s="79">
        <v>23495</v>
      </c>
      <c r="K206" t="str">
        <v>$23,495</v>
      </c>
    </row>
    <row r="207" spans="5:13" ht="15.75" thickBot="1">
      <c r="E207" s="175">
        <v>2014</v>
      </c>
      <c r="F207" s="175" t="s">
        <v>320</v>
      </c>
      <c r="G207">
        <v>10</v>
      </c>
      <c r="H207">
        <v>2019</v>
      </c>
      <c r="I207" s="79">
        <v>23414</v>
      </c>
      <c r="K207" t="str">
        <v>$23,414</v>
      </c>
    </row>
    <row r="208" spans="5:13" ht="15.75" thickBot="1">
      <c r="E208" s="175">
        <v>2013</v>
      </c>
      <c r="F208" s="175" t="s">
        <v>321</v>
      </c>
      <c r="G208">
        <v>11</v>
      </c>
      <c r="H208">
        <v>2020</v>
      </c>
      <c r="I208" s="79">
        <v>31816</v>
      </c>
      <c r="K208" t="str">
        <v>$31,816</v>
      </c>
    </row>
    <row r="209" spans="5:23" ht="15.75" thickBot="1">
      <c r="E209" s="175">
        <v>2012</v>
      </c>
      <c r="F209" s="175" t="s">
        <v>322</v>
      </c>
      <c r="G209">
        <v>12</v>
      </c>
      <c r="H209">
        <v>2021</v>
      </c>
      <c r="I209" s="79">
        <v>48744</v>
      </c>
      <c r="K209" t="str">
        <v>$48,744</v>
      </c>
    </row>
    <row r="210" spans="5:23" ht="15.75" thickBot="1">
      <c r="E210" s="175">
        <v>2011</v>
      </c>
      <c r="F210" s="175" t="s">
        <v>323</v>
      </c>
      <c r="G210">
        <v>13</v>
      </c>
      <c r="H210">
        <v>2022</v>
      </c>
      <c r="I210" s="79">
        <v>67150</v>
      </c>
      <c r="K210" t="str">
        <v>$67,150</v>
      </c>
    </row>
    <row r="211" spans="5:23" ht="15.75" thickBot="1">
      <c r="E211" s="175">
        <v>2010</v>
      </c>
      <c r="F211" s="175" t="s">
        <v>324</v>
      </c>
      <c r="G211">
        <v>14</v>
      </c>
      <c r="H211">
        <v>2023</v>
      </c>
      <c r="I211" s="79">
        <v>58314</v>
      </c>
      <c r="K211" t="str">
        <v>$58,314</v>
      </c>
    </row>
    <row r="212" spans="5:23" ht="15.75" thickBot="1">
      <c r="G212" s="185">
        <v>15</v>
      </c>
      <c r="H212" s="185">
        <v>2024</v>
      </c>
      <c r="I212" s="79">
        <f>G212*J212</f>
        <v>73303.747252747256</v>
      </c>
      <c r="J212">
        <f>SLOPE(I198:I211,G198:G211)</f>
        <v>4886.9164835164838</v>
      </c>
      <c r="R212" s="175">
        <v>2023</v>
      </c>
      <c r="S212" s="175" t="s">
        <v>326</v>
      </c>
      <c r="T212">
        <v>1</v>
      </c>
      <c r="U212">
        <v>2011</v>
      </c>
      <c r="V212" s="79">
        <v>2370</v>
      </c>
      <c r="W212" t="str" cm="1">
        <f t="array" ref="W212:W224">_xlfn.SORTBY(S212:S224,_xlfn.SEQUENCE(ROWS(S212:S224)),-1)</f>
        <v>$2,370</v>
      </c>
    </row>
    <row r="213" spans="5:23" ht="15.75" thickBot="1">
      <c r="G213" s="185">
        <v>16</v>
      </c>
      <c r="H213" s="185">
        <v>2025</v>
      </c>
      <c r="I213" s="79">
        <f t="shared" ref="I213:I216" si="26">G213*J213</f>
        <v>78190.663736263741</v>
      </c>
      <c r="J213">
        <f>J212</f>
        <v>4886.9164835164838</v>
      </c>
      <c r="R213" s="175">
        <v>2022</v>
      </c>
      <c r="S213" s="175" t="s">
        <v>327</v>
      </c>
      <c r="T213">
        <v>2</v>
      </c>
      <c r="U213">
        <v>2012</v>
      </c>
      <c r="V213" s="79">
        <v>2277</v>
      </c>
      <c r="W213" t="str">
        <v>$2,277</v>
      </c>
    </row>
    <row r="214" spans="5:23" ht="15.75" thickBot="1">
      <c r="G214" s="185">
        <v>17</v>
      </c>
      <c r="H214" s="185">
        <v>2026</v>
      </c>
      <c r="I214" s="79">
        <f t="shared" si="26"/>
        <v>83077.580219780226</v>
      </c>
      <c r="J214">
        <f t="shared" ref="J214:J216" si="27">J213</f>
        <v>4886.9164835164838</v>
      </c>
      <c r="R214" s="175">
        <v>2021</v>
      </c>
      <c r="S214" s="175" t="s">
        <v>328</v>
      </c>
      <c r="T214">
        <v>3</v>
      </c>
      <c r="U214">
        <v>2013</v>
      </c>
      <c r="V214" s="79">
        <v>4242</v>
      </c>
      <c r="W214" t="str">
        <v>$4,242</v>
      </c>
    </row>
    <row r="215" spans="5:23" ht="15.75" thickBot="1">
      <c r="G215" s="185">
        <v>18</v>
      </c>
      <c r="H215" s="185">
        <v>2027</v>
      </c>
      <c r="I215" s="79">
        <f t="shared" si="26"/>
        <v>87964.496703296711</v>
      </c>
      <c r="J215">
        <f t="shared" si="27"/>
        <v>4886.9164835164838</v>
      </c>
      <c r="R215" s="175">
        <v>2020</v>
      </c>
      <c r="S215" s="175" t="s">
        <v>329</v>
      </c>
      <c r="T215">
        <v>4</v>
      </c>
      <c r="U215">
        <v>2014</v>
      </c>
      <c r="V215" s="79">
        <v>7410</v>
      </c>
      <c r="W215" t="str">
        <v>$7,410</v>
      </c>
    </row>
    <row r="216" spans="5:23" ht="15.75" thickBot="1">
      <c r="G216" s="185">
        <v>19</v>
      </c>
      <c r="H216" s="185">
        <v>2028</v>
      </c>
      <c r="I216" s="79">
        <f t="shared" si="26"/>
        <v>92851.413186813195</v>
      </c>
      <c r="J216">
        <f t="shared" si="27"/>
        <v>4886.9164835164838</v>
      </c>
      <c r="R216" s="175">
        <v>2019</v>
      </c>
      <c r="S216" s="175" t="s">
        <v>330</v>
      </c>
      <c r="T216">
        <v>5</v>
      </c>
      <c r="U216">
        <v>2015</v>
      </c>
      <c r="V216" s="79">
        <v>9249</v>
      </c>
      <c r="W216" t="str">
        <v>$9,249</v>
      </c>
    </row>
    <row r="217" spans="5:23" ht="15.75" thickBot="1">
      <c r="G217" s="9"/>
      <c r="R217" s="175">
        <v>2018</v>
      </c>
      <c r="S217" s="175" t="s">
        <v>331</v>
      </c>
      <c r="T217">
        <v>6</v>
      </c>
      <c r="U217">
        <v>2016</v>
      </c>
      <c r="V217" s="79">
        <v>12607</v>
      </c>
      <c r="W217" t="str">
        <v>$12,607</v>
      </c>
    </row>
    <row r="218" spans="5:23" ht="15.75" thickBot="1">
      <c r="R218" s="175">
        <v>2017</v>
      </c>
      <c r="S218" s="175" t="s">
        <v>332</v>
      </c>
      <c r="T218">
        <v>7</v>
      </c>
      <c r="U218">
        <v>2017</v>
      </c>
      <c r="V218" s="79">
        <v>20975</v>
      </c>
      <c r="W218" t="str">
        <v>$20,975</v>
      </c>
    </row>
    <row r="219" spans="5:23" ht="15.75" thickBot="1">
      <c r="G219" t="s">
        <v>325</v>
      </c>
      <c r="R219" s="175">
        <v>2016</v>
      </c>
      <c r="S219" s="175" t="s">
        <v>333</v>
      </c>
      <c r="T219">
        <v>8</v>
      </c>
      <c r="U219">
        <v>2018</v>
      </c>
      <c r="V219" s="79">
        <v>17563</v>
      </c>
      <c r="W219" t="str">
        <v>$17,563</v>
      </c>
    </row>
    <row r="220" spans="5:23" ht="15.75" thickBot="1">
      <c r="G220" s="185">
        <v>2024</v>
      </c>
      <c r="H220" s="79">
        <f>I191-I212-V225</f>
        <v>105735.28351648351</v>
      </c>
      <c r="R220" s="175">
        <v>2015</v>
      </c>
      <c r="S220" s="175" t="s">
        <v>334</v>
      </c>
      <c r="T220">
        <v>9</v>
      </c>
      <c r="U220">
        <v>2019</v>
      </c>
      <c r="V220" s="79">
        <v>12171</v>
      </c>
      <c r="W220" t="str">
        <v>$12,171</v>
      </c>
    </row>
    <row r="221" spans="5:23" ht="15.75" thickBot="1">
      <c r="G221" s="185">
        <v>2025</v>
      </c>
      <c r="H221" s="79">
        <f t="shared" ref="H221:H224" si="28">I192-I213-V226</f>
        <v>111797.96923076919</v>
      </c>
      <c r="R221" s="175">
        <v>2014</v>
      </c>
      <c r="S221" s="175" t="s">
        <v>335</v>
      </c>
      <c r="T221">
        <v>10</v>
      </c>
      <c r="U221">
        <v>2020</v>
      </c>
      <c r="V221" s="79">
        <v>17017</v>
      </c>
      <c r="W221" t="str">
        <v>$17,017</v>
      </c>
    </row>
    <row r="222" spans="5:23" ht="15.75" thickBot="1">
      <c r="G222" s="185">
        <v>2026</v>
      </c>
      <c r="H222" s="79">
        <f t="shared" si="28"/>
        <v>117860.65494505492</v>
      </c>
      <c r="R222" s="175">
        <v>2013</v>
      </c>
      <c r="S222" s="175" t="s">
        <v>336</v>
      </c>
      <c r="T222">
        <v>11</v>
      </c>
      <c r="U222">
        <v>2021</v>
      </c>
      <c r="V222" s="79">
        <v>23643</v>
      </c>
      <c r="W222" t="str">
        <v>$23,643</v>
      </c>
    </row>
    <row r="223" spans="5:23" ht="15.75" thickBot="1">
      <c r="G223" s="185">
        <v>2027</v>
      </c>
      <c r="H223" s="79">
        <f t="shared" si="28"/>
        <v>123923.34065934064</v>
      </c>
      <c r="R223" s="175">
        <v>2012</v>
      </c>
      <c r="S223" s="175" t="s">
        <v>337</v>
      </c>
      <c r="T223">
        <v>12</v>
      </c>
      <c r="U223">
        <v>2022</v>
      </c>
      <c r="V223" s="79">
        <v>21121</v>
      </c>
      <c r="W223" t="str">
        <v>$21,121</v>
      </c>
    </row>
    <row r="224" spans="5:23" ht="15">
      <c r="G224" s="185">
        <v>2028</v>
      </c>
      <c r="H224" s="79">
        <f t="shared" si="28"/>
        <v>129986.02637362637</v>
      </c>
      <c r="R224" s="175">
        <v>2011</v>
      </c>
      <c r="S224" s="175" t="s">
        <v>338</v>
      </c>
      <c r="T224">
        <v>13</v>
      </c>
      <c r="U224">
        <v>2023</v>
      </c>
      <c r="V224" s="79">
        <v>25451</v>
      </c>
      <c r="W224" t="str">
        <v>$25,451</v>
      </c>
    </row>
    <row r="225" spans="4:23">
      <c r="T225">
        <v>14</v>
      </c>
      <c r="U225">
        <v>2024</v>
      </c>
      <c r="V225" s="79">
        <f>T225*W225</f>
        <v>26917.76923076923</v>
      </c>
      <c r="W225">
        <f>SLOPE(V212:V224,T212:T224)</f>
        <v>1922.6978021978023</v>
      </c>
    </row>
    <row r="226" spans="4:23">
      <c r="G226" t="s">
        <v>310</v>
      </c>
      <c r="T226">
        <v>15</v>
      </c>
      <c r="U226">
        <v>2025</v>
      </c>
      <c r="V226" s="79">
        <f t="shared" ref="V226:V229" si="29">T226*W226</f>
        <v>28840.467032967033</v>
      </c>
      <c r="W226">
        <f>W225</f>
        <v>1922.6978021978023</v>
      </c>
    </row>
    <row r="227" spans="4:23">
      <c r="G227" s="185">
        <v>2024</v>
      </c>
      <c r="H227" s="79">
        <f>I167-H220</f>
        <v>-14975.283516483512</v>
      </c>
      <c r="T227">
        <v>16</v>
      </c>
      <c r="U227">
        <v>2026</v>
      </c>
      <c r="V227" s="79">
        <f t="shared" si="29"/>
        <v>30763.164835164836</v>
      </c>
      <c r="W227">
        <f t="shared" ref="W227:W229" si="30">W226</f>
        <v>1922.6978021978023</v>
      </c>
    </row>
    <row r="228" spans="4:23">
      <c r="G228" s="185">
        <v>2025</v>
      </c>
      <c r="H228" s="79">
        <f t="shared" ref="H228:H231" si="31">I168-H221</f>
        <v>-15365.469230769188</v>
      </c>
      <c r="T228">
        <v>17</v>
      </c>
      <c r="U228">
        <v>2027</v>
      </c>
      <c r="V228" s="79">
        <f t="shared" si="29"/>
        <v>32685.862637362639</v>
      </c>
      <c r="W228">
        <f t="shared" si="30"/>
        <v>1922.6978021978023</v>
      </c>
    </row>
    <row r="229" spans="4:23">
      <c r="G229" s="185">
        <v>2026</v>
      </c>
      <c r="H229" s="79">
        <f t="shared" si="31"/>
        <v>-15755.654945054921</v>
      </c>
      <c r="T229">
        <v>18</v>
      </c>
      <c r="U229">
        <v>2028</v>
      </c>
      <c r="V229" s="79">
        <f t="shared" si="29"/>
        <v>34608.560439560439</v>
      </c>
      <c r="W229">
        <f t="shared" si="30"/>
        <v>1922.6978021978023</v>
      </c>
    </row>
    <row r="230" spans="4:23">
      <c r="G230" s="185">
        <v>2027</v>
      </c>
      <c r="H230" s="79">
        <f t="shared" si="31"/>
        <v>-16145.84065934064</v>
      </c>
    </row>
    <row r="231" spans="4:23">
      <c r="G231" s="185">
        <v>2028</v>
      </c>
      <c r="H231" s="79">
        <f t="shared" si="31"/>
        <v>-16536.026373626373</v>
      </c>
    </row>
    <row r="235" spans="4:23">
      <c r="D235" t="s">
        <v>342</v>
      </c>
    </row>
    <row r="237" spans="4:23" ht="15" thickBot="1">
      <c r="I237" t="s">
        <v>358</v>
      </c>
    </row>
    <row r="238" spans="4:23" ht="15.75" thickBot="1">
      <c r="D238" s="175">
        <v>2023</v>
      </c>
      <c r="E238" s="192" t="s">
        <v>343</v>
      </c>
      <c r="F238">
        <v>1</v>
      </c>
      <c r="G238">
        <v>2009</v>
      </c>
      <c r="H238" s="79">
        <v>2337</v>
      </c>
      <c r="J238" t="str" cm="1">
        <f t="array" ref="J238:J252">_xlfn.SORTBY(E238:E252,_xlfn.SEQUENCE(ROWS(E238:E252)),-1)</f>
        <v>$-2,337</v>
      </c>
    </row>
    <row r="239" spans="4:23" ht="15.75" thickBot="1">
      <c r="D239" s="175">
        <v>2022</v>
      </c>
      <c r="E239" s="192" t="s">
        <v>344</v>
      </c>
      <c r="F239">
        <v>2</v>
      </c>
      <c r="G239">
        <v>2010</v>
      </c>
      <c r="H239" s="79">
        <v>3360</v>
      </c>
      <c r="I239" s="148">
        <f>(H239-H238)/H238</f>
        <v>0.43774069319640563</v>
      </c>
      <c r="J239" t="str">
        <v>$-3,360</v>
      </c>
    </row>
    <row r="240" spans="4:23" ht="15.75" thickBot="1">
      <c r="D240" s="175">
        <v>2021</v>
      </c>
      <c r="E240" s="192" t="s">
        <v>345</v>
      </c>
      <c r="F240">
        <v>3</v>
      </c>
      <c r="G240">
        <v>2011</v>
      </c>
      <c r="H240" s="79">
        <v>1930</v>
      </c>
      <c r="I240" s="148">
        <f t="shared" ref="I240:I257" si="32">(H240-H239)/H239</f>
        <v>-0.42559523809523808</v>
      </c>
      <c r="J240" t="str">
        <v>$-1,930</v>
      </c>
    </row>
    <row r="241" spans="4:10" ht="15.75" thickBot="1">
      <c r="D241" s="175">
        <v>2020</v>
      </c>
      <c r="E241" s="192" t="s">
        <v>346</v>
      </c>
      <c r="F241">
        <v>4</v>
      </c>
      <c r="G241">
        <v>2012</v>
      </c>
      <c r="H241" s="79">
        <v>3595</v>
      </c>
      <c r="I241" s="148">
        <f t="shared" si="32"/>
        <v>0.86269430051813467</v>
      </c>
      <c r="J241" t="str">
        <v>$-3,595</v>
      </c>
    </row>
    <row r="242" spans="4:10" ht="15.75" thickBot="1">
      <c r="D242" s="175">
        <v>2019</v>
      </c>
      <c r="E242" s="192" t="s">
        <v>347</v>
      </c>
      <c r="F242">
        <v>5</v>
      </c>
      <c r="G242">
        <v>2013</v>
      </c>
      <c r="H242" s="79">
        <v>4276</v>
      </c>
      <c r="I242" s="148">
        <f t="shared" si="32"/>
        <v>0.1894297635605007</v>
      </c>
      <c r="J242" t="str">
        <v>$-4,276</v>
      </c>
    </row>
    <row r="243" spans="4:10" ht="15.75" thickBot="1">
      <c r="D243" s="175">
        <v>2018</v>
      </c>
      <c r="E243" s="192" t="s">
        <v>348</v>
      </c>
      <c r="F243">
        <v>6</v>
      </c>
      <c r="G243">
        <v>2014</v>
      </c>
      <c r="H243" s="79">
        <v>5065</v>
      </c>
      <c r="I243" s="148">
        <f t="shared" si="32"/>
        <v>0.18451824134705333</v>
      </c>
      <c r="J243" t="str">
        <v>$-5,065</v>
      </c>
    </row>
    <row r="244" spans="4:10" ht="15.75" thickBot="1">
      <c r="D244" s="175">
        <v>2017</v>
      </c>
      <c r="E244" s="192" t="s">
        <v>349</v>
      </c>
      <c r="F244">
        <v>7</v>
      </c>
      <c r="G244">
        <v>2015</v>
      </c>
      <c r="H244" s="79">
        <v>6450</v>
      </c>
      <c r="I244" s="148">
        <f t="shared" si="32"/>
        <v>0.27344521224086871</v>
      </c>
      <c r="J244" t="str">
        <v>$-6,450</v>
      </c>
    </row>
    <row r="245" spans="4:10" ht="15.75" thickBot="1">
      <c r="D245" s="175">
        <v>2016</v>
      </c>
      <c r="E245" s="192" t="s">
        <v>350</v>
      </c>
      <c r="F245">
        <v>8</v>
      </c>
      <c r="G245">
        <v>2016</v>
      </c>
      <c r="H245" s="79">
        <v>9516</v>
      </c>
      <c r="I245" s="148">
        <f t="shared" si="32"/>
        <v>0.47534883720930232</v>
      </c>
      <c r="J245" t="str">
        <v>$-9,516</v>
      </c>
    </row>
    <row r="246" spans="4:10" ht="15.75" thickBot="1">
      <c r="D246" s="175">
        <v>2015</v>
      </c>
      <c r="E246" s="192" t="s">
        <v>351</v>
      </c>
      <c r="F246">
        <v>9</v>
      </c>
      <c r="G246">
        <v>2017</v>
      </c>
      <c r="H246" s="79">
        <v>27084</v>
      </c>
      <c r="I246" s="148">
        <f t="shared" si="32"/>
        <v>1.8461538461538463</v>
      </c>
      <c r="J246" t="str">
        <v>$-27,084</v>
      </c>
    </row>
    <row r="247" spans="4:10" ht="15.75" thickBot="1">
      <c r="D247" s="175">
        <v>2014</v>
      </c>
      <c r="E247" s="192" t="s">
        <v>352</v>
      </c>
      <c r="F247">
        <v>10</v>
      </c>
      <c r="G247">
        <v>2018</v>
      </c>
      <c r="H247" s="79">
        <v>12369</v>
      </c>
      <c r="I247" s="148">
        <f t="shared" si="32"/>
        <v>-0.54330970314576876</v>
      </c>
      <c r="J247" t="str">
        <v>$-12,369</v>
      </c>
    </row>
    <row r="248" spans="4:10" ht="15.75" thickBot="1">
      <c r="D248" s="175">
        <v>2013</v>
      </c>
      <c r="E248" s="192" t="s">
        <v>353</v>
      </c>
      <c r="F248">
        <v>11</v>
      </c>
      <c r="G248">
        <v>2019</v>
      </c>
      <c r="H248" s="79">
        <v>24281</v>
      </c>
      <c r="I248" s="148">
        <f t="shared" si="32"/>
        <v>0.96305279327350635</v>
      </c>
      <c r="J248" t="str">
        <v>$-24,281</v>
      </c>
    </row>
    <row r="249" spans="4:10" ht="15.75" thickBot="1">
      <c r="D249" s="175">
        <v>2012</v>
      </c>
      <c r="E249" s="192" t="s">
        <v>354</v>
      </c>
      <c r="F249">
        <v>12</v>
      </c>
      <c r="G249">
        <v>2020</v>
      </c>
      <c r="H249" s="79">
        <v>59611</v>
      </c>
      <c r="I249" s="148">
        <f t="shared" si="32"/>
        <v>1.4550471562126766</v>
      </c>
      <c r="J249" t="str">
        <v>$-59,611</v>
      </c>
    </row>
    <row r="250" spans="4:10" ht="15.75" thickBot="1">
      <c r="D250" s="175">
        <v>2011</v>
      </c>
      <c r="E250" s="192" t="s">
        <v>355</v>
      </c>
      <c r="F250">
        <v>13</v>
      </c>
      <c r="G250">
        <v>2021</v>
      </c>
      <c r="H250" s="79">
        <v>58154</v>
      </c>
      <c r="I250" s="148">
        <f t="shared" si="32"/>
        <v>-2.4441797654795257E-2</v>
      </c>
      <c r="J250" t="str">
        <v>$-58,154</v>
      </c>
    </row>
    <row r="251" spans="4:10" ht="15.75" thickBot="1">
      <c r="D251" s="175">
        <v>2010</v>
      </c>
      <c r="E251" s="192" t="s">
        <v>356</v>
      </c>
      <c r="F251">
        <v>14</v>
      </c>
      <c r="G251">
        <v>2022</v>
      </c>
      <c r="H251" s="79">
        <v>37601</v>
      </c>
      <c r="I251" s="148">
        <f t="shared" si="32"/>
        <v>-0.35342366819135401</v>
      </c>
      <c r="J251" t="str">
        <v>$-37,601</v>
      </c>
    </row>
    <row r="252" spans="4:10" ht="15">
      <c r="D252" s="175">
        <v>2009</v>
      </c>
      <c r="E252" s="192" t="s">
        <v>357</v>
      </c>
      <c r="F252">
        <v>15</v>
      </c>
      <c r="G252">
        <v>2023</v>
      </c>
      <c r="H252" s="79">
        <v>49833</v>
      </c>
      <c r="I252" s="148">
        <f t="shared" si="32"/>
        <v>0.32531049706124837</v>
      </c>
      <c r="J252" t="str">
        <v>$-49,833</v>
      </c>
    </row>
    <row r="253" spans="4:10">
      <c r="F253" s="216">
        <v>16</v>
      </c>
      <c r="G253" s="216">
        <v>2024</v>
      </c>
      <c r="H253" s="217">
        <f>FORECAST(G253,H238:H252,G238:G252)</f>
        <v>52888.676190476865</v>
      </c>
      <c r="I253" s="148">
        <f t="shared" si="32"/>
        <v>6.1318327021790069E-2</v>
      </c>
    </row>
    <row r="254" spans="4:10">
      <c r="F254" s="216">
        <v>17</v>
      </c>
      <c r="G254" s="216">
        <v>2025</v>
      </c>
      <c r="H254" s="217">
        <f t="shared" ref="H254:H257" si="33">FORECAST(G254,H239:H253,G239:G253)</f>
        <v>58643.208888888359</v>
      </c>
      <c r="I254" s="148">
        <f t="shared" si="32"/>
        <v>0.10880462724547557</v>
      </c>
    </row>
    <row r="255" spans="4:10">
      <c r="F255" s="216">
        <v>18</v>
      </c>
      <c r="G255" s="216">
        <v>2026</v>
      </c>
      <c r="H255" s="217">
        <f t="shared" si="33"/>
        <v>64653.57860619761</v>
      </c>
      <c r="I255" s="148">
        <f t="shared" si="32"/>
        <v>0.10249046447470389</v>
      </c>
    </row>
    <row r="256" spans="4:10">
      <c r="F256" s="216">
        <v>19</v>
      </c>
      <c r="G256" s="216">
        <v>2027</v>
      </c>
      <c r="H256" s="217">
        <f t="shared" si="33"/>
        <v>70455.669517964125</v>
      </c>
      <c r="I256" s="148">
        <f t="shared" si="32"/>
        <v>8.9741218302962319E-2</v>
      </c>
    </row>
    <row r="257" spans="6:9">
      <c r="F257" s="216">
        <v>20</v>
      </c>
      <c r="G257" s="216">
        <v>2028</v>
      </c>
      <c r="H257" s="217">
        <f t="shared" si="33"/>
        <v>76282.453855548054</v>
      </c>
      <c r="I257" s="148">
        <f t="shared" si="32"/>
        <v>8.2701425981031529E-2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0702C-99B5-4CD1-A50D-75FB08D1965A}">
  <dimension ref="B1:W51"/>
  <sheetViews>
    <sheetView showGridLines="0" zoomScale="85" zoomScaleNormal="85" workbookViewId="0">
      <selection activeCell="M51" sqref="M51"/>
    </sheetView>
  </sheetViews>
  <sheetFormatPr defaultRowHeight="14.25"/>
  <cols>
    <col min="2" max="13" width="13.125" customWidth="1"/>
    <col min="14" max="14" width="16.5" customWidth="1"/>
    <col min="15" max="19" width="13.375" customWidth="1"/>
    <col min="20" max="20" width="12" bestFit="1" customWidth="1"/>
    <col min="23" max="23" width="12" bestFit="1" customWidth="1"/>
  </cols>
  <sheetData>
    <row r="1" spans="2:19" ht="15" thickBot="1"/>
    <row r="2" spans="2:19" ht="21" thickBot="1">
      <c r="B2" s="174" t="str">
        <f>C4</f>
        <v>AMZN</v>
      </c>
      <c r="C2" s="293" t="s">
        <v>362</v>
      </c>
      <c r="D2" s="294"/>
      <c r="E2" s="294"/>
      <c r="F2" s="294"/>
      <c r="G2" s="294"/>
      <c r="H2" s="294"/>
      <c r="I2" s="294"/>
      <c r="J2" s="294"/>
      <c r="K2" s="294"/>
      <c r="L2" s="294"/>
      <c r="M2" s="294"/>
      <c r="N2" s="295"/>
    </row>
    <row r="4" spans="2:19" ht="19.5" thickBot="1">
      <c r="B4" t="s">
        <v>191</v>
      </c>
      <c r="C4" s="173" t="s">
        <v>190</v>
      </c>
      <c r="E4" t="s">
        <v>189</v>
      </c>
      <c r="G4" s="170"/>
      <c r="I4" t="s">
        <v>188</v>
      </c>
      <c r="K4" s="172">
        <v>2023</v>
      </c>
      <c r="M4" s="168"/>
      <c r="N4" s="188" t="s">
        <v>187</v>
      </c>
    </row>
    <row r="5" spans="2:19" ht="19.5" thickBot="1">
      <c r="B5" t="s">
        <v>186</v>
      </c>
      <c r="C5" s="171" t="s">
        <v>192</v>
      </c>
      <c r="E5" t="s">
        <v>185</v>
      </c>
      <c r="G5" s="170"/>
      <c r="K5" s="169"/>
      <c r="M5" s="232" t="s">
        <v>360</v>
      </c>
      <c r="N5" s="188"/>
    </row>
    <row r="6" spans="2:19">
      <c r="B6" s="156"/>
      <c r="C6" s="135"/>
      <c r="D6" s="135"/>
      <c r="E6" s="236"/>
      <c r="F6" s="236"/>
      <c r="G6" s="236"/>
      <c r="H6" s="236"/>
      <c r="I6" s="237"/>
      <c r="J6" s="154"/>
      <c r="K6" s="153"/>
      <c r="L6" s="153"/>
      <c r="M6" s="153"/>
      <c r="N6" s="153"/>
    </row>
    <row r="7" spans="2:19">
      <c r="J7">
        <v>1</v>
      </c>
      <c r="K7">
        <f>J7+1</f>
        <v>2</v>
      </c>
      <c r="L7">
        <f>K7+1</f>
        <v>3</v>
      </c>
      <c r="M7">
        <f>L7+1</f>
        <v>4</v>
      </c>
      <c r="N7">
        <f>M7+1</f>
        <v>5</v>
      </c>
      <c r="O7">
        <v>6</v>
      </c>
      <c r="P7">
        <v>7</v>
      </c>
      <c r="Q7">
        <v>8</v>
      </c>
      <c r="R7">
        <v>9</v>
      </c>
      <c r="S7">
        <v>10</v>
      </c>
    </row>
    <row r="8" spans="2:19" ht="15">
      <c r="B8" s="150" t="s">
        <v>170</v>
      </c>
      <c r="C8" s="152"/>
      <c r="D8" s="152"/>
      <c r="E8" s="151">
        <v>2019</v>
      </c>
      <c r="F8" s="150">
        <v>2020</v>
      </c>
      <c r="G8" s="151">
        <v>2021</v>
      </c>
      <c r="H8" s="150">
        <v>2022</v>
      </c>
      <c r="I8" s="151">
        <v>2023</v>
      </c>
      <c r="J8" s="150">
        <v>2024</v>
      </c>
      <c r="K8" s="151">
        <v>2025</v>
      </c>
      <c r="L8" s="150">
        <v>2026</v>
      </c>
      <c r="M8" s="151">
        <v>2027</v>
      </c>
      <c r="N8" s="150">
        <v>2028</v>
      </c>
      <c r="O8" s="150">
        <v>2029</v>
      </c>
      <c r="P8" s="151">
        <v>2030</v>
      </c>
      <c r="Q8" s="150">
        <v>2031</v>
      </c>
      <c r="R8" s="150">
        <v>2032</v>
      </c>
      <c r="S8" s="151">
        <v>2033</v>
      </c>
    </row>
    <row r="9" spans="2:19">
      <c r="B9" s="138" t="s">
        <v>168</v>
      </c>
      <c r="E9" s="139"/>
      <c r="F9" s="139"/>
      <c r="G9" s="139"/>
      <c r="H9" s="139"/>
      <c r="I9" s="238">
        <v>36852</v>
      </c>
      <c r="J9" s="181"/>
      <c r="K9" s="181"/>
      <c r="L9" s="181"/>
      <c r="M9" s="181"/>
      <c r="N9" s="181"/>
    </row>
    <row r="10" spans="2:19">
      <c r="B10" s="129" t="s">
        <v>163</v>
      </c>
      <c r="E10" s="146"/>
      <c r="F10" s="146"/>
      <c r="G10" s="146"/>
      <c r="H10" s="146"/>
      <c r="I10" s="160"/>
      <c r="J10" s="154"/>
      <c r="K10" s="154"/>
      <c r="L10" s="154"/>
      <c r="M10" s="154"/>
      <c r="N10" s="154"/>
    </row>
    <row r="11" spans="2:19">
      <c r="B11" t="s">
        <v>162</v>
      </c>
      <c r="C11" s="148"/>
      <c r="D11" s="148"/>
      <c r="E11" s="148"/>
      <c r="F11" s="148"/>
      <c r="G11" s="148"/>
      <c r="H11" s="148"/>
      <c r="I11" s="187"/>
      <c r="J11" s="148"/>
      <c r="K11" s="148"/>
      <c r="L11" s="148"/>
      <c r="M11" s="148"/>
      <c r="N11" s="148"/>
    </row>
    <row r="12" spans="2:19">
      <c r="I12" s="128"/>
    </row>
    <row r="13" spans="2:19">
      <c r="B13" s="138" t="s">
        <v>167</v>
      </c>
      <c r="C13" s="148"/>
      <c r="D13" s="148"/>
      <c r="E13" s="189"/>
      <c r="F13" s="189"/>
      <c r="G13" s="189"/>
      <c r="H13" s="189"/>
      <c r="I13" s="190">
        <v>0.19</v>
      </c>
      <c r="J13" s="191"/>
      <c r="K13" s="191"/>
      <c r="L13" s="191"/>
      <c r="M13" s="191"/>
      <c r="N13" s="191"/>
    </row>
    <row r="14" spans="2:19">
      <c r="B14" s="129" t="s">
        <v>163</v>
      </c>
      <c r="E14" s="146"/>
      <c r="F14" s="146"/>
      <c r="G14" s="146"/>
      <c r="H14" s="146"/>
      <c r="I14" s="145"/>
      <c r="J14" s="144"/>
      <c r="K14" s="203"/>
      <c r="L14" s="203"/>
      <c r="M14" s="203"/>
      <c r="N14" s="203"/>
    </row>
    <row r="15" spans="2:19">
      <c r="B15" t="s">
        <v>162</v>
      </c>
      <c r="I15" s="128"/>
    </row>
    <row r="16" spans="2:19">
      <c r="I16" s="128"/>
    </row>
    <row r="17" spans="2:19">
      <c r="B17" s="193" t="s">
        <v>229</v>
      </c>
      <c r="C17" s="193"/>
      <c r="D17" s="193"/>
      <c r="E17" s="193"/>
      <c r="F17" s="193"/>
      <c r="G17" s="193"/>
      <c r="H17" s="193"/>
      <c r="I17" s="193">
        <v>10188</v>
      </c>
      <c r="J17" s="195"/>
      <c r="K17" s="195"/>
      <c r="L17" s="195"/>
      <c r="M17" s="195"/>
      <c r="N17" s="195"/>
    </row>
    <row r="18" spans="2:19">
      <c r="B18" t="s">
        <v>163</v>
      </c>
      <c r="I18" s="128"/>
      <c r="K18" s="148"/>
      <c r="L18" s="148"/>
      <c r="M18" s="148"/>
      <c r="N18" s="148"/>
    </row>
    <row r="19" spans="2:19">
      <c r="B19" s="138" t="s">
        <v>164</v>
      </c>
      <c r="I19" s="128"/>
      <c r="J19" s="193"/>
      <c r="K19" s="193"/>
      <c r="L19" s="193"/>
      <c r="M19" s="193"/>
      <c r="N19" s="193"/>
    </row>
    <row r="20" spans="2:19">
      <c r="I20" s="128"/>
    </row>
    <row r="21" spans="2:19" ht="15">
      <c r="B21" s="138" t="s">
        <v>166</v>
      </c>
      <c r="C21" s="33"/>
      <c r="D21" s="33"/>
      <c r="E21" s="33"/>
      <c r="F21" s="33"/>
      <c r="G21" s="33"/>
      <c r="H21" s="33"/>
      <c r="I21" s="142"/>
      <c r="J21" s="196"/>
      <c r="K21" s="196"/>
      <c r="L21" s="196"/>
      <c r="M21" s="196"/>
      <c r="N21" s="196"/>
    </row>
    <row r="22" spans="2:19">
      <c r="B22" s="129" t="s">
        <v>163</v>
      </c>
      <c r="I22" s="128"/>
      <c r="J22" s="148"/>
      <c r="K22" s="148"/>
      <c r="L22" s="148"/>
      <c r="M22" s="148"/>
      <c r="N22" s="148"/>
    </row>
    <row r="23" spans="2:19">
      <c r="B23" t="s">
        <v>162</v>
      </c>
      <c r="E23" s="139"/>
      <c r="F23" s="139"/>
      <c r="G23" s="139"/>
      <c r="H23" s="139"/>
      <c r="I23" s="140"/>
      <c r="J23" s="139"/>
      <c r="K23" s="139"/>
      <c r="L23" s="139"/>
      <c r="M23" s="139"/>
      <c r="N23" s="139"/>
    </row>
    <row r="24" spans="2:19">
      <c r="E24" s="139"/>
      <c r="F24" s="139"/>
      <c r="G24" s="139"/>
      <c r="H24" s="139"/>
      <c r="I24" s="140"/>
      <c r="J24" s="139"/>
      <c r="K24" s="139"/>
      <c r="L24" s="139"/>
      <c r="M24" s="139"/>
      <c r="N24" s="139"/>
    </row>
    <row r="25" spans="2:19">
      <c r="B25" s="138" t="s">
        <v>165</v>
      </c>
      <c r="E25" s="137"/>
      <c r="F25" s="137"/>
      <c r="G25" s="137"/>
      <c r="H25" s="137"/>
      <c r="I25" s="194">
        <v>-11000</v>
      </c>
      <c r="J25" s="193"/>
      <c r="K25" s="193"/>
      <c r="L25" s="193"/>
      <c r="M25" s="193"/>
      <c r="N25" s="193"/>
    </row>
    <row r="26" spans="2:19">
      <c r="B26" s="129" t="s">
        <v>163</v>
      </c>
      <c r="E26" s="131"/>
      <c r="F26" s="131"/>
      <c r="G26" s="131"/>
      <c r="H26" s="131"/>
      <c r="I26" s="132"/>
      <c r="J26" s="131"/>
      <c r="K26" s="130"/>
      <c r="L26" s="130"/>
      <c r="M26" s="130"/>
      <c r="N26" s="130"/>
    </row>
    <row r="27" spans="2:19">
      <c r="B27" s="129"/>
      <c r="E27" s="131"/>
      <c r="F27" s="131"/>
      <c r="G27" s="131"/>
      <c r="H27" s="131"/>
      <c r="I27" s="132"/>
      <c r="J27" s="131"/>
      <c r="K27" s="130"/>
      <c r="L27" s="130"/>
      <c r="M27" s="130"/>
      <c r="N27" s="130"/>
    </row>
    <row r="28" spans="2:19">
      <c r="B28" s="133" t="s">
        <v>164</v>
      </c>
      <c r="E28" s="131"/>
      <c r="F28" s="131"/>
      <c r="G28" s="131"/>
      <c r="H28" s="131"/>
      <c r="I28" s="132"/>
      <c r="J28" s="193"/>
      <c r="K28" s="193"/>
      <c r="L28" s="193"/>
      <c r="M28" s="193"/>
      <c r="N28" s="193"/>
    </row>
    <row r="29" spans="2:19">
      <c r="B29" s="129" t="s">
        <v>163</v>
      </c>
      <c r="I29" s="128"/>
    </row>
    <row r="30" spans="2:19" ht="15">
      <c r="B30" t="s">
        <v>162</v>
      </c>
      <c r="H30" s="33" t="s">
        <v>363</v>
      </c>
      <c r="I30" s="128"/>
      <c r="J30" s="28">
        <v>0.56599999999999995</v>
      </c>
      <c r="K30" s="28">
        <v>0.26900000000000002</v>
      </c>
      <c r="L30" s="28">
        <v>0.30499999999999999</v>
      </c>
      <c r="M30" s="28">
        <v>0.30499999999999999</v>
      </c>
      <c r="N30" s="28">
        <v>0.30499999999999999</v>
      </c>
      <c r="O30" s="28">
        <v>0.30499999999999999</v>
      </c>
      <c r="P30" s="28">
        <v>0.30499999999999999</v>
      </c>
      <c r="Q30" s="28">
        <v>0.1384</v>
      </c>
      <c r="R30" s="28">
        <v>0.1384</v>
      </c>
      <c r="S30" s="28">
        <v>0.1384</v>
      </c>
    </row>
    <row r="31" spans="2:19" ht="15" thickBot="1">
      <c r="I31" s="128"/>
      <c r="J31">
        <v>1</v>
      </c>
      <c r="K31">
        <v>2</v>
      </c>
      <c r="L31">
        <v>3</v>
      </c>
      <c r="M31">
        <v>4</v>
      </c>
      <c r="N31">
        <v>5</v>
      </c>
      <c r="O31">
        <v>6</v>
      </c>
      <c r="P31">
        <v>7</v>
      </c>
      <c r="Q31">
        <v>8</v>
      </c>
      <c r="R31">
        <v>9</v>
      </c>
      <c r="S31">
        <v>10</v>
      </c>
    </row>
    <row r="32" spans="2:19" ht="15">
      <c r="C32" s="33"/>
      <c r="D32" s="33"/>
      <c r="E32" s="33"/>
      <c r="F32" s="33"/>
      <c r="G32" s="33"/>
      <c r="H32" s="127" t="s">
        <v>161</v>
      </c>
      <c r="I32" s="126"/>
      <c r="J32" s="125">
        <f>I9*(1-I13)-I17-I25</f>
        <v>30662.120000000003</v>
      </c>
      <c r="K32" s="125">
        <f>J32+J32*J30</f>
        <v>48016.879920000007</v>
      </c>
      <c r="L32" s="125">
        <f t="shared" ref="L32:S32" si="0">K32+K32*K30</f>
        <v>60933.420618480013</v>
      </c>
      <c r="M32" s="125">
        <f t="shared" si="0"/>
        <v>79518.113907116422</v>
      </c>
      <c r="N32" s="125">
        <f t="shared" si="0"/>
        <v>103771.13864878693</v>
      </c>
      <c r="O32" s="125">
        <f t="shared" si="0"/>
        <v>135421.33593666693</v>
      </c>
      <c r="P32" s="125">
        <f t="shared" si="0"/>
        <v>176724.84339735034</v>
      </c>
      <c r="Q32" s="125">
        <f t="shared" si="0"/>
        <v>230625.92063354218</v>
      </c>
      <c r="R32" s="125">
        <f t="shared" si="0"/>
        <v>262544.54804922442</v>
      </c>
      <c r="S32" s="125">
        <f t="shared" si="0"/>
        <v>298880.71349923708</v>
      </c>
    </row>
    <row r="33" spans="2:23" ht="15.75" thickBot="1">
      <c r="C33" s="33"/>
      <c r="D33" s="33"/>
      <c r="E33" s="33"/>
      <c r="F33" s="33"/>
      <c r="G33" s="33"/>
      <c r="H33" s="296" t="s">
        <v>128</v>
      </c>
      <c r="I33" s="297"/>
      <c r="J33" s="206">
        <f>'DCF by regression '!J70</f>
        <v>0.10455081648322602</v>
      </c>
      <c r="K33" s="206">
        <f>'DCF by regression '!K70</f>
        <v>0.10498938058777225</v>
      </c>
      <c r="L33" s="206">
        <f>'DCF by regression '!L70</f>
        <v>0.10080201476295884</v>
      </c>
      <c r="M33" s="206">
        <f>'DCF by regression '!M70</f>
        <v>9.6324186332645126E-2</v>
      </c>
      <c r="N33" s="206">
        <f>'DCF by regression '!N70</f>
        <v>9.1108330970312901E-2</v>
      </c>
      <c r="O33" s="206">
        <f>W38</f>
        <v>8.8889896243097025E-2</v>
      </c>
      <c r="P33" s="206">
        <f>W39</f>
        <v>8.385496603475831E-2</v>
      </c>
      <c r="Q33" s="206">
        <f>W40</f>
        <v>7.9797362604969696E-2</v>
      </c>
      <c r="R33" s="206">
        <f>W41</f>
        <v>7.5902844719884982E-2</v>
      </c>
      <c r="S33" s="206">
        <f>W42</f>
        <v>7.205962827290964E-2</v>
      </c>
      <c r="V33">
        <v>1</v>
      </c>
      <c r="W33" s="239">
        <f>J33</f>
        <v>0.10455081648322602</v>
      </c>
    </row>
    <row r="34" spans="2:23" ht="15.75" thickBot="1">
      <c r="C34" s="33"/>
      <c r="D34" s="33"/>
      <c r="E34" s="33"/>
      <c r="F34" s="33"/>
      <c r="G34" s="33"/>
      <c r="H34" s="123" t="s">
        <v>160</v>
      </c>
      <c r="I34" s="205"/>
      <c r="J34" s="207">
        <f>J32/((1+J33)^J31)</f>
        <v>27759.809274891468</v>
      </c>
      <c r="K34" s="208">
        <f t="shared" ref="K34:S34" si="1">K32/((1+K33)^K31)</f>
        <v>39325.814663268291</v>
      </c>
      <c r="L34" s="208">
        <f t="shared" si="1"/>
        <v>45680.191037457203</v>
      </c>
      <c r="M34" s="208">
        <f t="shared" si="1"/>
        <v>55044.013058658362</v>
      </c>
      <c r="N34" s="209">
        <f t="shared" si="1"/>
        <v>67102.271723070589</v>
      </c>
      <c r="O34" s="207">
        <f>O32/((1+O33)^O31)</f>
        <v>81242.501228468158</v>
      </c>
      <c r="P34" s="208">
        <f>P32/((1+P33)^P31)</f>
        <v>100577.16799965203</v>
      </c>
      <c r="Q34" s="208">
        <f>Q32/((1+Q33)^Q31)</f>
        <v>124787.19371153916</v>
      </c>
      <c r="R34" s="208">
        <f>R32/((1+R33)^R31)</f>
        <v>135908.15036650246</v>
      </c>
      <c r="S34" s="209">
        <f t="shared" si="1"/>
        <v>149041.9332225261</v>
      </c>
      <c r="T34" s="79">
        <f>SUM(J34:S34)</f>
        <v>826469.04628603382</v>
      </c>
      <c r="V34">
        <v>2</v>
      </c>
      <c r="W34" s="239">
        <f>K33</f>
        <v>0.10498938058777225</v>
      </c>
    </row>
    <row r="35" spans="2:23" ht="15" thickBot="1">
      <c r="J35" s="122"/>
      <c r="V35">
        <v>3</v>
      </c>
      <c r="W35" s="239">
        <f>L33</f>
        <v>0.10080201476295884</v>
      </c>
    </row>
    <row r="36" spans="2:23" ht="15" thickBot="1">
      <c r="B36" s="210" t="s">
        <v>341</v>
      </c>
      <c r="C36" s="235">
        <v>3.5000000000000003E-2</v>
      </c>
      <c r="J36" s="122"/>
      <c r="V36">
        <v>4</v>
      </c>
      <c r="W36" s="239">
        <f>M33</f>
        <v>9.6324186332645126E-2</v>
      </c>
    </row>
    <row r="37" spans="2:23">
      <c r="B37" t="s">
        <v>159</v>
      </c>
      <c r="J37" s="122"/>
      <c r="N37" s="204">
        <f>(S32*(1+C36))/(S33-C36)</f>
        <v>8347130.0951455338</v>
      </c>
      <c r="V37">
        <v>5</v>
      </c>
      <c r="W37" s="239">
        <f>N33</f>
        <v>9.1108330970312901E-2</v>
      </c>
    </row>
    <row r="38" spans="2:23">
      <c r="B38" s="118" t="s">
        <v>158</v>
      </c>
      <c r="C38" s="118"/>
      <c r="D38" s="118"/>
      <c r="E38" s="118"/>
      <c r="F38" s="118"/>
      <c r="G38" s="118"/>
      <c r="H38" s="118"/>
      <c r="I38" s="118"/>
      <c r="J38" s="118"/>
      <c r="K38" s="118"/>
      <c r="L38" s="118"/>
      <c r="M38" s="118"/>
      <c r="N38" s="211">
        <f>N37/((1+S33)^S31)</f>
        <v>4162437.8892671308</v>
      </c>
      <c r="V38">
        <v>6</v>
      </c>
      <c r="W38" s="241">
        <f>FORECAST(V38,W33:W37,V33:V37)</f>
        <v>8.8889896243097025E-2</v>
      </c>
    </row>
    <row r="39" spans="2:23" ht="15">
      <c r="B39" s="33" t="s">
        <v>157</v>
      </c>
      <c r="C39" s="33"/>
      <c r="D39" s="33"/>
      <c r="E39" s="33"/>
      <c r="F39" s="33"/>
      <c r="G39" s="33"/>
      <c r="H39" s="33"/>
      <c r="I39" s="33"/>
      <c r="J39" s="33"/>
      <c r="K39" s="33"/>
      <c r="L39" s="33"/>
      <c r="M39" s="33"/>
      <c r="N39" s="213">
        <f>T34+N38</f>
        <v>4988906.9355531642</v>
      </c>
      <c r="V39">
        <v>7</v>
      </c>
      <c r="W39" s="241">
        <f t="shared" ref="W39:W42" si="2">FORECAST(V39,W34:W38,V34:V38)</f>
        <v>8.385496603475831E-2</v>
      </c>
    </row>
    <row r="40" spans="2:23">
      <c r="B40" s="121" t="s">
        <v>156</v>
      </c>
      <c r="N40" s="120">
        <f>86780</f>
        <v>86780</v>
      </c>
      <c r="V40">
        <v>8</v>
      </c>
      <c r="W40" s="241">
        <f t="shared" si="2"/>
        <v>7.9797362604969696E-2</v>
      </c>
    </row>
    <row r="41" spans="2:23">
      <c r="B41" s="119" t="s">
        <v>155</v>
      </c>
      <c r="C41" s="118"/>
      <c r="D41" s="118"/>
      <c r="E41" s="118"/>
      <c r="F41" s="118"/>
      <c r="G41" s="118"/>
      <c r="H41" s="118"/>
      <c r="I41" s="118"/>
      <c r="J41" s="118"/>
      <c r="K41" s="118"/>
      <c r="L41" s="118"/>
      <c r="M41" s="118"/>
      <c r="N41" s="83">
        <v>135611</v>
      </c>
      <c r="V41">
        <v>9</v>
      </c>
      <c r="W41" s="241">
        <f t="shared" si="2"/>
        <v>7.5902844719884982E-2</v>
      </c>
    </row>
    <row r="42" spans="2:23" ht="15">
      <c r="B42" s="33" t="s">
        <v>154</v>
      </c>
      <c r="C42" s="33"/>
      <c r="D42" s="33"/>
      <c r="E42" s="33"/>
      <c r="F42" s="33"/>
      <c r="G42" s="33"/>
      <c r="H42" s="33"/>
      <c r="I42" s="33"/>
      <c r="J42" s="33"/>
      <c r="K42" s="33"/>
      <c r="L42" s="33"/>
      <c r="M42" s="33"/>
      <c r="N42" s="213">
        <f>N39+N40-N41</f>
        <v>4940075.9355531642</v>
      </c>
      <c r="V42">
        <v>10</v>
      </c>
      <c r="W42" s="241">
        <f t="shared" si="2"/>
        <v>7.205962827290964E-2</v>
      </c>
    </row>
    <row r="43" spans="2:23">
      <c r="B43" s="118" t="s">
        <v>153</v>
      </c>
      <c r="C43" s="118"/>
      <c r="D43" s="118"/>
      <c r="E43" s="118"/>
      <c r="F43" s="118"/>
      <c r="G43" s="118"/>
      <c r="H43" s="118"/>
      <c r="I43" s="118"/>
      <c r="J43" s="118"/>
      <c r="K43" s="118"/>
      <c r="L43" s="118"/>
      <c r="M43" s="118"/>
      <c r="N43" s="117">
        <f>10.41*1000</f>
        <v>10410</v>
      </c>
    </row>
    <row r="44" spans="2:23" ht="15">
      <c r="B44" s="33" t="s">
        <v>152</v>
      </c>
      <c r="C44" s="33"/>
      <c r="D44" s="33"/>
      <c r="E44" s="33"/>
      <c r="F44" s="33"/>
      <c r="G44" s="33"/>
      <c r="H44" s="33"/>
      <c r="I44" s="33"/>
      <c r="J44" s="33"/>
      <c r="K44" s="33"/>
      <c r="L44" s="33"/>
      <c r="M44" s="33"/>
      <c r="N44" s="242">
        <f>N42/N43</f>
        <v>474.55100245467474</v>
      </c>
    </row>
    <row r="51" spans="12:13" ht="15">
      <c r="L51" s="215">
        <v>141.75025254324581</v>
      </c>
      <c r="M51" s="79">
        <f>(N44+L51)/2</f>
        <v>308.15062749896026</v>
      </c>
    </row>
  </sheetData>
  <mergeCells count="2">
    <mergeCell ref="C2:N2"/>
    <mergeCell ref="H33:I3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100F7-90B7-4EEA-A898-2B57A7C3E1E2}">
  <dimension ref="C4:F45"/>
  <sheetViews>
    <sheetView showGridLines="0" tabSelected="1" topLeftCell="A7" workbookViewId="0">
      <selection activeCell="L13" sqref="L13"/>
    </sheetView>
  </sheetViews>
  <sheetFormatPr defaultRowHeight="14.25"/>
  <sheetData>
    <row r="4" spans="3:3">
      <c r="C4" t="s">
        <v>371</v>
      </c>
    </row>
    <row r="5" spans="3:3">
      <c r="C5" t="s">
        <v>372</v>
      </c>
    </row>
    <row r="6" spans="3:3">
      <c r="C6" t="s">
        <v>373</v>
      </c>
    </row>
    <row r="7" spans="3:3">
      <c r="C7" t="s">
        <v>374</v>
      </c>
    </row>
    <row r="9" spans="3:3">
      <c r="C9" t="s">
        <v>377</v>
      </c>
    </row>
    <row r="10" spans="3:3">
      <c r="C10" t="s">
        <v>375</v>
      </c>
    </row>
    <row r="11" spans="3:3">
      <c r="C11" t="s">
        <v>376</v>
      </c>
    </row>
    <row r="13" spans="3:3">
      <c r="C13" t="s">
        <v>378</v>
      </c>
    </row>
    <row r="14" spans="3:3">
      <c r="C14" t="s">
        <v>379</v>
      </c>
    </row>
    <row r="17" spans="3:5">
      <c r="C17" t="s">
        <v>380</v>
      </c>
    </row>
    <row r="18" spans="3:5" ht="15">
      <c r="C18" t="s">
        <v>381</v>
      </c>
    </row>
    <row r="20" spans="3:5">
      <c r="C20" t="s">
        <v>382</v>
      </c>
    </row>
    <row r="21" spans="3:5">
      <c r="C21" t="s">
        <v>383</v>
      </c>
    </row>
    <row r="30" spans="3:5">
      <c r="C30" s="299" t="s">
        <v>384</v>
      </c>
      <c r="D30" s="299"/>
      <c r="E30" s="299"/>
    </row>
    <row r="31" spans="3:5">
      <c r="C31" s="299"/>
      <c r="D31" s="299"/>
      <c r="E31" s="299"/>
    </row>
    <row r="36" spans="3:6">
      <c r="C36" t="s">
        <v>385</v>
      </c>
    </row>
    <row r="42" spans="3:6">
      <c r="F42" t="s">
        <v>148</v>
      </c>
    </row>
    <row r="43" spans="3:6">
      <c r="F43" t="s">
        <v>149</v>
      </c>
    </row>
    <row r="44" spans="3:6">
      <c r="F44" t="s">
        <v>150</v>
      </c>
    </row>
    <row r="45" spans="3:6">
      <c r="F45" t="s">
        <v>151</v>
      </c>
    </row>
  </sheetData>
  <mergeCells count="1">
    <mergeCell ref="C30:E3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Equity</vt:lpstr>
      <vt:lpstr>Debt</vt:lpstr>
      <vt:lpstr>WACC</vt:lpstr>
      <vt:lpstr>DCF by regression </vt:lpstr>
      <vt:lpstr>DCF estimations</vt:lpstr>
      <vt:lpstr>DCF by analysts estimates</vt:lpstr>
      <vt:lpstr>Conclusion; Buy or Sell</vt:lpstr>
      <vt:lpstr>tgr</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איתי דיין</dc:creator>
  <cp:lastModifiedBy>רועי דיין</cp:lastModifiedBy>
  <dcterms:created xsi:type="dcterms:W3CDTF">2015-06-05T18:17:20Z</dcterms:created>
  <dcterms:modified xsi:type="dcterms:W3CDTF">2024-05-19T12:10:56Z</dcterms:modified>
</cp:coreProperties>
</file>