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Organisations - Growth Anal" sheetId="1" r:id="rId4"/>
    <sheet state="visible" name="For Organisations MOS Valuation" sheetId="2" r:id="rId5"/>
    <sheet state="visible" name="For Organistions Watchlist" sheetId="3" r:id="rId6"/>
    <sheet state="visible" name="For Retail Investor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Insert your stock ticker code here!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5">
      <text>
        <t xml:space="preserve">Adjust the calculated future P/E by selecting from the dropdown or entering your own value. Switch to OFF to let the analysis select the P/E for you.</t>
      </text>
    </comment>
    <comment authorId="0" ref="L6">
      <text>
        <t xml:space="preserve">Adjust the calculated Growth Rate by selecting from the dropdown or entering your own value. Switch to OFF to let the analysis select the Growth Rate for you.
</t>
      </text>
    </comment>
  </commentList>
</comments>
</file>

<file path=xl/sharedStrings.xml><?xml version="1.0" encoding="utf-8"?>
<sst xmlns="http://schemas.openxmlformats.org/spreadsheetml/2006/main" count="365" uniqueCount="173">
  <si>
    <t>AAPL</t>
  </si>
  <si>
    <t>Price</t>
  </si>
  <si>
    <t>Change (%)</t>
  </si>
  <si>
    <t>Open</t>
  </si>
  <si>
    <t>Day Low</t>
  </si>
  <si>
    <t>Day High</t>
  </si>
  <si>
    <t>Volume</t>
  </si>
  <si>
    <t>Av. Volume</t>
  </si>
  <si>
    <t>Key Metrics</t>
  </si>
  <si>
    <t>Growth</t>
  </si>
  <si>
    <t>10 years</t>
  </si>
  <si>
    <t>7 years</t>
  </si>
  <si>
    <t>5 years</t>
  </si>
  <si>
    <t>3 years</t>
  </si>
  <si>
    <t>1 year</t>
  </si>
  <si>
    <t>Rating</t>
  </si>
  <si>
    <t>Market Cap</t>
  </si>
  <si>
    <t>BVPS + Div</t>
  </si>
  <si>
    <t>EPS (ttm)</t>
  </si>
  <si>
    <t>EPS</t>
  </si>
  <si>
    <t>P/E</t>
  </si>
  <si>
    <t>Sales PS</t>
  </si>
  <si>
    <t>Year Low</t>
  </si>
  <si>
    <t>OCFPS</t>
  </si>
  <si>
    <t>Year High</t>
  </si>
  <si>
    <t>Score</t>
  </si>
  <si>
    <t>Price Av. 50</t>
  </si>
  <si>
    <t>Price Av. 200</t>
  </si>
  <si>
    <t>Management</t>
  </si>
  <si>
    <t>Div Yield (ttm)</t>
  </si>
  <si>
    <t>ROE</t>
  </si>
  <si>
    <t>ROIC</t>
  </si>
  <si>
    <t>Growth Score</t>
  </si>
  <si>
    <t>Debt (years of earnings)</t>
  </si>
  <si>
    <t>Management Score</t>
  </si>
  <si>
    <t>Details</t>
  </si>
  <si>
    <t>Book Value/Share</t>
  </si>
  <si>
    <t>BVPS Growth</t>
  </si>
  <si>
    <t>EPS Growth</t>
  </si>
  <si>
    <t>Sales per Share</t>
  </si>
  <si>
    <t>Sales Growth</t>
  </si>
  <si>
    <t>OCFPS Growth</t>
  </si>
  <si>
    <t>Dividends</t>
  </si>
  <si>
    <t>LT Debt</t>
  </si>
  <si>
    <t>LT Debt/Equity</t>
  </si>
  <si>
    <t>Gross Profit Margin</t>
  </si>
  <si>
    <t>Net Profit Margin</t>
  </si>
  <si>
    <t xml:space="preserve">Total Shares </t>
  </si>
  <si>
    <t>Current Price</t>
  </si>
  <si>
    <t>Growth Rate</t>
  </si>
  <si>
    <t>Safety Margin</t>
  </si>
  <si>
    <t>Historical Growth</t>
  </si>
  <si>
    <t>Fair Value</t>
  </si>
  <si>
    <t>Future P/E</t>
  </si>
  <si>
    <t>MAAR</t>
  </si>
  <si>
    <t>Forecast Length</t>
  </si>
  <si>
    <t>Buy Price</t>
  </si>
  <si>
    <t>Future P/E Adj.</t>
  </si>
  <si>
    <t>OFF</t>
  </si>
  <si>
    <t>Upside/Downside</t>
  </si>
  <si>
    <t>Growth Rate Adj.</t>
  </si>
  <si>
    <t>Forecast Length (yrs)</t>
  </si>
  <si>
    <t>EPS ttm</t>
  </si>
  <si>
    <t>Growth Rates</t>
  </si>
  <si>
    <t>Average Growth Rate</t>
  </si>
  <si>
    <t>Max</t>
  </si>
  <si>
    <t>Min</t>
  </si>
  <si>
    <t>Current P/E</t>
  </si>
  <si>
    <t>Calc. Future P/E (2*Growth)</t>
  </si>
  <si>
    <t>Industry P/E</t>
  </si>
  <si>
    <t xml:space="preserve">Max </t>
  </si>
  <si>
    <t>EPS at end of Forecast</t>
  </si>
  <si>
    <t>Share price at end of Forecast</t>
  </si>
  <si>
    <t>Max Growth Max P/E</t>
  </si>
  <si>
    <t>Max Growth Min P/E</t>
  </si>
  <si>
    <t>Min Growth Max P/E</t>
  </si>
  <si>
    <t>Min Growth Min P/E</t>
  </si>
  <si>
    <t>Current fair value</t>
  </si>
  <si>
    <t>My Watchlist</t>
  </si>
  <si>
    <t>Code</t>
  </si>
  <si>
    <t>Country</t>
  </si>
  <si>
    <t>Sector</t>
  </si>
  <si>
    <t>1y Performance</t>
  </si>
  <si>
    <t>2mo Volume</t>
  </si>
  <si>
    <t>Previous Close</t>
  </si>
  <si>
    <t>Price Avg200</t>
  </si>
  <si>
    <t>Avg. Volume</t>
  </si>
  <si>
    <t>Apple Inc.</t>
  </si>
  <si>
    <t>US</t>
  </si>
  <si>
    <t>Technology</t>
  </si>
  <si>
    <t>MSFT</t>
  </si>
  <si>
    <t>Microsoft Corporation</t>
  </si>
  <si>
    <t>CMCSA</t>
  </si>
  <si>
    <t>Comcast Corporation</t>
  </si>
  <si>
    <t>Communication Services</t>
  </si>
  <si>
    <t>KMI</t>
  </si>
  <si>
    <t>Kinder Morgan, Inc.</t>
  </si>
  <si>
    <t>Energy</t>
  </si>
  <si>
    <t>INTC</t>
  </si>
  <si>
    <t>Intel Corporation</t>
  </si>
  <si>
    <t>MU</t>
  </si>
  <si>
    <t>Micron Technology, Inc.</t>
  </si>
  <si>
    <t>TSLA</t>
  </si>
  <si>
    <t>Tesla, Inc.</t>
  </si>
  <si>
    <t>Consumer Cyclical</t>
  </si>
  <si>
    <t>GE</t>
  </si>
  <si>
    <t>General Electric Company</t>
  </si>
  <si>
    <t>Industrials</t>
  </si>
  <si>
    <t>BAC</t>
  </si>
  <si>
    <t>Bank of America Corporation</t>
  </si>
  <si>
    <t>Financial Services</t>
  </si>
  <si>
    <t>GOOG</t>
  </si>
  <si>
    <t>Alphabet Inc.</t>
  </si>
  <si>
    <t>GSK.L</t>
  </si>
  <si>
    <t>GSK plc</t>
  </si>
  <si>
    <t>GB</t>
  </si>
  <si>
    <t>Healthcare</t>
  </si>
  <si>
    <t>BP.L</t>
  </si>
  <si>
    <t>BP p.l.c.</t>
  </si>
  <si>
    <t>DGE.L</t>
  </si>
  <si>
    <t>Diageo plc</t>
  </si>
  <si>
    <t>Consumer Defensive</t>
  </si>
  <si>
    <t>HSBA.L</t>
  </si>
  <si>
    <t>HSBC Holdings plc</t>
  </si>
  <si>
    <t>CSL.AX</t>
  </si>
  <si>
    <t>CSL Limited</t>
  </si>
  <si>
    <t>AU</t>
  </si>
  <si>
    <t>CBA.AX</t>
  </si>
  <si>
    <t>Commonwealth Bank of Australia</t>
  </si>
  <si>
    <t>NAB.AX</t>
  </si>
  <si>
    <t>National Australia Bank Limited</t>
  </si>
  <si>
    <t>BHP.AX</t>
  </si>
  <si>
    <t>BHP Group Limited</t>
  </si>
  <si>
    <t>Basic Materials</t>
  </si>
  <si>
    <t>AGL.AX</t>
  </si>
  <si>
    <t>AGL Energy Limited</t>
  </si>
  <si>
    <t>Utilities</t>
  </si>
  <si>
    <t>Overall position</t>
  </si>
  <si>
    <t>Settings</t>
  </si>
  <si>
    <t>Order Rows</t>
  </si>
  <si>
    <t>Cash</t>
  </si>
  <si>
    <t>My Portfolio</t>
  </si>
  <si>
    <t>Name</t>
  </si>
  <si>
    <t>Exchange</t>
  </si>
  <si>
    <t>Av. Price</t>
  </si>
  <si>
    <t>Profit/Loss (%)</t>
  </si>
  <si>
    <t>Profit/Loss</t>
  </si>
  <si>
    <t>Units</t>
  </si>
  <si>
    <t>Value</t>
  </si>
  <si>
    <t>Weight</t>
  </si>
  <si>
    <t>Order List</t>
  </si>
  <si>
    <t>Date</t>
  </si>
  <si>
    <t>Action</t>
  </si>
  <si>
    <t>Brokerage</t>
  </si>
  <si>
    <t>Total (ex. brokerage)</t>
  </si>
  <si>
    <t>Total (incld. brokerage)</t>
  </si>
  <si>
    <t>Industry</t>
  </si>
  <si>
    <t>Last Div</t>
  </si>
  <si>
    <t>buy</t>
  </si>
  <si>
    <t>SPY</t>
  </si>
  <si>
    <t>sell</t>
  </si>
  <si>
    <t>V</t>
  </si>
  <si>
    <t>ETHUSD</t>
  </si>
  <si>
    <t>All time position</t>
  </si>
  <si>
    <t>Total buy amount</t>
  </si>
  <si>
    <t>Total sell amount</t>
  </si>
  <si>
    <t>Total still invested</t>
  </si>
  <si>
    <t>Total value</t>
  </si>
  <si>
    <t>Total brokerage</t>
  </si>
  <si>
    <t>All time</t>
  </si>
  <si>
    <t>All time %</t>
  </si>
  <si>
    <t>All time weight</t>
  </si>
  <si>
    <t>Contribution to overall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</si>
</sst>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%"/>
    <numFmt numFmtId="165" formatCode="0.000"/>
    <numFmt numFmtId="166" formatCode="&quot;$&quot;#,##0.00"/>
    <numFmt numFmtId="167" formatCode="mm/dd/yyyy"/>
  </numFmts>
  <fonts count="24">
    <font>
      <sz val="10.0"/>
      <color rgb="FF000000"/>
      <name val="Arial"/>
      <scheme val="minor"/>
    </font>
    <font>
      <sz val="24.0"/>
      <color rgb="FFFFFFFF"/>
      <name val="Inconsolata"/>
    </font>
    <font>
      <sz val="11.0"/>
      <color rgb="FFFFFFFF"/>
      <name val="Inconsolata"/>
    </font>
    <font>
      <color theme="1"/>
      <name val="Arial"/>
    </font>
    <font>
      <color rgb="FF0B8043"/>
      <name val="Arial"/>
    </font>
    <font>
      <sz val="14.0"/>
      <color rgb="FFFFFFFF"/>
      <name val="Inconsolata"/>
    </font>
    <font>
      <color rgb="FFFFFFFF"/>
      <name val="Arial"/>
    </font>
    <font>
      <color theme="1"/>
      <name val="Arial"/>
      <scheme val="minor"/>
    </font>
    <font>
      <sz val="11.0"/>
      <color rgb="FF1155CC"/>
      <name val="Inconsolata"/>
    </font>
    <font>
      <color rgb="FF000000"/>
      <name val="Arial"/>
    </font>
    <font/>
    <font>
      <sz val="18.0"/>
      <color rgb="FFFFFFFF"/>
      <name val="Inconsolata"/>
    </font>
    <font>
      <sz val="18.0"/>
      <color rgb="FFFFFFFF"/>
      <name val="Arial"/>
    </font>
    <font>
      <sz val="18.0"/>
      <color theme="1"/>
      <name val="Arial"/>
      <scheme val="minor"/>
    </font>
    <font>
      <sz val="18.0"/>
      <color theme="1"/>
      <name val="Arial"/>
    </font>
    <font>
      <color theme="0"/>
      <name val="Arial"/>
      <scheme val="minor"/>
    </font>
    <font>
      <sz val="18.0"/>
      <color rgb="FF7E3794"/>
      <name val="Inconsolata"/>
    </font>
    <font>
      <color rgb="FFFFFFFF"/>
      <name val="Inconsolata"/>
    </font>
    <font>
      <sz val="12.0"/>
      <color rgb="FFFFFFFF"/>
      <name val="Inconsolata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Inconsolata"/>
    </font>
    <font>
      <u/>
      <sz val="14.0"/>
      <color rgb="FF1155CC"/>
      <name val="Arial"/>
      <scheme val="minor"/>
    </font>
    <font>
      <sz val="14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169B81"/>
        <bgColor rgb="FF169B81"/>
      </patternFill>
    </fill>
    <fill>
      <patternFill patternType="solid">
        <fgColor rgb="FFF3F3F3"/>
        <bgColor rgb="FFF3F3F3"/>
      </patternFill>
    </fill>
    <fill>
      <patternFill patternType="solid">
        <fgColor rgb="FF525252"/>
        <bgColor rgb="FF525252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8">
    <border/>
    <border>
      <bottom style="thick">
        <color rgb="FF525252"/>
      </bottom>
    </border>
    <border>
      <left style="thick">
        <color rgb="FF525252"/>
      </left>
      <top style="thick">
        <color rgb="FF525252"/>
      </top>
      <bottom style="thick">
        <color rgb="FF525252"/>
      </bottom>
    </border>
    <border>
      <top style="thick">
        <color rgb="FF525252"/>
      </top>
      <bottom style="thick">
        <color rgb="FF525252"/>
      </bottom>
    </border>
    <border>
      <right style="thick">
        <color rgb="FF525252"/>
      </right>
      <top style="thick">
        <color rgb="FF525252"/>
      </top>
      <bottom style="thick">
        <color rgb="FF525252"/>
      </bottom>
    </border>
    <border>
      <left style="thick">
        <color rgb="FF525252"/>
      </left>
      <bottom style="thick">
        <color rgb="FF525252"/>
      </bottom>
    </border>
    <border>
      <right style="thick">
        <color rgb="FF525252"/>
      </right>
      <bottom style="thick">
        <color rgb="FF525252"/>
      </bottom>
    </border>
    <border>
      <left style="thick">
        <color rgb="FF525252"/>
      </left>
      <right style="thick">
        <color rgb="FF525252"/>
      </right>
      <top style="thick">
        <color rgb="FF525252"/>
      </top>
      <bottom style="thick">
        <color rgb="FF525252"/>
      </bottom>
    </border>
    <border>
      <left style="thick">
        <color rgb="FF525252"/>
      </left>
      <right style="thick">
        <color rgb="FF525252"/>
      </right>
      <top style="thick">
        <color rgb="FF525252"/>
      </top>
    </border>
    <border>
      <right style="thick">
        <color rgb="FF525252"/>
      </right>
      <top style="thick">
        <color rgb="FF525252"/>
      </top>
    </border>
    <border>
      <left style="thick">
        <color rgb="FF525252"/>
      </left>
      <top style="thick">
        <color rgb="FF525252"/>
      </top>
    </border>
    <border>
      <top style="thick">
        <color rgb="FF525252"/>
      </top>
    </border>
    <border>
      <right style="thick">
        <color rgb="FF525252"/>
      </right>
    </border>
    <border>
      <left style="thick">
        <color rgb="FF525252"/>
      </left>
      <right style="thick">
        <color rgb="FF525252"/>
      </right>
    </border>
    <border>
      <left style="thick">
        <color rgb="FF525252"/>
      </left>
    </border>
    <border>
      <left style="thick">
        <color rgb="FF525252"/>
      </left>
      <right style="thick">
        <color rgb="FF525252"/>
      </right>
      <bottom style="thick">
        <color rgb="FF525252"/>
      </bottom>
    </border>
    <border>
      <left style="thin">
        <color rgb="FF2D3E50"/>
      </left>
      <right style="thin">
        <color rgb="FF2D3E50"/>
      </right>
      <top style="thin">
        <color rgb="FF2D3E50"/>
      </top>
      <bottom style="thin">
        <color rgb="FF2D3E50"/>
      </bottom>
    </border>
    <border>
      <left style="thick">
        <color rgb="FF2D3E50"/>
      </left>
      <top style="thick">
        <color rgb="FF2D3E50"/>
      </top>
      <bottom style="thick">
        <color rgb="FF2D3E50"/>
      </bottom>
    </border>
    <border>
      <top style="thick">
        <color rgb="FF2D3E50"/>
      </top>
      <bottom style="thick">
        <color rgb="FF2D3E50"/>
      </bottom>
    </border>
    <border>
      <left style="thick">
        <color rgb="FF2D3E50"/>
      </left>
      <right style="thick">
        <color rgb="FF2D3E50"/>
      </right>
      <top style="thick">
        <color rgb="FF2D3E50"/>
      </top>
      <bottom style="thick">
        <color rgb="FF2D3E50"/>
      </bottom>
    </border>
    <border>
      <left style="thick">
        <color rgb="FF2D3E50"/>
      </left>
      <top style="thick">
        <color rgb="FF2D3E50"/>
      </top>
    </border>
    <border>
      <top style="thick">
        <color rgb="FF2D3E50"/>
      </top>
    </border>
    <border>
      <right style="thick">
        <color rgb="FF2D3E50"/>
      </right>
      <top style="thick">
        <color rgb="FF2D3E50"/>
      </top>
    </border>
    <border>
      <left style="thick">
        <color rgb="FF2D3E50"/>
      </left>
    </border>
    <border>
      <right style="thick">
        <color rgb="FF2D3E50"/>
      </right>
    </border>
    <border>
      <left style="thick">
        <color rgb="FF2D3E50"/>
      </left>
      <bottom style="thick">
        <color rgb="FF2D3E50"/>
      </bottom>
    </border>
    <border>
      <bottom style="thick">
        <color rgb="FF2D3E50"/>
      </bottom>
    </border>
    <border>
      <right style="thick">
        <color rgb="FF2D3E50"/>
      </right>
      <bottom style="thick">
        <color rgb="FF2D3E50"/>
      </bottom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2" fontId="2" numFmtId="0" xfId="0" applyAlignment="1" applyBorder="1" applyFont="1">
      <alignment readingOrder="0" vertical="bottom"/>
    </xf>
    <xf borderId="5" fillId="3" fontId="3" numFmtId="0" xfId="0" applyAlignment="1" applyBorder="1" applyFill="1" applyFont="1">
      <alignment horizontal="right" vertical="bottom"/>
    </xf>
    <xf borderId="1" fillId="3" fontId="4" numFmtId="10" xfId="0" applyAlignment="1" applyBorder="1" applyFont="1" applyNumberFormat="1">
      <alignment horizontal="right" vertical="bottom"/>
    </xf>
    <xf borderId="1" fillId="3" fontId="3" numFmtId="0" xfId="0" applyAlignment="1" applyBorder="1" applyFont="1">
      <alignment horizontal="right" vertical="bottom"/>
    </xf>
    <xf borderId="6" fillId="3" fontId="3" numFmtId="0" xfId="0" applyAlignment="1" applyBorder="1" applyFont="1">
      <alignment horizontal="right" vertical="bottom"/>
    </xf>
    <xf borderId="7" fillId="2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7" fillId="2" fontId="2" numFmtId="0" xfId="0" applyAlignment="1" applyBorder="1" applyFont="1">
      <alignment vertical="bottom"/>
    </xf>
    <xf borderId="3" fillId="2" fontId="2" numFmtId="0" xfId="0" applyAlignment="1" applyBorder="1" applyFont="1">
      <alignment readingOrder="0" vertical="bottom"/>
    </xf>
    <xf borderId="4" fillId="2" fontId="2" numFmtId="0" xfId="0" applyAlignment="1" applyBorder="1" applyFont="1">
      <alignment vertical="bottom"/>
    </xf>
    <xf borderId="8" fillId="2" fontId="2" numFmtId="0" xfId="0" applyAlignment="1" applyBorder="1" applyFont="1">
      <alignment vertical="bottom"/>
    </xf>
    <xf borderId="9" fillId="4" fontId="6" numFmtId="0" xfId="0" applyAlignment="1" applyBorder="1" applyFill="1" applyFont="1">
      <alignment horizontal="right" vertical="bottom"/>
    </xf>
    <xf borderId="10" fillId="0" fontId="7" numFmtId="10" xfId="0" applyBorder="1" applyFont="1" applyNumberFormat="1"/>
    <xf borderId="11" fillId="0" fontId="7" numFmtId="10" xfId="0" applyBorder="1" applyFont="1" applyNumberFormat="1"/>
    <xf borderId="9" fillId="5" fontId="7" numFmtId="10" xfId="0" applyBorder="1" applyFill="1" applyFont="1" applyNumberFormat="1"/>
    <xf borderId="12" fillId="0" fontId="7" numFmtId="164" xfId="0" applyBorder="1" applyFont="1" applyNumberFormat="1"/>
    <xf borderId="0" fillId="6" fontId="8" numFmtId="10" xfId="0" applyFill="1" applyFont="1" applyNumberFormat="1"/>
    <xf borderId="0" fillId="0" fontId="7" numFmtId="164" xfId="0" applyFont="1" applyNumberFormat="1"/>
    <xf borderId="13" fillId="2" fontId="2" numFmtId="0" xfId="0" applyAlignment="1" applyBorder="1" applyFont="1">
      <alignment vertical="bottom"/>
    </xf>
    <xf borderId="12" fillId="4" fontId="6" numFmtId="0" xfId="0" applyAlignment="1" applyBorder="1" applyFont="1">
      <alignment horizontal="right" vertical="bottom"/>
    </xf>
    <xf borderId="14" fillId="0" fontId="7" numFmtId="10" xfId="0" applyBorder="1" applyFont="1" applyNumberFormat="1"/>
    <xf borderId="0" fillId="0" fontId="7" numFmtId="10" xfId="0" applyFont="1" applyNumberFormat="1"/>
    <xf borderId="12" fillId="5" fontId="7" numFmtId="10" xfId="0" applyBorder="1" applyFont="1" applyNumberFormat="1"/>
    <xf borderId="15" fillId="2" fontId="2" numFmtId="0" xfId="0" applyAlignment="1" applyBorder="1" applyFont="1">
      <alignment vertical="bottom"/>
    </xf>
    <xf borderId="5" fillId="0" fontId="7" numFmtId="10" xfId="0" applyBorder="1" applyFont="1" applyNumberFormat="1"/>
    <xf borderId="1" fillId="0" fontId="7" numFmtId="10" xfId="0" applyBorder="1" applyFont="1" applyNumberFormat="1"/>
    <xf borderId="6" fillId="5" fontId="7" numFmtId="10" xfId="0" applyBorder="1" applyFont="1" applyNumberFormat="1"/>
    <xf borderId="6" fillId="0" fontId="7" numFmtId="164" xfId="0" applyBorder="1" applyFont="1" applyNumberFormat="1"/>
    <xf borderId="0" fillId="0" fontId="7" numFmtId="0" xfId="0" applyFont="1"/>
    <xf borderId="0" fillId="0" fontId="7" numFmtId="0" xfId="0" applyAlignment="1" applyFont="1">
      <alignment readingOrder="0"/>
    </xf>
    <xf borderId="4" fillId="4" fontId="9" numFmtId="164" xfId="0" applyAlignment="1" applyBorder="1" applyFont="1" applyNumberFormat="1">
      <alignment horizontal="right" vertical="bottom"/>
    </xf>
    <xf borderId="6" fillId="4" fontId="6" numFmtId="10" xfId="0" applyAlignment="1" applyBorder="1" applyFont="1" applyNumberFormat="1">
      <alignment horizontal="right" vertical="bottom"/>
    </xf>
    <xf borderId="15" fillId="2" fontId="2" numFmtId="0" xfId="0" applyAlignment="1" applyBorder="1" applyFont="1">
      <alignment readingOrder="0" vertical="bottom"/>
    </xf>
    <xf borderId="9" fillId="4" fontId="9" numFmtId="164" xfId="0" applyAlignment="1" applyBorder="1" applyFont="1" applyNumberFormat="1">
      <alignment horizontal="right" vertical="bottom"/>
    </xf>
    <xf borderId="3" fillId="0" fontId="10" numFmtId="0" xfId="0" applyBorder="1" applyFont="1"/>
    <xf borderId="2" fillId="5" fontId="7" numFmtId="2" xfId="0" applyBorder="1" applyFont="1" applyNumberFormat="1"/>
    <xf borderId="4" fillId="0" fontId="10" numFmtId="0" xfId="0" applyBorder="1" applyFont="1"/>
    <xf borderId="4" fillId="0" fontId="7" numFmtId="10" xfId="0" applyBorder="1" applyFont="1" applyNumberFormat="1"/>
    <xf borderId="6" fillId="4" fontId="9" numFmtId="164" xfId="0" applyAlignment="1" applyBorder="1" applyFont="1" applyNumberFormat="1">
      <alignment horizontal="right" vertical="bottom"/>
    </xf>
    <xf borderId="2" fillId="2" fontId="2" numFmtId="0" xfId="0" applyAlignment="1" applyBorder="1" applyFont="1">
      <alignment readingOrder="0" vertical="bottom"/>
    </xf>
    <xf borderId="7" fillId="2" fontId="2" numFmtId="0" xfId="0" applyAlignment="1" applyBorder="1" applyFont="1">
      <alignment readingOrder="0" vertical="bottom"/>
    </xf>
    <xf borderId="0" fillId="3" fontId="7" numFmtId="165" xfId="0" applyFont="1" applyNumberFormat="1"/>
    <xf borderId="12" fillId="3" fontId="7" numFmtId="165" xfId="0" applyBorder="1" applyFont="1" applyNumberFormat="1"/>
    <xf borderId="0" fillId="3" fontId="7" numFmtId="10" xfId="0" applyFont="1" applyNumberFormat="1"/>
    <xf borderId="12" fillId="3" fontId="7" numFmtId="10" xfId="0" applyBorder="1" applyFont="1" applyNumberFormat="1"/>
    <xf borderId="13" fillId="2" fontId="2" numFmtId="0" xfId="0" applyAlignment="1" applyBorder="1" applyFont="1">
      <alignment readingOrder="0" vertical="bottom"/>
    </xf>
    <xf borderId="0" fillId="3" fontId="7" numFmtId="0" xfId="0" applyFont="1"/>
    <xf borderId="12" fillId="3" fontId="7" numFmtId="0" xfId="0" applyBorder="1" applyFont="1"/>
    <xf borderId="0" fillId="3" fontId="7" numFmtId="2" xfId="0" applyFont="1" applyNumberFormat="1"/>
    <xf borderId="12" fillId="3" fontId="7" numFmtId="2" xfId="0" applyBorder="1" applyFont="1" applyNumberFormat="1"/>
    <xf borderId="1" fillId="3" fontId="7" numFmtId="0" xfId="0" applyBorder="1" applyFont="1"/>
    <xf borderId="6" fillId="3" fontId="7" numFmtId="0" xfId="0" applyBorder="1" applyFont="1"/>
    <xf borderId="0" fillId="2" fontId="11" numFmtId="0" xfId="0" applyAlignment="1" applyFont="1">
      <alignment readingOrder="0" vertical="bottom"/>
    </xf>
    <xf borderId="12" fillId="4" fontId="12" numFmtId="0" xfId="0" applyAlignment="1" applyBorder="1" applyFont="1">
      <alignment horizontal="right" vertical="bottom"/>
    </xf>
    <xf borderId="0" fillId="0" fontId="13" numFmtId="0" xfId="0" applyFont="1"/>
    <xf borderId="12" fillId="4" fontId="12" numFmtId="10" xfId="0" applyAlignment="1" applyBorder="1" applyFont="1" applyNumberFormat="1">
      <alignment horizontal="right" vertical="bottom"/>
    </xf>
    <xf borderId="16" fillId="7" fontId="14" numFmtId="9" xfId="0" applyAlignment="1" applyBorder="1" applyFill="1" applyFont="1" applyNumberFormat="1">
      <alignment horizontal="right" readingOrder="0" vertical="bottom"/>
    </xf>
    <xf borderId="16" fillId="7" fontId="14" numFmtId="0" xfId="0" applyAlignment="1" applyBorder="1" applyFont="1">
      <alignment horizontal="right" readingOrder="0" vertical="bottom"/>
    </xf>
    <xf borderId="12" fillId="4" fontId="12" numFmtId="2" xfId="0" applyAlignment="1" applyBorder="1" applyFont="1" applyNumberFormat="1">
      <alignment horizontal="right" vertical="bottom"/>
    </xf>
    <xf borderId="16" fillId="7" fontId="14" numFmtId="9" xfId="0" applyAlignment="1" applyBorder="1" applyFont="1" applyNumberFormat="1">
      <alignment horizontal="right" vertical="bottom"/>
    </xf>
    <xf borderId="0" fillId="0" fontId="15" numFmtId="9" xfId="0" applyAlignment="1" applyFont="1" applyNumberFormat="1">
      <alignment readingOrder="0"/>
    </xf>
    <xf borderId="0" fillId="0" fontId="15" numFmtId="10" xfId="0" applyFont="1" applyNumberFormat="1"/>
    <xf borderId="0" fillId="6" fontId="16" numFmtId="10" xfId="0" applyFont="1" applyNumberFormat="1"/>
    <xf borderId="0" fillId="0" fontId="7" numFmtId="9" xfId="0" applyAlignment="1" applyFont="1" applyNumberFormat="1">
      <alignment readingOrder="0"/>
    </xf>
    <xf borderId="0" fillId="0" fontId="15" numFmtId="0" xfId="0" applyFont="1"/>
    <xf borderId="12" fillId="4" fontId="6" numFmtId="2" xfId="0" applyAlignment="1" applyBorder="1" applyFont="1" applyNumberFormat="1">
      <alignment horizontal="right" vertical="bottom"/>
    </xf>
    <xf borderId="0" fillId="0" fontId="15" numFmtId="0" xfId="0" applyAlignment="1" applyFont="1">
      <alignment readingOrder="0"/>
    </xf>
    <xf borderId="0" fillId="0" fontId="15" numFmtId="2" xfId="0" applyFont="1" applyNumberFormat="1"/>
    <xf borderId="0" fillId="2" fontId="2" numFmtId="0" xfId="0" applyAlignment="1" applyFont="1">
      <alignment readingOrder="0" vertical="bottom"/>
    </xf>
    <xf borderId="0" fillId="4" fontId="6" numFmtId="10" xfId="0" applyAlignment="1" applyFont="1" applyNumberFormat="1">
      <alignment horizontal="right" vertical="bottom"/>
    </xf>
    <xf borderId="0" fillId="4" fontId="6" numFmtId="2" xfId="0" applyAlignment="1" applyFont="1" applyNumberFormat="1">
      <alignment horizontal="right" vertical="bottom"/>
    </xf>
    <xf borderId="0" fillId="4" fontId="6" numFmtId="9" xfId="0" applyAlignment="1" applyFont="1" applyNumberFormat="1">
      <alignment horizontal="right" vertical="bottom"/>
    </xf>
    <xf borderId="0" fillId="0" fontId="7" numFmtId="2" xfId="0" applyFont="1" applyNumberFormat="1"/>
    <xf borderId="0" fillId="2" fontId="17" numFmtId="0" xfId="0" applyAlignment="1" applyFont="1">
      <alignment vertical="bottom"/>
    </xf>
    <xf borderId="0" fillId="2" fontId="18" numFmtId="0" xfId="0" applyAlignment="1" applyFont="1">
      <alignment readingOrder="0" vertical="bottom"/>
    </xf>
    <xf borderId="0" fillId="3" fontId="7" numFmtId="0" xfId="0" applyAlignment="1" applyFont="1">
      <alignment readingOrder="0" shrinkToFit="0" wrapText="1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3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6" fontId="21" numFmtId="0" xfId="0" applyFont="1"/>
    <xf borderId="0" fillId="0" fontId="20" numFmtId="0" xfId="0" applyAlignment="1" applyFont="1">
      <alignment readingOrder="0" shrinkToFit="0" vertical="bottom" wrapText="0"/>
    </xf>
    <xf borderId="0" fillId="0" fontId="22" numFmtId="0" xfId="0" applyAlignment="1" applyFont="1">
      <alignment readingOrder="0"/>
    </xf>
    <xf borderId="17" fillId="2" fontId="5" numFmtId="0" xfId="0" applyAlignment="1" applyBorder="1" applyFont="1">
      <alignment readingOrder="0" vertical="bottom"/>
    </xf>
    <xf borderId="18" fillId="0" fontId="10" numFmtId="0" xfId="0" applyBorder="1" applyFont="1"/>
    <xf borderId="17" fillId="0" fontId="23" numFmtId="166" xfId="0" applyBorder="1" applyFont="1" applyNumberFormat="1"/>
    <xf borderId="19" fillId="0" fontId="23" numFmtId="10" xfId="0" applyBorder="1" applyFont="1" applyNumberFormat="1"/>
    <xf borderId="7" fillId="2" fontId="11" numFmtId="0" xfId="0" applyAlignment="1" applyBorder="1" applyFont="1">
      <alignment readingOrder="0" vertical="bottom"/>
    </xf>
    <xf borderId="7" fillId="0" fontId="7" numFmtId="0" xfId="0" applyAlignment="1" applyBorder="1" applyFont="1">
      <alignment readingOrder="0"/>
    </xf>
    <xf borderId="7" fillId="0" fontId="7" numFmtId="166" xfId="0" applyAlignment="1" applyBorder="1" applyFont="1" applyNumberFormat="1">
      <alignment readingOrder="0"/>
    </xf>
    <xf borderId="10" fillId="2" fontId="11" numFmtId="0" xfId="0" applyAlignment="1" applyBorder="1" applyFont="1">
      <alignment readingOrder="0" vertical="bottom"/>
    </xf>
    <xf borderId="9" fillId="0" fontId="10" numFmtId="0" xfId="0" applyBorder="1" applyFont="1"/>
    <xf borderId="20" fillId="2" fontId="17" numFmtId="0" xfId="0" applyAlignment="1" applyBorder="1" applyFont="1">
      <alignment readingOrder="0" shrinkToFit="0" vertical="bottom" wrapText="1"/>
    </xf>
    <xf borderId="21" fillId="2" fontId="17" numFmtId="0" xfId="0" applyAlignment="1" applyBorder="1" applyFont="1">
      <alignment readingOrder="0" shrinkToFit="0" vertical="bottom" wrapText="1"/>
    </xf>
    <xf borderId="22" fillId="2" fontId="17" numFmtId="0" xfId="0" applyAlignment="1" applyBorder="1" applyFont="1">
      <alignment readingOrder="0" shrinkToFit="0" vertical="bottom" wrapText="1"/>
    </xf>
    <xf borderId="23" fillId="3" fontId="7" numFmtId="0" xfId="0" applyBorder="1" applyFont="1"/>
    <xf borderId="0" fillId="3" fontId="7" numFmtId="0" xfId="0" applyAlignment="1" applyFont="1">
      <alignment shrinkToFit="0" wrapText="1"/>
    </xf>
    <xf borderId="0" fillId="3" fontId="7" numFmtId="166" xfId="0" applyFont="1" applyNumberFormat="1"/>
    <xf borderId="0" fillId="3" fontId="21" numFmtId="166" xfId="0" applyAlignment="1" applyFont="1" applyNumberFormat="1">
      <alignment readingOrder="0"/>
    </xf>
    <xf borderId="0" fillId="3" fontId="21" numFmtId="0" xfId="0" applyAlignment="1" applyFont="1">
      <alignment readingOrder="0"/>
    </xf>
    <xf borderId="24" fillId="3" fontId="7" numFmtId="10" xfId="0" applyBorder="1" applyFont="1" applyNumberFormat="1"/>
    <xf borderId="23" fillId="3" fontId="7" numFmtId="0" xfId="0" applyAlignment="1" applyBorder="1" applyFont="1">
      <alignment readingOrder="0"/>
    </xf>
    <xf borderId="0" fillId="3" fontId="7" numFmtId="166" xfId="0" applyAlignment="1" applyFont="1" applyNumberFormat="1">
      <alignment readingOrder="0"/>
    </xf>
    <xf borderId="25" fillId="3" fontId="7" numFmtId="0" xfId="0" applyBorder="1" applyFont="1"/>
    <xf borderId="26" fillId="3" fontId="7" numFmtId="0" xfId="0" applyAlignment="1" applyBorder="1" applyFont="1">
      <alignment shrinkToFit="0" wrapText="1"/>
    </xf>
    <xf borderId="26" fillId="3" fontId="7" numFmtId="0" xfId="0" applyBorder="1" applyFont="1"/>
    <xf borderId="26" fillId="3" fontId="21" numFmtId="166" xfId="0" applyBorder="1" applyFont="1" applyNumberFormat="1"/>
    <xf borderId="27" fillId="3" fontId="7" numFmtId="0" xfId="0" applyBorder="1" applyFont="1"/>
    <xf borderId="20" fillId="2" fontId="17" numFmtId="0" xfId="0" applyAlignment="1" applyBorder="1" applyFont="1">
      <alignment readingOrder="0" vertical="bottom"/>
    </xf>
    <xf borderId="21" fillId="2" fontId="17" numFmtId="0" xfId="0" applyAlignment="1" applyBorder="1" applyFont="1">
      <alignment readingOrder="0" vertical="bottom"/>
    </xf>
    <xf borderId="22" fillId="2" fontId="17" numFmtId="0" xfId="0" applyAlignment="1" applyBorder="1" applyFont="1">
      <alignment readingOrder="0" vertical="bottom"/>
    </xf>
    <xf borderId="23" fillId="0" fontId="7" numFmtId="167" xfId="0" applyAlignment="1" applyBorder="1" applyFont="1" applyNumberFormat="1">
      <alignment readingOrder="0"/>
    </xf>
    <xf borderId="0" fillId="0" fontId="7" numFmtId="4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23" fillId="3" fontId="7" numFmtId="166" xfId="0" applyBorder="1" applyFont="1" applyNumberFormat="1"/>
    <xf borderId="24" fillId="3" fontId="21" numFmtId="166" xfId="0" applyBorder="1" applyFont="1" applyNumberFormat="1"/>
    <xf borderId="23" fillId="5" fontId="7" numFmtId="166" xfId="0" applyBorder="1" applyFont="1" applyNumberFormat="1"/>
    <xf borderId="0" fillId="5" fontId="7" numFmtId="166" xfId="0" applyAlignment="1" applyFont="1" applyNumberFormat="1">
      <alignment shrinkToFit="0" wrapText="1"/>
    </xf>
    <xf borderId="0" fillId="5" fontId="7" numFmtId="166" xfId="0" applyFont="1" applyNumberFormat="1"/>
    <xf borderId="0" fillId="5" fontId="7" numFmtId="4" xfId="0" applyFont="1" applyNumberFormat="1"/>
    <xf borderId="24" fillId="5" fontId="7" numFmtId="4" xfId="0" applyBorder="1" applyFont="1" applyNumberFormat="1"/>
    <xf borderId="23" fillId="5" fontId="7" numFmtId="166" xfId="0" applyAlignment="1" applyBorder="1" applyFont="1" applyNumberFormat="1">
      <alignment readingOrder="0"/>
    </xf>
    <xf borderId="23" fillId="0" fontId="7" numFmtId="0" xfId="0" applyBorder="1" applyFont="1"/>
    <xf borderId="24" fillId="3" fontId="21" numFmtId="0" xfId="0" applyBorder="1" applyFont="1"/>
    <xf borderId="25" fillId="5" fontId="7" numFmtId="166" xfId="0" applyBorder="1" applyFont="1" applyNumberFormat="1"/>
    <xf borderId="26" fillId="5" fontId="7" numFmtId="166" xfId="0" applyAlignment="1" applyBorder="1" applyFont="1" applyNumberFormat="1">
      <alignment shrinkToFit="0" wrapText="1"/>
    </xf>
    <xf borderId="26" fillId="5" fontId="7" numFmtId="166" xfId="0" applyBorder="1" applyFont="1" applyNumberFormat="1"/>
    <xf borderId="26" fillId="5" fontId="7" numFmtId="4" xfId="0" applyBorder="1" applyFont="1" applyNumberFormat="1"/>
    <xf borderId="27" fillId="5" fontId="7" numFmtId="4" xfId="0" applyBorder="1" applyFont="1" applyNumberFormat="1"/>
    <xf borderId="11" fillId="0" fontId="10" numFmtId="0" xfId="0" applyBorder="1" applyFont="1"/>
    <xf borderId="23" fillId="5" fontId="7" numFmtId="0" xfId="0" applyBorder="1" applyFont="1"/>
    <xf borderId="0" fillId="5" fontId="21" numFmtId="0" xfId="0" applyAlignment="1" applyFont="1">
      <alignment shrinkToFit="0" wrapText="1"/>
    </xf>
    <xf borderId="0" fillId="5" fontId="21" numFmtId="166" xfId="0" applyFont="1" applyNumberFormat="1"/>
    <xf borderId="0" fillId="5" fontId="7" numFmtId="10" xfId="0" applyFont="1" applyNumberFormat="1"/>
    <xf borderId="24" fillId="5" fontId="7" numFmtId="10" xfId="0" applyBorder="1" applyFont="1" applyNumberFormat="1"/>
    <xf borderId="0" fillId="5" fontId="7" numFmtId="0" xfId="0" applyFont="1"/>
    <xf borderId="25" fillId="5" fontId="7" numFmtId="0" xfId="0" applyBorder="1" applyFont="1"/>
    <xf borderId="26" fillId="5" fontId="21" numFmtId="0" xfId="0" applyAlignment="1" applyBorder="1" applyFont="1">
      <alignment shrinkToFit="0" wrapText="1"/>
    </xf>
    <xf borderId="26" fillId="5" fontId="21" numFmtId="166" xfId="0" applyBorder="1" applyFont="1" applyNumberFormat="1"/>
    <xf borderId="26" fillId="5" fontId="7" numFmtId="0" xfId="0" applyBorder="1" applyFont="1"/>
    <xf borderId="26" fillId="5" fontId="7" numFmtId="10" xfId="0" applyBorder="1" applyFont="1" applyNumberFormat="1"/>
    <xf borderId="27" fillId="5" fontId="7" numFmtId="10" xfId="0" applyBorder="1" applyFont="1" applyNumberFormat="1"/>
    <xf borderId="25" fillId="0" fontId="7" numFmtId="0" xfId="0" applyBorder="1" applyFont="1"/>
    <xf borderId="26" fillId="0" fontId="7" numFmtId="0" xfId="0" applyAlignment="1" applyBorder="1" applyFont="1">
      <alignment readingOrder="0"/>
    </xf>
    <xf borderId="26" fillId="0" fontId="7" numFmtId="0" xfId="0" applyBorder="1" applyFont="1"/>
    <xf borderId="25" fillId="3" fontId="7" numFmtId="166" xfId="0" applyBorder="1" applyFont="1" applyNumberFormat="1"/>
    <xf borderId="27" fillId="3" fontId="21" numFmtId="0" xfId="0" applyBorder="1" applyFont="1"/>
  </cellXfs>
  <cellStyles count="1">
    <cellStyle xfId="0" name="Normal" builtinId="0"/>
  </cellStyles>
  <dxfs count="6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color rgb="FFF09300"/>
      </font>
      <fill>
        <patternFill patternType="none"/>
      </fill>
      <border/>
    </dxf>
    <dxf>
      <font>
        <color rgb="FF0B8043"/>
      </font>
      <fill>
        <patternFill patternType="none"/>
      </fill>
      <border/>
    </dxf>
    <dxf>
      <font>
        <color rgb="FFC53929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200">
                <a:solidFill>
                  <a:srgbClr val="000000"/>
                </a:solidFill>
                <a:latin typeface="Arial"/>
              </a:defRPr>
            </a:pPr>
            <a:r>
              <a:rPr b="0" sz="1200">
                <a:solidFill>
                  <a:srgbClr val="000000"/>
                </a:solidFill>
                <a:latin typeface="Arial"/>
              </a:rPr>
              <a:t>LT Debt and LT Debt/Earnings</a:t>
            </a:r>
          </a:p>
        </c:rich>
      </c:tx>
      <c:overlay val="0"/>
    </c:title>
    <c:plotArea>
      <c:layout/>
      <c:lineChart>
        <c:varyColors val="0"/>
        <c:ser>
          <c:idx val="1"/>
          <c:order val="1"/>
          <c:tx>
            <c:strRef>
              <c:f>'For Organisations - Growth Anal'!$A$32</c:f>
            </c:strRef>
          </c:tx>
          <c:spPr>
            <a:ln cmpd="sng" w="28575">
              <a:solidFill>
                <a:srgbClr val="43682B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3682B">
                  <a:alpha val="100000"/>
                </a:srgbClr>
              </a:solidFill>
              <a:ln cmpd="sng">
                <a:solidFill>
                  <a:srgbClr val="43682B">
                    <a:alpha val="100000"/>
                  </a:srgbClr>
                </a:solidFill>
              </a:ln>
            </c:spPr>
          </c:marker>
          <c:cat>
            <c:strRef>
              <c:f>'For Organisations - Growth Anal'!$B$19:$L$19</c:f>
            </c:strRef>
          </c:cat>
          <c:val>
            <c:numRef>
              <c:f>'For Organisations - Growth Anal'!$B$32:$L$32</c:f>
              <c:numCache/>
            </c:numRef>
          </c:val>
          <c:smooth val="1"/>
        </c:ser>
        <c:axId val="1946237004"/>
        <c:axId val="412991606"/>
      </c:lineChart>
      <c:catAx>
        <c:axId val="19462370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412991606"/>
      </c:catAx>
      <c:valAx>
        <c:axId val="41299160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LT Debt/Earnings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946237004"/>
      </c:valAx>
      <c:barChart>
        <c:barDir val="col"/>
        <c:ser>
          <c:idx val="0"/>
          <c:order val="0"/>
          <c:tx>
            <c:strRef>
              <c:f>'For Organisations - Growth Anal'!$A$31</c:f>
            </c:strRef>
          </c:tx>
          <c:spPr>
            <a:solidFill>
              <a:srgbClr val="698ED0"/>
            </a:solidFill>
            <a:ln cmpd="sng">
              <a:solidFill>
                <a:srgbClr val="000000"/>
              </a:solidFill>
            </a:ln>
          </c:spPr>
          <c:cat>
            <c:strRef>
              <c:f>'For Organisations - Growth Anal'!$B$19:$L$19</c:f>
            </c:strRef>
          </c:cat>
          <c:val>
            <c:numRef>
              <c:f>'For Organisations - Growth Anal'!$B$31:$L$31</c:f>
              <c:numCache/>
            </c:numRef>
          </c:val>
        </c:ser>
        <c:axId val="1289793954"/>
        <c:axId val="52091858"/>
      </c:barChart>
      <c:catAx>
        <c:axId val="128979395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52091858"/>
      </c:catAx>
      <c:valAx>
        <c:axId val="52091858"/>
        <c:scaling>
          <c:orientation val="minMax"/>
          <c:min val="0.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LT Debt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Arial"/>
              </a:defRPr>
            </a:pPr>
          </a:p>
        </c:txPr>
        <c:crossAx val="1289793954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rPr b="0" i="0" sz="1400">
                <a:solidFill>
                  <a:srgbClr val="595959"/>
                </a:solidFill>
                <a:latin typeface="+mn-lt"/>
              </a:rPr>
              <a:t>Management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'For Organisations - Growth Anal'!$A$29</c:f>
            </c:strRef>
          </c:tx>
          <c:spPr>
            <a:solidFill>
              <a:srgbClr val="636363"/>
            </a:solidFill>
            <a:ln cmpd="sng">
              <a:solidFill>
                <a:srgbClr val="000000"/>
              </a:solidFill>
            </a:ln>
          </c:spPr>
          <c:cat>
            <c:strRef>
              <c:f>'For Organisations - Growth Anal'!$C$19:$L$19</c:f>
            </c:strRef>
          </c:cat>
          <c:val>
            <c:numRef>
              <c:f>'For Organisations - Growth Anal'!$B$29:$L$29</c:f>
              <c:numCache/>
            </c:numRef>
          </c:val>
        </c:ser>
        <c:ser>
          <c:idx val="1"/>
          <c:order val="1"/>
          <c:tx>
            <c:strRef>
              <c:f>'For Organisations - Growth Anal'!$A$28</c:f>
            </c:strRef>
          </c:tx>
          <c:spPr>
            <a:solidFill>
              <a:srgbClr val="997300"/>
            </a:solidFill>
            <a:ln cmpd="sng">
              <a:solidFill>
                <a:srgbClr val="000000"/>
              </a:solidFill>
            </a:ln>
          </c:spPr>
          <c:cat>
            <c:strRef>
              <c:f>'For Organisations - Growth Anal'!$C$19:$L$19</c:f>
            </c:strRef>
          </c:cat>
          <c:val>
            <c:numRef>
              <c:f>'For Organisations - Growth Anal'!$B$28:$L$28</c:f>
              <c:numCache/>
            </c:numRef>
          </c:val>
        </c:ser>
        <c:axId val="1203386913"/>
        <c:axId val="1110771705"/>
      </c:bar3DChart>
      <c:catAx>
        <c:axId val="1203386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110771705"/>
      </c:catAx>
      <c:valAx>
        <c:axId val="111077170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203386913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Book Value per Share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'For Organisations - Growth Anal'!$A$20</c:f>
            </c:strRef>
          </c:tx>
          <c:spPr>
            <a:solidFill>
              <a:srgbClr val="0B8043"/>
            </a:solidFill>
            <a:ln cmpd="sng">
              <a:solidFill>
                <a:srgbClr val="000000"/>
              </a:solidFill>
            </a:ln>
          </c:spPr>
          <c:cat>
            <c:strRef>
              <c:f>'For Organisations - Growth Anal'!$B$19:$L$19</c:f>
            </c:strRef>
          </c:cat>
          <c:val>
            <c:numRef>
              <c:f>'For Organisations - Growth Anal'!$B$20:$L$20</c:f>
              <c:numCache/>
            </c:numRef>
          </c:val>
        </c:ser>
        <c:axId val="248935777"/>
        <c:axId val="461660063"/>
      </c:bar3DChart>
      <c:catAx>
        <c:axId val="2489357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1660063"/>
      </c:catAx>
      <c:valAx>
        <c:axId val="4616600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89357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Earnings per Share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'For Organisations - Growth Anal'!$A$19:$L$19</c:f>
            </c:strRef>
          </c:cat>
          <c:val>
            <c:numRef>
              <c:f>'For Organisations - Growth Anal'!$A$22:$L$22</c:f>
              <c:numCache/>
            </c:numRef>
          </c:val>
        </c:ser>
        <c:axId val="1693384071"/>
        <c:axId val="309747089"/>
      </c:bar3DChart>
      <c:catAx>
        <c:axId val="1693384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9747089"/>
      </c:catAx>
      <c:valAx>
        <c:axId val="3097470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33840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per Share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1"/>
          <c:order val="1"/>
          <c:tx>
            <c:strRef>
              <c:f>'For Organisations - Growth Anal'!$A$24</c:f>
            </c:strRef>
          </c:tx>
          <c:cat>
            <c:strRef>
              <c:f>'For Organisations - Growth Anal'!$B$19:$L$19</c:f>
            </c:strRef>
          </c:cat>
          <c:val>
            <c:numRef>
              <c:f>'For Organisations - Growth Anal'!$B$24:$L$24</c:f>
              <c:numCache/>
            </c:numRef>
          </c:val>
        </c:ser>
        <c:axId val="1252694221"/>
        <c:axId val="259186512"/>
      </c:bar3DChart>
      <c:catAx>
        <c:axId val="1252694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9186512"/>
      </c:catAx>
      <c:valAx>
        <c:axId val="259186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26942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OCF per Share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1"/>
          <c:order val="1"/>
          <c:tx>
            <c:strRef>
              <c:f>'For Organisations - Growth Anal'!$A$26</c:f>
            </c:strRef>
          </c:tx>
          <c:cat>
            <c:strRef>
              <c:f>'For Organisations - Growth Anal'!$B$19:$L$19</c:f>
            </c:strRef>
          </c:cat>
          <c:val>
            <c:numRef>
              <c:f>'For Organisations - Growth Anal'!$B$26:$L$26</c:f>
              <c:numCache/>
            </c:numRef>
          </c:val>
        </c:ser>
        <c:axId val="2031113468"/>
        <c:axId val="1786619188"/>
      </c:bar3DChart>
      <c:catAx>
        <c:axId val="20311134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6619188"/>
      </c:catAx>
      <c:valAx>
        <c:axId val="17866191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11134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 Share Growth Rates</a:t>
            </a:r>
          </a:p>
        </c:rich>
      </c:tx>
      <c:overlay val="0"/>
    </c:title>
    <c:plotArea>
      <c:layout/>
      <c:lineChart>
        <c:ser>
          <c:idx val="1"/>
          <c:order val="1"/>
          <c:tx>
            <c:strRef>
              <c:f>'For Organisations - Growth Anal'!$A$21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'For Organisations - Growth Anal'!$B$19:$L$19</c:f>
            </c:strRef>
          </c:cat>
          <c:val>
            <c:numRef>
              <c:f>'For Organisations - Growth Anal'!$B$21:$L$21</c:f>
              <c:numCache/>
            </c:numRef>
          </c:val>
          <c:smooth val="1"/>
        </c:ser>
        <c:ser>
          <c:idx val="2"/>
          <c:order val="2"/>
          <c:tx>
            <c:strRef>
              <c:f>'For Organisations - Growth Anal'!$A$23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'For Organisations - Growth Anal'!$B$19:$L$19</c:f>
            </c:strRef>
          </c:cat>
          <c:val>
            <c:numRef>
              <c:f>'For Organisations - Growth Anal'!$B$23:$L$23</c:f>
              <c:numCache/>
            </c:numRef>
          </c:val>
          <c:smooth val="1"/>
        </c:ser>
        <c:ser>
          <c:idx val="3"/>
          <c:order val="3"/>
          <c:tx>
            <c:strRef>
              <c:f>'For Organisations - Growth Anal'!$A$25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'For Organisations - Growth Anal'!$B$19:$L$19</c:f>
            </c:strRef>
          </c:cat>
          <c:val>
            <c:numRef>
              <c:f>'For Organisations - Growth Anal'!$B$25:$L$25</c:f>
              <c:numCache/>
            </c:numRef>
          </c:val>
          <c:smooth val="1"/>
        </c:ser>
        <c:axId val="1109515688"/>
        <c:axId val="585148020"/>
      </c:lineChart>
      <c:catAx>
        <c:axId val="1109515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5148020"/>
      </c:catAx>
      <c:valAx>
        <c:axId val="5851480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95156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Debt (Years of Earnings)</a:t>
            </a:r>
          </a:p>
        </c:rich>
      </c:tx>
      <c:layout>
        <c:manualLayout>
          <c:xMode val="edge"/>
          <c:yMode val="edge"/>
          <c:x val="0.03659848484848485"/>
          <c:y val="0.02126684636118599"/>
        </c:manualLayout>
      </c:layout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rgbClr val="169B81"/>
            </a:solidFill>
            <a:ln cmpd="sng">
              <a:solidFill>
                <a:srgbClr val="000000"/>
              </a:solidFill>
            </a:ln>
          </c:spPr>
          <c:val>
            <c:numRef>
              <c:f>'For Organisations - Growth Anal'!$L$32</c:f>
              <c:numCache/>
            </c:numRef>
          </c:val>
        </c:ser>
        <c:axId val="710369260"/>
        <c:axId val="960298442"/>
      </c:bar3DChart>
      <c:catAx>
        <c:axId val="7103692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0298442"/>
      </c:catAx>
      <c:valAx>
        <c:axId val="960298442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Debt (Years of Earnings)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03692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tx>
            <c:strRef>
              <c:f>'For Organisations MOS Valuation'!$O$34:$O$35</c:f>
            </c:strRef>
          </c:tx>
          <c:spPr>
            <a:solidFill>
              <a:srgbClr val="169B81">
                <a:alpha val="30000"/>
              </a:srgbClr>
            </a:solidFill>
            <a:ln cmpd="sng">
              <a:solidFill>
                <a:srgbClr val="169B81">
                  <a:alpha val="100000"/>
                </a:srgbClr>
              </a:solidFill>
            </a:ln>
          </c:spPr>
          <c:cat>
            <c:strRef>
              <c:f>'For Organisations MOS Valuation'!$H$36:$H$287</c:f>
            </c:strRef>
          </c:cat>
          <c:val>
            <c:numRef>
              <c:f>'For Organisations MOS Valuation'!$O$36:$O$287</c:f>
              <c:numCache/>
            </c:numRef>
          </c:val>
        </c:ser>
        <c:ser>
          <c:idx val="1"/>
          <c:order val="1"/>
          <c:tx>
            <c:strRef>
              <c:f>'For Organisations MOS Valuation'!$P$34:$P$35</c:f>
            </c:strRef>
          </c:tx>
          <c:spPr>
            <a:solidFill>
              <a:srgbClr val="2D3E50">
                <a:alpha val="30000"/>
              </a:srgbClr>
            </a:solidFill>
            <a:ln cmpd="sng">
              <a:solidFill>
                <a:srgbClr val="2D3E50">
                  <a:alpha val="100000"/>
                </a:srgbClr>
              </a:solidFill>
            </a:ln>
          </c:spPr>
          <c:cat>
            <c:strRef>
              <c:f>'For Organisations MOS Valuation'!$H$36:$H$287</c:f>
            </c:strRef>
          </c:cat>
          <c:val>
            <c:numRef>
              <c:f>'For Organisations MOS Valuation'!$P$36:$P$287</c:f>
              <c:numCache/>
            </c:numRef>
          </c:val>
        </c:ser>
        <c:axId val="1845906025"/>
        <c:axId val="1095374032"/>
      </c:areaChart>
      <c:catAx>
        <c:axId val="18459060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5374032"/>
      </c:catAx>
      <c:valAx>
        <c:axId val="10953740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59060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lt1"/>
                </a:solidFill>
                <a:latin typeface="Arial"/>
              </a:defRPr>
            </a:pPr>
            <a:r>
              <a:rPr b="0">
                <a:solidFill>
                  <a:schemeClr val="lt1"/>
                </a:solidFill>
                <a:latin typeface="Arial"/>
              </a:rPr>
              <a:t>Portfolio Breakdown</a:t>
            </a:r>
          </a:p>
        </c:rich>
      </c:tx>
      <c:overlay val="0"/>
    </c:title>
    <c:view3D>
      <c:rotX val="50"/>
      <c:perspective val="0"/>
    </c:view3D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</c:dPt>
          <c:dPt>
            <c:idx val="9"/>
          </c:dPt>
          <c:dPt>
            <c:idx val="10"/>
          </c:dPt>
          <c:dPt>
            <c:idx val="11"/>
          </c:dPt>
          <c:dPt>
            <c:idx val="12"/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dPt>
            <c:idx val="17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'For Retail Investors'!$A$6:$A$23</c:f>
            </c:strRef>
          </c:cat>
          <c:val>
            <c:numRef>
              <c:f>'For Retail Investors'!$K$6:$K$23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169B81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lt1"/>
                </a:solidFill>
                <a:latin typeface="Arial"/>
              </a:defRPr>
            </a:pPr>
            <a:r>
              <a:rPr b="0">
                <a:solidFill>
                  <a:schemeClr val="lt1"/>
                </a:solidFill>
                <a:latin typeface="Arial"/>
              </a:rPr>
              <a:t>Sector Breakdown</a:t>
            </a:r>
          </a:p>
        </c:rich>
      </c:tx>
      <c:overlay val="0"/>
    </c:title>
    <c:view3D>
      <c:rotX val="50"/>
      <c:perspective val="0"/>
    </c:view3D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</c:dPt>
          <c:dPt>
            <c:idx val="9"/>
          </c:dPt>
          <c:dPt>
            <c:idx val="10"/>
          </c:dPt>
          <c:dPt>
            <c:idx val="11"/>
          </c:dPt>
          <c:dPt>
            <c:idx val="12"/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dPt>
            <c:idx val="17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'For Retail Investors'!$M$27:$M$40</c:f>
            </c:strRef>
          </c:cat>
          <c:val>
            <c:numRef>
              <c:f>'For Retail Investors'!$K$6:$K$23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169B8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57150</xdr:colOff>
      <xdr:row>35</xdr:row>
      <xdr:rowOff>180975</xdr:rowOff>
    </xdr:from>
    <xdr:ext cx="5819775" cy="27051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114300</xdr:colOff>
      <xdr:row>35</xdr:row>
      <xdr:rowOff>180975</xdr:rowOff>
    </xdr:from>
    <xdr:ext cx="5819775" cy="27051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228600</xdr:colOff>
      <xdr:row>18</xdr:row>
      <xdr:rowOff>9525</xdr:rowOff>
    </xdr:from>
    <xdr:ext cx="4714875" cy="32004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228600</xdr:colOff>
      <xdr:row>33</xdr:row>
      <xdr:rowOff>133350</xdr:rowOff>
    </xdr:from>
    <xdr:ext cx="4714875" cy="32004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17</xdr:col>
      <xdr:colOff>200025</xdr:colOff>
      <xdr:row>18</xdr:row>
      <xdr:rowOff>9525</xdr:rowOff>
    </xdr:from>
    <xdr:ext cx="4714875" cy="32004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17</xdr:col>
      <xdr:colOff>200025</xdr:colOff>
      <xdr:row>33</xdr:row>
      <xdr:rowOff>133350</xdr:rowOff>
    </xdr:from>
    <xdr:ext cx="4714875" cy="32004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12</xdr:col>
      <xdr:colOff>228600</xdr:colOff>
      <xdr:row>2</xdr:row>
      <xdr:rowOff>0</xdr:rowOff>
    </xdr:from>
    <xdr:ext cx="9496425" cy="34480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10</xdr:col>
      <xdr:colOff>209550</xdr:colOff>
      <xdr:row>1</xdr:row>
      <xdr:rowOff>190500</xdr:rowOff>
    </xdr:from>
    <xdr:ext cx="1676400" cy="344805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0</xdr:col>
      <xdr:colOff>114300</xdr:colOff>
      <xdr:row>54</xdr:row>
      <xdr:rowOff>104775</xdr:rowOff>
    </xdr:from>
    <xdr:ext cx="1323975" cy="800100"/>
    <xdr:grpSp>
      <xdr:nvGrpSpPr>
        <xdr:cNvPr id="2" name="Shape 2" title="Drawing"/>
        <xdr:cNvGrpSpPr/>
      </xdr:nvGrpSpPr>
      <xdr:grpSpPr>
        <a:xfrm>
          <a:off x="2946100" y="2019250"/>
          <a:ext cx="1092600" cy="653700"/>
          <a:chOff x="2946100" y="2019250"/>
          <a:chExt cx="1092600" cy="653700"/>
        </a:xfrm>
      </xdr:grpSpPr>
      <xdr:cxnSp>
        <xdr:nvCxnSpPr>
          <xdr:cNvPr id="3" name="Shape 3"/>
          <xdr:cNvCxnSpPr/>
        </xdr:nvCxnSpPr>
        <xdr:spPr>
          <a:xfrm rot="10800000">
            <a:off x="2946100" y="2019250"/>
            <a:ext cx="1092600" cy="653700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round/>
            <a:headEnd len="med" w="med" type="none"/>
            <a:tailEnd len="med" w="med" type="stealth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285750</xdr:colOff>
      <xdr:row>6</xdr:row>
      <xdr:rowOff>190500</xdr:rowOff>
    </xdr:from>
    <xdr:ext cx="10296525" cy="534352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1143000</xdr:colOff>
      <xdr:row>13</xdr:row>
      <xdr:rowOff>66675</xdr:rowOff>
    </xdr:from>
    <xdr:ext cx="6486525" cy="4210050"/>
    <xdr:sp>
      <xdr:nvSpPr>
        <xdr:cNvPr id="4" name="Shape 4"/>
        <xdr:cNvSpPr txBox="1"/>
      </xdr:nvSpPr>
      <xdr:spPr>
        <a:xfrm>
          <a:off x="2744175" y="1192700"/>
          <a:ext cx="6467700" cy="4186800"/>
        </a:xfrm>
        <a:prstGeom prst="rect">
          <a:avLst/>
        </a:prstGeom>
        <a:solidFill>
          <a:srgbClr val="FFFFFF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300" u="sng"/>
            <a:t>Valuation Methodology:</a:t>
          </a:r>
          <a:endParaRPr b="1" sz="1300" u="sng"/>
        </a:p>
        <a:p>
          <a:pPr indent="-311150" lvl="0" marL="457200" rtl="0" algn="l">
            <a:spcBef>
              <a:spcPts val="0"/>
            </a:spcBef>
            <a:spcAft>
              <a:spcPts val="0"/>
            </a:spcAft>
            <a:buSzPts val="1300"/>
            <a:buAutoNum type="arabicParenBoth"/>
          </a:pPr>
          <a:r>
            <a:rPr lang="en-US" sz="1300"/>
            <a:t>Calculate the average growth rate of the company over the last X years (X defined by ‘Historical Growth’). These numbers come from the Growth Analysis sheet (1a).</a:t>
          </a:r>
          <a:endParaRPr sz="1300"/>
        </a:p>
        <a:p>
          <a:pPr indent="-311150" lvl="0" marL="457200" rtl="0" algn="l">
            <a:spcBef>
              <a:spcPts val="0"/>
            </a:spcBef>
            <a:spcAft>
              <a:spcPts val="0"/>
            </a:spcAft>
            <a:buSzPts val="1300"/>
            <a:buAutoNum type="arabicParenBoth"/>
          </a:pPr>
          <a:r>
            <a:rPr lang="en-US" sz="1300"/>
            <a:t>Apply this average growth rate (compounding) to the current EPS of the company over Y years (Y defined by ‘Forecast Length’) to estimate the future earnings of the company.</a:t>
          </a:r>
          <a:endParaRPr sz="1300"/>
        </a:p>
        <a:p>
          <a:pPr indent="-311150" lvl="0" marL="457200" rtl="0" algn="l">
            <a:spcBef>
              <a:spcPts val="0"/>
            </a:spcBef>
            <a:spcAft>
              <a:spcPts val="0"/>
            </a:spcAft>
            <a:buSzPts val="1300"/>
            <a:buAutoNum type="arabicParenBoth"/>
          </a:pPr>
          <a:r>
            <a:rPr lang="en-US" sz="1300"/>
            <a:t>Estimate the P/E of the company Y years from now, assuming you choose to sell in a bull/greedy market (as you should) you should choose the highest of your P/E estimates.</a:t>
          </a:r>
          <a:endParaRPr sz="1300"/>
        </a:p>
        <a:p>
          <a:pPr indent="-311150" lvl="0" marL="457200" rtl="0" algn="l">
            <a:spcBef>
              <a:spcPts val="0"/>
            </a:spcBef>
            <a:spcAft>
              <a:spcPts val="0"/>
            </a:spcAft>
            <a:buSzPts val="1300"/>
            <a:buAutoNum type="arabicParenBoth"/>
          </a:pPr>
          <a:r>
            <a:rPr lang="en-US" sz="1300"/>
            <a:t>Calculate the estimated stock price at this future date (Y years from now) by multiplying the future P/E by the future EPS.</a:t>
          </a:r>
          <a:endParaRPr sz="1300"/>
        </a:p>
        <a:p>
          <a:pPr indent="-311150" lvl="0" marL="457200" rtl="0" algn="l">
            <a:spcBef>
              <a:spcPts val="0"/>
            </a:spcBef>
            <a:spcAft>
              <a:spcPts val="0"/>
            </a:spcAft>
            <a:buSzPts val="1300"/>
            <a:buAutoNum type="arabicParenBoth"/>
          </a:pPr>
          <a:r>
            <a:rPr lang="en-US" sz="1300"/>
            <a:t>Decide the annual returns you’d like to generate from your investment (MAAR), e.g. 15% returns year-on-year. </a:t>
          </a:r>
          <a:endParaRPr sz="1300"/>
        </a:p>
        <a:p>
          <a:pPr indent="-311150" lvl="0" marL="457200" rtl="0" algn="l">
            <a:spcBef>
              <a:spcPts val="0"/>
            </a:spcBef>
            <a:spcAft>
              <a:spcPts val="0"/>
            </a:spcAft>
            <a:buSzPts val="1300"/>
            <a:buAutoNum type="arabicParenBoth"/>
          </a:pPr>
          <a:r>
            <a:rPr lang="en-US" sz="1300"/>
            <a:t>Reverse compound the estimate stock price Y years from now by your MAAR to get a current day fair purchase value for the company. This is the price you are willing to pay today to earn your MAAR % on the investment for Y years.</a:t>
          </a:r>
          <a:endParaRPr sz="1300"/>
        </a:p>
        <a:p>
          <a:pPr indent="-311150" lvl="0" marL="457200" rtl="0" algn="l">
            <a:spcBef>
              <a:spcPts val="0"/>
            </a:spcBef>
            <a:spcAft>
              <a:spcPts val="0"/>
            </a:spcAft>
            <a:buSzPts val="1300"/>
            <a:buAutoNum type="arabicParenBoth"/>
          </a:pPr>
          <a:r>
            <a:rPr lang="en-US" sz="1300"/>
            <a:t>Apply a margin of safety % to this final price, e.g. I want to purchase the stock at 50% below the fair value estimate.</a:t>
          </a:r>
          <a:endParaRPr sz="1300"/>
        </a:p>
        <a:p>
          <a:pPr indent="-311150" lvl="0" marL="457200" rtl="0" algn="l">
            <a:spcBef>
              <a:spcPts val="0"/>
            </a:spcBef>
            <a:spcAft>
              <a:spcPts val="0"/>
            </a:spcAft>
            <a:buSzPts val="1300"/>
            <a:buAutoNum type="arabicParenBoth"/>
          </a:pPr>
          <a:r>
            <a:rPr lang="en-US" sz="1300"/>
            <a:t>You now have your buy price.</a:t>
          </a:r>
          <a:endParaRPr sz="1300"/>
        </a:p>
      </xdr:txBody>
    </xdr:sp>
    <xdr:clientData fLocksWithSheet="0"/>
  </xdr:oneCellAnchor>
  <xdr:oneCellAnchor>
    <xdr:from>
      <xdr:col>12</xdr:col>
      <xdr:colOff>1152525</xdr:colOff>
      <xdr:row>0</xdr:row>
      <xdr:rowOff>409575</xdr:rowOff>
    </xdr:from>
    <xdr:ext cx="6467475" cy="3009900"/>
    <xdr:sp>
      <xdr:nvSpPr>
        <xdr:cNvPr id="5" name="Shape 5"/>
        <xdr:cNvSpPr txBox="1"/>
      </xdr:nvSpPr>
      <xdr:spPr>
        <a:xfrm>
          <a:off x="2744175" y="1221775"/>
          <a:ext cx="6448200" cy="29862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Welcome to the SheetsFinance valuation template built off a ‘margin of safety’ (MOS) analysis. This tool allows you to simply apply the MOS analysis based on the growth rates calculated in the Growth Analysis template (1a).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To use the template you only need to adjust the white dropdowns at the top. </a:t>
          </a:r>
          <a:r>
            <a:rPr b="1" i="1" lang="en-US" sz="1400" u="sng"/>
            <a:t>Any cell that is coloured should not be edited</a:t>
          </a:r>
          <a:r>
            <a:rPr lang="en-US" sz="1400"/>
            <a:t>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The valuation methodology that this sheet uses is outlined  below.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Please note that this sheet does not constitute financial advice. This analysis should be considered a ‘back of the envelope’ calculation or perhaps a stock screener and is in no way a </a:t>
          </a:r>
          <a:r>
            <a:rPr lang="en-US" sz="1400"/>
            <a:t>substitute</a:t>
          </a:r>
          <a:r>
            <a:rPr lang="en-US" sz="1400"/>
            <a:t> for thorough research. If you would like to suggest changes please reach out at info@sheetsfinance.com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200025</xdr:colOff>
      <xdr:row>1</xdr:row>
      <xdr:rowOff>171450</xdr:rowOff>
    </xdr:from>
    <xdr:ext cx="3409950" cy="26955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1276350</xdr:colOff>
      <xdr:row>1</xdr:row>
      <xdr:rowOff>171450</xdr:rowOff>
    </xdr:from>
    <xdr:ext cx="3409950" cy="26955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3.0"/>
    <col customWidth="1" min="4" max="5" width="10.88"/>
  </cols>
  <sheetData>
    <row r="1">
      <c r="A1" s="1" t="s">
        <v>0</v>
      </c>
      <c r="B1" s="2" t="str">
        <f>SF(A1,"companyInfo","name")</f>
        <v>Apple Inc.</v>
      </c>
      <c r="C1" s="2"/>
      <c r="D1" s="2"/>
      <c r="E1" s="2"/>
      <c r="F1" s="2"/>
      <c r="G1" s="2"/>
      <c r="H1" s="2" t="str">
        <f>SF(A1,"companyInfo","industry")</f>
        <v>Consumer Electronics</v>
      </c>
      <c r="I1" s="2"/>
      <c r="J1" s="2"/>
      <c r="K1" s="3"/>
      <c r="L1" s="3"/>
      <c r="M1" s="3"/>
      <c r="N1" s="2" t="str">
        <f>SF(A1,"companyInfo","sector")</f>
        <v>Technology</v>
      </c>
      <c r="O1" s="3"/>
      <c r="P1" s="3"/>
      <c r="Q1" s="3"/>
      <c r="R1" s="3"/>
      <c r="S1" s="3"/>
      <c r="T1" s="3"/>
      <c r="U1" s="3"/>
      <c r="V1" s="3"/>
      <c r="W1" s="3"/>
    </row>
    <row r="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</row>
    <row r="4">
      <c r="A4" s="7">
        <f>SF(A1,"realTime","price&amp;changesPercentage&amp;open&amp;dayLow&amp;dayHigh&amp;volume&amp;avgVolume","","NH")</f>
        <v>192.0499</v>
      </c>
      <c r="B4" s="8">
        <v>-0.005181</v>
      </c>
      <c r="C4" s="9">
        <v>192.49</v>
      </c>
      <c r="D4" s="9">
        <v>191.0905</v>
      </c>
      <c r="E4" s="9">
        <v>192.8972</v>
      </c>
      <c r="F4" s="9">
        <v>1.7384383E7</v>
      </c>
      <c r="G4" s="10">
        <v>5.3522277E7</v>
      </c>
    </row>
    <row r="6">
      <c r="A6" s="11" t="s">
        <v>8</v>
      </c>
      <c r="B6" s="12"/>
      <c r="D6" s="13" t="s">
        <v>9</v>
      </c>
      <c r="E6" s="5" t="s">
        <v>10</v>
      </c>
      <c r="F6" s="5" t="s">
        <v>11</v>
      </c>
      <c r="G6" s="5" t="s">
        <v>12</v>
      </c>
      <c r="H6" s="14" t="s">
        <v>13</v>
      </c>
      <c r="I6" s="5" t="s">
        <v>14</v>
      </c>
      <c r="J6" s="15" t="s">
        <v>15</v>
      </c>
    </row>
    <row r="7">
      <c r="A7" s="16" t="s">
        <v>16</v>
      </c>
      <c r="B7" s="17">
        <f t="array" ref="B7:B13">TRANSPOSE(SF(A1,"realTime","marketCap&amp;eps&amp;pe&amp;lastDiv&amp;yearLow&amp;yearHigh&amp;priceAvg50&amp;priceAvg200", "", "NH"))</f>
        <v>2987070768000</v>
      </c>
      <c r="D7" s="16" t="s">
        <v>17</v>
      </c>
      <c r="E7" s="18">
        <f>AVERAGE(C21:L21)</f>
        <v>-0.02784614266</v>
      </c>
      <c r="F7" s="19">
        <f>AVERAGE(F21:L21)</f>
        <v>-0.06101251248</v>
      </c>
      <c r="G7" s="19">
        <f>AVERAGE(H21:L21)</f>
        <v>-0.1306240411</v>
      </c>
      <c r="H7" s="19">
        <f>AVERAGE(J21:L21)</f>
        <v>-0.1336456972</v>
      </c>
      <c r="I7" s="20">
        <f>L21</f>
        <v>-0.1727927674</v>
      </c>
      <c r="J7" s="21">
        <f t="shared" ref="J7:J10" si="1">SUM(IF(OR(E7 &lt; 0.05,E7="--"),0,IF(AND(E7 &gt;= 0.05, E7 &lt; 0.1),1,2)),IF(OR(F7 &lt; 0.05,F7="--"),0,IF(AND(F7 &gt;= 0.05, F7 &lt; 0.1),1,2)),IF(OR(G7 &lt; 0.05,G7="--"),0,IF(AND(G7 &gt;= 0.05, G7 &lt; 0.1),1,2)),IF(OR(H7 &lt; 0.05,H7="--"),0,IF(AND(H7 &gt;= 0.05, H7 &lt; 0.1),1,2)))/8</f>
        <v>0</v>
      </c>
      <c r="K7" s="22"/>
      <c r="L7" s="23"/>
    </row>
    <row r="8">
      <c r="A8" s="24" t="s">
        <v>18</v>
      </c>
      <c r="B8" s="25">
        <v>6.14</v>
      </c>
      <c r="D8" s="24" t="s">
        <v>19</v>
      </c>
      <c r="E8" s="26">
        <f>AVERAGE(C23:L23)</f>
        <v>0.1669687431</v>
      </c>
      <c r="F8" s="27">
        <f>AVERAGE(F23:L23)</f>
        <v>0.1721929233</v>
      </c>
      <c r="G8" s="27">
        <f>AVERAGE(H23:L23)</f>
        <v>0.2388881095</v>
      </c>
      <c r="H8" s="27">
        <f>AVERAGE(J23:L23)</f>
        <v>0.3015568109</v>
      </c>
      <c r="I8" s="28">
        <f>L23</f>
        <v>0.08465608466</v>
      </c>
      <c r="J8" s="21">
        <f t="shared" si="1"/>
        <v>1</v>
      </c>
      <c r="M8" s="23"/>
      <c r="N8" s="23"/>
    </row>
    <row r="9">
      <c r="A9" s="24" t="s">
        <v>20</v>
      </c>
      <c r="B9" s="25">
        <v>31.28</v>
      </c>
      <c r="D9" s="24" t="s">
        <v>21</v>
      </c>
      <c r="E9" s="26">
        <f>AVERAGE(C25:L25)</f>
        <v>0.1029688245</v>
      </c>
      <c r="F9" s="27">
        <f>AVERAGE(F25:L25)</f>
        <v>0.08422349256</v>
      </c>
      <c r="G9" s="27">
        <f>AVERAGE(H25:L25)</f>
        <v>0.1207722656</v>
      </c>
      <c r="H9" s="27">
        <f>AVERAGE(J25:L25)</f>
        <v>0.155217509</v>
      </c>
      <c r="I9" s="28">
        <f>L25</f>
        <v>0.07793787604</v>
      </c>
      <c r="J9" s="21">
        <f t="shared" si="1"/>
        <v>0.875</v>
      </c>
      <c r="M9" s="23"/>
      <c r="N9" s="23"/>
    </row>
    <row r="10">
      <c r="A10" s="24" t="s">
        <v>22</v>
      </c>
      <c r="B10" s="25">
        <v>124.17</v>
      </c>
      <c r="D10" s="29" t="s">
        <v>23</v>
      </c>
      <c r="E10" s="30">
        <f>AVERAGE(C27:L27)</f>
        <v>0.1045035359</v>
      </c>
      <c r="F10" s="31">
        <f>AVERAGE(F27:L27)</f>
        <v>0.07373710174</v>
      </c>
      <c r="G10" s="31">
        <f>AVERAGE(H27:L27)</f>
        <v>0.1479990261</v>
      </c>
      <c r="H10" s="31">
        <f>AVERAGE(J27:L27)</f>
        <v>0.2087700736</v>
      </c>
      <c r="I10" s="32">
        <f>L27</f>
        <v>0.1740998481</v>
      </c>
      <c r="J10" s="33">
        <f t="shared" si="1"/>
        <v>0.875</v>
      </c>
      <c r="L10" s="23"/>
    </row>
    <row r="11">
      <c r="A11" s="24" t="s">
        <v>24</v>
      </c>
      <c r="B11" s="25">
        <v>199.62</v>
      </c>
      <c r="C11" s="34"/>
      <c r="D11" s="35"/>
      <c r="E11" s="27"/>
      <c r="F11" s="27"/>
      <c r="G11" s="27"/>
      <c r="H11" s="27"/>
      <c r="I11" s="4" t="s">
        <v>25</v>
      </c>
      <c r="J11" s="36">
        <f>AVERAGE(J7:J10)</f>
        <v>0.6875</v>
      </c>
      <c r="L11" s="23"/>
    </row>
    <row r="12">
      <c r="A12" s="24" t="s">
        <v>26</v>
      </c>
      <c r="B12" s="25">
        <v>185.6828</v>
      </c>
      <c r="K12" s="22"/>
      <c r="L12" s="23"/>
    </row>
    <row r="13">
      <c r="A13" s="24" t="s">
        <v>27</v>
      </c>
      <c r="B13" s="25">
        <v>178.87186</v>
      </c>
      <c r="D13" s="13" t="s">
        <v>28</v>
      </c>
      <c r="E13" s="5" t="s">
        <v>10</v>
      </c>
      <c r="F13" s="5" t="s">
        <v>11</v>
      </c>
      <c r="G13" s="5" t="s">
        <v>12</v>
      </c>
      <c r="H13" s="14" t="s">
        <v>13</v>
      </c>
      <c r="I13" s="5" t="s">
        <v>14</v>
      </c>
      <c r="J13" s="15" t="s">
        <v>15</v>
      </c>
      <c r="K13" s="22"/>
      <c r="L13" s="22"/>
    </row>
    <row r="14">
      <c r="A14" s="29" t="s">
        <v>29</v>
      </c>
      <c r="B14" s="37">
        <f>SF($A$1,"ratios","dividendYield","ttm")</f>
        <v>0.00494675727</v>
      </c>
      <c r="D14" s="24" t="s">
        <v>30</v>
      </c>
      <c r="E14" s="18">
        <f t="shared" ref="E14:E15" si="2">AVERAGE(C28:L28)</f>
        <v>0.7333480607</v>
      </c>
      <c r="F14" s="19">
        <f t="shared" ref="F14:F15" si="3">AVERAGE(F28:L28)</f>
        <v>0.8903071154</v>
      </c>
      <c r="G14" s="19">
        <f t="shared" ref="G14:G15" si="4">AVERAGE(H28:L28)</f>
        <v>1.103042254</v>
      </c>
      <c r="H14" s="19">
        <f t="shared" ref="H14:H15" si="5">AVERAGE(J28:L28)</f>
        <v>1.449655193</v>
      </c>
      <c r="I14" s="20">
        <f t="shared" ref="I14:I15" si="6">L28</f>
        <v>1.969588728</v>
      </c>
      <c r="J14" s="21">
        <f t="shared" ref="J14:J15" si="7">SUM(IF(E14 &lt; 0.05,0,IF(AND(E14 &gt;= 0.05, E14 &lt; 0.1),1,2)),IF(F14 &lt; 0.05,0,IF(AND(F14 &gt;= 0.05, F14 &lt; 0.1),1,2)),IF(G14 &lt; 0.05,0,IF(AND(G14 &gt;= 0.05, G14 &lt; 0.1),1,2)),IF(H14 &lt; 0.05,0,IF(AND(H14 &gt;= 0.05, H14 &lt; 0.1),1,2)))/8</f>
        <v>1</v>
      </c>
    </row>
    <row r="15">
      <c r="D15" s="38" t="s">
        <v>31</v>
      </c>
      <c r="E15" s="30">
        <f t="shared" si="2"/>
        <v>0.3156499419</v>
      </c>
      <c r="F15" s="31">
        <f t="shared" si="3"/>
        <v>0.3345348772</v>
      </c>
      <c r="G15" s="31">
        <f t="shared" si="4"/>
        <v>0.3880137857</v>
      </c>
      <c r="H15" s="31">
        <f t="shared" si="5"/>
        <v>0.4693942297</v>
      </c>
      <c r="I15" s="32">
        <f t="shared" si="6"/>
        <v>0.5861678044</v>
      </c>
      <c r="J15" s="33">
        <f t="shared" si="7"/>
        <v>1</v>
      </c>
    </row>
    <row r="16">
      <c r="A16" s="16" t="s">
        <v>32</v>
      </c>
      <c r="B16" s="39">
        <f>J11</f>
        <v>0.6875</v>
      </c>
      <c r="D16" s="4" t="s">
        <v>33</v>
      </c>
      <c r="E16" s="40"/>
      <c r="F16" s="40"/>
      <c r="G16" s="41">
        <f>L32</f>
        <v>1.952932586</v>
      </c>
      <c r="H16" s="40"/>
      <c r="I16" s="42"/>
      <c r="J16" s="43">
        <f>(10-I16)/10</f>
        <v>1</v>
      </c>
    </row>
    <row r="17">
      <c r="A17" s="29" t="s">
        <v>34</v>
      </c>
      <c r="B17" s="44">
        <f>J17</f>
        <v>1</v>
      </c>
      <c r="I17" s="45" t="s">
        <v>25</v>
      </c>
      <c r="J17" s="36">
        <f>AVERAGE(J14:J16)</f>
        <v>1</v>
      </c>
    </row>
    <row r="19">
      <c r="A19" s="46" t="s">
        <v>35</v>
      </c>
      <c r="B19" s="14">
        <v>2012.0</v>
      </c>
      <c r="C19" s="14">
        <v>2013.0</v>
      </c>
      <c r="D19" s="14">
        <v>2014.0</v>
      </c>
      <c r="E19" s="14">
        <v>2015.0</v>
      </c>
      <c r="F19" s="14">
        <v>2016.0</v>
      </c>
      <c r="G19" s="14">
        <v>2017.0</v>
      </c>
      <c r="H19" s="14">
        <v>2018.0</v>
      </c>
      <c r="I19" s="14">
        <v>2019.0</v>
      </c>
      <c r="J19" s="14">
        <v>2020.0</v>
      </c>
      <c r="K19" s="14">
        <v>2021.0</v>
      </c>
      <c r="L19" s="15">
        <v>2022.0</v>
      </c>
    </row>
    <row r="20">
      <c r="A20" s="16" t="s">
        <v>36</v>
      </c>
      <c r="B20" s="47">
        <f t="array" ref="B20:L20">SF($A$1,"historicalFinancialsBalance","totalStockholdersEquity",B19&amp;"-"&amp;L19, "NLI&amp;NH")/B35:L35</f>
        <v>4.51615792</v>
      </c>
      <c r="C20" s="47">
        <v>4.768525301448115</v>
      </c>
      <c r="D20" s="47">
        <v>4.582436950873311</v>
      </c>
      <c r="E20" s="47">
        <v>5.186262225552415</v>
      </c>
      <c r="F20" s="47">
        <v>5.8605931103564</v>
      </c>
      <c r="G20" s="47">
        <v>6.423269229221109</v>
      </c>
      <c r="H20" s="47">
        <v>5.405592753084175</v>
      </c>
      <c r="I20" s="47">
        <v>4.898833522383005</v>
      </c>
      <c r="J20" s="47">
        <v>3.765476712094932</v>
      </c>
      <c r="K20" s="47">
        <v>3.7775565837141025</v>
      </c>
      <c r="L20" s="48">
        <v>3.124822127430853</v>
      </c>
    </row>
    <row r="21">
      <c r="A21" s="24" t="s">
        <v>37</v>
      </c>
      <c r="B21" s="49">
        <f t="shared" ref="B21:L21" si="8">SF($A$1,"growth","bookValueperShareGrowth",B19)</f>
        <v>0.5254801596</v>
      </c>
      <c r="C21" s="49">
        <f t="shared" si="8"/>
        <v>0.05588099135</v>
      </c>
      <c r="D21" s="49">
        <f t="shared" si="8"/>
        <v>-0.03902429762</v>
      </c>
      <c r="E21" s="49">
        <f t="shared" si="8"/>
        <v>0.131769467</v>
      </c>
      <c r="F21" s="49">
        <f t="shared" si="8"/>
        <v>0.1300225202</v>
      </c>
      <c r="G21" s="49">
        <f t="shared" si="8"/>
        <v>0.096010098</v>
      </c>
      <c r="H21" s="49">
        <f t="shared" si="8"/>
        <v>-0.1584359054</v>
      </c>
      <c r="I21" s="49">
        <f t="shared" si="8"/>
        <v>-0.09374720847</v>
      </c>
      <c r="J21" s="49">
        <f t="shared" si="8"/>
        <v>-0.2313523832</v>
      </c>
      <c r="K21" s="49">
        <f t="shared" si="8"/>
        <v>0.003208059043</v>
      </c>
      <c r="L21" s="50">
        <f t="shared" si="8"/>
        <v>-0.1727927674</v>
      </c>
    </row>
    <row r="22">
      <c r="A22" s="24" t="s">
        <v>19</v>
      </c>
      <c r="B22" s="47">
        <f>SF($A$1,"historicalFinancialsIncome","eps",B19&amp;"-"&amp;L19, "NLI&amp;NH")</f>
        <v>1.59</v>
      </c>
      <c r="C22" s="47">
        <v>1.43</v>
      </c>
      <c r="D22" s="47">
        <v>1.62</v>
      </c>
      <c r="E22" s="47">
        <v>2.32</v>
      </c>
      <c r="F22" s="47">
        <v>2.09</v>
      </c>
      <c r="G22" s="47">
        <v>2.32</v>
      </c>
      <c r="H22" s="47">
        <v>3.0</v>
      </c>
      <c r="I22" s="47">
        <v>2.99</v>
      </c>
      <c r="J22" s="47">
        <v>3.31</v>
      </c>
      <c r="K22" s="47">
        <v>5.67</v>
      </c>
      <c r="L22" s="48">
        <v>6.15</v>
      </c>
    </row>
    <row r="23">
      <c r="A23" s="24" t="s">
        <v>38</v>
      </c>
      <c r="B23" s="49">
        <f t="shared" ref="B23:L23" si="9">SF($A$1,"growth","epsgrowth",B19)</f>
        <v>0.59</v>
      </c>
      <c r="C23" s="49">
        <f t="shared" si="9"/>
        <v>-0.1006289308</v>
      </c>
      <c r="D23" s="49">
        <f t="shared" si="9"/>
        <v>0.1328671329</v>
      </c>
      <c r="E23" s="49">
        <f t="shared" si="9"/>
        <v>0.4320987654</v>
      </c>
      <c r="F23" s="49">
        <f t="shared" si="9"/>
        <v>-0.09913793103</v>
      </c>
      <c r="G23" s="49">
        <f t="shared" si="9"/>
        <v>0.1100478469</v>
      </c>
      <c r="H23" s="49">
        <f t="shared" si="9"/>
        <v>0.2931034483</v>
      </c>
      <c r="I23" s="49">
        <f t="shared" si="9"/>
        <v>-0.003333333333</v>
      </c>
      <c r="J23" s="49">
        <f t="shared" si="9"/>
        <v>0.1070234114</v>
      </c>
      <c r="K23" s="49">
        <f t="shared" si="9"/>
        <v>0.7129909366</v>
      </c>
      <c r="L23" s="50">
        <f t="shared" si="9"/>
        <v>0.08465608466</v>
      </c>
    </row>
    <row r="24">
      <c r="A24" s="24" t="s">
        <v>39</v>
      </c>
      <c r="B24" s="47">
        <f t="array" ref="B24:L24">SF($A$1,"historicalFinancialsIncome","revenue",B19&amp;"-"&amp;L19,"NLI&amp;NH")/B35:L35</f>
        <v>5.979315149</v>
      </c>
      <c r="C24" s="47">
        <v>6.59648122826164</v>
      </c>
      <c r="D24" s="47">
        <v>7.509359843248918</v>
      </c>
      <c r="E24" s="47">
        <v>10.15547967026922</v>
      </c>
      <c r="F24" s="47">
        <v>9.854052957326324</v>
      </c>
      <c r="G24" s="47">
        <v>10.984443504824963</v>
      </c>
      <c r="H24" s="47">
        <v>13.39933369348084</v>
      </c>
      <c r="I24" s="47">
        <v>14.085283273500087</v>
      </c>
      <c r="J24" s="47">
        <v>15.820258033039078</v>
      </c>
      <c r="K24" s="47">
        <v>21.90354123925411</v>
      </c>
      <c r="L24" s="48">
        <v>24.31727304755197</v>
      </c>
    </row>
    <row r="25">
      <c r="A25" s="24" t="s">
        <v>40</v>
      </c>
      <c r="B25" s="49">
        <f t="shared" ref="B25:L25" si="10">SF($A$1,"growth","revenueGrowth",B19)</f>
        <v>0.4458147419</v>
      </c>
      <c r="C25" s="49">
        <f t="shared" si="10"/>
        <v>0.09202085516</v>
      </c>
      <c r="D25" s="49">
        <f t="shared" si="10"/>
        <v>0.06953952373</v>
      </c>
      <c r="E25" s="49">
        <f t="shared" si="10"/>
        <v>0.278563418</v>
      </c>
      <c r="F25" s="49">
        <f t="shared" si="10"/>
        <v>-0.07734206191</v>
      </c>
      <c r="G25" s="49">
        <f t="shared" si="10"/>
        <v>0.06304518199</v>
      </c>
      <c r="H25" s="49">
        <f t="shared" si="10"/>
        <v>0.1586195765</v>
      </c>
      <c r="I25" s="49">
        <f t="shared" si="10"/>
        <v>-0.02041077581</v>
      </c>
      <c r="J25" s="49">
        <f t="shared" si="10"/>
        <v>0.05512080377</v>
      </c>
      <c r="K25" s="49">
        <f t="shared" si="10"/>
        <v>0.3325938473</v>
      </c>
      <c r="L25" s="50">
        <f t="shared" si="10"/>
        <v>0.07793787604</v>
      </c>
    </row>
    <row r="26">
      <c r="A26" s="24" t="s">
        <v>23</v>
      </c>
      <c r="B26" s="47">
        <f t="array" ref="B26:L26">SF($A$1,"historicalFinancialsCash","operatingCashFlow",B19&amp;"-"&amp;L19, "NLI&amp;NH")/B35:L35</f>
        <v>1.942929762</v>
      </c>
      <c r="C26" s="47">
        <v>2.071305140693284</v>
      </c>
      <c r="D26" s="47">
        <v>2.4530561794355568</v>
      </c>
      <c r="E26" s="47">
        <v>3.5312034353126602</v>
      </c>
      <c r="F26" s="47">
        <v>3.007958587560914</v>
      </c>
      <c r="G26" s="47">
        <v>3.047491375711535</v>
      </c>
      <c r="H26" s="47">
        <v>3.9065645257666572</v>
      </c>
      <c r="I26" s="47">
        <v>3.7566854936751732</v>
      </c>
      <c r="J26" s="47">
        <v>4.649230448454163</v>
      </c>
      <c r="K26" s="47">
        <v>6.229345884552985</v>
      </c>
      <c r="L26" s="48">
        <v>7.532762624088375</v>
      </c>
    </row>
    <row r="27">
      <c r="A27" s="24" t="s">
        <v>41</v>
      </c>
      <c r="B27" s="49">
        <f t="shared" ref="B27:L27" si="11">SF($A$1,"growth","operatingCashFlowGrowth",B19)</f>
        <v>0.3551120467</v>
      </c>
      <c r="C27" s="49">
        <f t="shared" si="11"/>
        <v>0.05525405065</v>
      </c>
      <c r="D27" s="49">
        <f t="shared" si="11"/>
        <v>0.1126784184</v>
      </c>
      <c r="E27" s="49">
        <f t="shared" si="11"/>
        <v>0.3609431782</v>
      </c>
      <c r="F27" s="49">
        <f t="shared" si="11"/>
        <v>-0.1900179657</v>
      </c>
      <c r="G27" s="49">
        <f t="shared" si="11"/>
        <v>-0.0338174526</v>
      </c>
      <c r="H27" s="49">
        <f t="shared" si="11"/>
        <v>0.2175540111</v>
      </c>
      <c r="I27" s="49">
        <f t="shared" si="11"/>
        <v>-0.1038691014</v>
      </c>
      <c r="J27" s="49">
        <f t="shared" si="11"/>
        <v>0.1626003372</v>
      </c>
      <c r="K27" s="49">
        <f t="shared" si="11"/>
        <v>0.2896100355</v>
      </c>
      <c r="L27" s="50">
        <f t="shared" si="11"/>
        <v>0.1740998481</v>
      </c>
    </row>
    <row r="28">
      <c r="A28" s="24" t="s">
        <v>30</v>
      </c>
      <c r="B28" s="49">
        <f t="shared" ref="B28:L28" si="12">SF($A$1,"ratios","returnOnEquity",B19)</f>
        <v>0.3530411979</v>
      </c>
      <c r="C28" s="49">
        <f t="shared" si="12"/>
        <v>0.2997757975</v>
      </c>
      <c r="D28" s="49">
        <f t="shared" si="12"/>
        <v>0.3542004716</v>
      </c>
      <c r="E28" s="49">
        <f t="shared" si="12"/>
        <v>0.4473545306</v>
      </c>
      <c r="F28" s="49">
        <f t="shared" si="12"/>
        <v>0.3562366958</v>
      </c>
      <c r="G28" s="49">
        <f t="shared" si="12"/>
        <v>0.3607018434</v>
      </c>
      <c r="H28" s="49">
        <f t="shared" si="12"/>
        <v>0.5556011834</v>
      </c>
      <c r="I28" s="49">
        <f t="shared" si="12"/>
        <v>0.6106445053</v>
      </c>
      <c r="J28" s="49">
        <f t="shared" si="12"/>
        <v>0.8786635853</v>
      </c>
      <c r="K28" s="49">
        <f t="shared" si="12"/>
        <v>1.500713267</v>
      </c>
      <c r="L28" s="50">
        <f t="shared" si="12"/>
        <v>1.969588728</v>
      </c>
    </row>
    <row r="29">
      <c r="A29" s="51" t="s">
        <v>31</v>
      </c>
      <c r="B29" s="49">
        <f t="shared" ref="B29:L29" si="13">SF($A$1,"ratios","roic",B19)</f>
        <v>0.349736363</v>
      </c>
      <c r="C29" s="49">
        <f t="shared" si="13"/>
        <v>0.2652944513</v>
      </c>
      <c r="D29" s="49">
        <f t="shared" si="13"/>
        <v>0.2641344804</v>
      </c>
      <c r="E29" s="49">
        <f t="shared" si="13"/>
        <v>0.2853263471</v>
      </c>
      <c r="F29" s="49">
        <f t="shared" si="13"/>
        <v>0.2163525382</v>
      </c>
      <c r="G29" s="49">
        <f t="shared" si="13"/>
        <v>0.1853226734</v>
      </c>
      <c r="H29" s="49">
        <f t="shared" si="13"/>
        <v>0.2612180694</v>
      </c>
      <c r="I29" s="49">
        <f t="shared" si="13"/>
        <v>0.27066817</v>
      </c>
      <c r="J29" s="49">
        <f t="shared" si="13"/>
        <v>0.3190766877</v>
      </c>
      <c r="K29" s="49">
        <f t="shared" si="13"/>
        <v>0.502938197</v>
      </c>
      <c r="L29" s="50">
        <f t="shared" si="13"/>
        <v>0.5861678044</v>
      </c>
    </row>
    <row r="30">
      <c r="A30" s="24" t="s">
        <v>42</v>
      </c>
      <c r="B30" s="47">
        <f t="array" ref="B30:L30">-SF($A$1,"historicalFinancialsCash","dividendsPaid",B19&amp;"-"&amp;L19,"NLI&amp;NH")/B35:L35</f>
        <v>0.09505287966</v>
      </c>
      <c r="C30" s="47">
        <v>0.4077305464592825</v>
      </c>
      <c r="D30" s="47">
        <v>0.45706467691122543</v>
      </c>
      <c r="E30" s="47">
        <v>0.5023532955436426</v>
      </c>
      <c r="F30" s="47">
        <v>0.5552184133274354</v>
      </c>
      <c r="G30" s="47">
        <v>0.6118654262156136</v>
      </c>
      <c r="H30" s="47">
        <v>0.6917738044956014</v>
      </c>
      <c r="I30" s="47">
        <v>0.7643735136429763</v>
      </c>
      <c r="J30" s="47">
        <v>0.8114859055542438</v>
      </c>
      <c r="K30" s="47">
        <v>0.8662214470849885</v>
      </c>
      <c r="L30" s="48">
        <v>0.9152092909930789</v>
      </c>
    </row>
    <row r="31">
      <c r="A31" s="24" t="s">
        <v>43</v>
      </c>
      <c r="B31" s="52">
        <f>SF($A$1,"historicalFinancialsBalance","longTermDebt",B19&amp;"-"&amp;L19,"NLI&amp;NH")</f>
        <v>0</v>
      </c>
      <c r="C31" s="52">
        <v>1.696E10</v>
      </c>
      <c r="D31" s="52">
        <v>2.8987E10</v>
      </c>
      <c r="E31" s="52">
        <v>5.3463E10</v>
      </c>
      <c r="F31" s="52">
        <v>7.5427E10</v>
      </c>
      <c r="G31" s="52">
        <v>9.7207E10</v>
      </c>
      <c r="H31" s="52">
        <v>9.3735E10</v>
      </c>
      <c r="I31" s="52">
        <v>9.1807E10</v>
      </c>
      <c r="J31" s="52">
        <v>9.8667E10</v>
      </c>
      <c r="K31" s="52">
        <v>1.09106E11</v>
      </c>
      <c r="L31" s="53">
        <v>9.8959E10</v>
      </c>
    </row>
    <row r="32">
      <c r="A32" s="24" t="s">
        <v>44</v>
      </c>
      <c r="B32" s="54">
        <f t="array" ref="B32:L32">B31:L31/SF($A$1,"historicalFinancialsBalance","totalStockholdersEquity",B19&amp;"-"&amp;L19,"NLI&amp;NH")</f>
        <v>0</v>
      </c>
      <c r="C32" s="54">
        <v>0.1372734704449247</v>
      </c>
      <c r="D32" s="54">
        <v>0.25986355527266536</v>
      </c>
      <c r="E32" s="54">
        <v>0.44793263792886767</v>
      </c>
      <c r="F32" s="54">
        <v>0.58812934213912</v>
      </c>
      <c r="G32" s="54">
        <v>0.7251710221041874</v>
      </c>
      <c r="H32" s="54">
        <v>0.8748261733879623</v>
      </c>
      <c r="I32" s="54">
        <v>1.0145765184333835</v>
      </c>
      <c r="J32" s="54">
        <v>1.5100782075024104</v>
      </c>
      <c r="K32" s="54">
        <v>1.729370740212395</v>
      </c>
      <c r="L32" s="55">
        <v>1.9529325860435744</v>
      </c>
    </row>
    <row r="33">
      <c r="A33" s="24" t="s">
        <v>45</v>
      </c>
      <c r="B33" s="49">
        <f t="shared" ref="B33:L33" si="14">SF($A$1,"ratios","grossProfitMargin",B19)</f>
        <v>0.4387123981</v>
      </c>
      <c r="C33" s="49">
        <f t="shared" si="14"/>
        <v>0.3762448072</v>
      </c>
      <c r="D33" s="49">
        <f t="shared" si="14"/>
        <v>0.3858803578</v>
      </c>
      <c r="E33" s="49">
        <f t="shared" si="14"/>
        <v>0.4005990202</v>
      </c>
      <c r="F33" s="49">
        <f t="shared" si="14"/>
        <v>0.3907595565</v>
      </c>
      <c r="G33" s="49">
        <f t="shared" si="14"/>
        <v>0.3846986049</v>
      </c>
      <c r="H33" s="49">
        <f t="shared" si="14"/>
        <v>0.3834371882</v>
      </c>
      <c r="I33" s="49">
        <f t="shared" si="14"/>
        <v>0.3781776811</v>
      </c>
      <c r="J33" s="49">
        <f t="shared" si="14"/>
        <v>0.3823324773</v>
      </c>
      <c r="K33" s="49">
        <f t="shared" si="14"/>
        <v>0.4177935963</v>
      </c>
      <c r="L33" s="50">
        <f t="shared" si="14"/>
        <v>0.4330963056</v>
      </c>
    </row>
    <row r="34">
      <c r="A34" s="24" t="s">
        <v>46</v>
      </c>
      <c r="B34" s="49">
        <f t="shared" ref="B34:L34" si="15">SF($A$1,"ratios","netProfitMargin",B19)</f>
        <v>0.266650906</v>
      </c>
      <c r="C34" s="49">
        <f t="shared" si="15"/>
        <v>0.2167046984</v>
      </c>
      <c r="D34" s="49">
        <f t="shared" si="15"/>
        <v>0.2161437676</v>
      </c>
      <c r="E34" s="49">
        <f t="shared" si="15"/>
        <v>0.228457737</v>
      </c>
      <c r="F34" s="49">
        <f t="shared" si="15"/>
        <v>0.2118679831</v>
      </c>
      <c r="G34" s="49">
        <f t="shared" si="15"/>
        <v>0.2109242085</v>
      </c>
      <c r="H34" s="49">
        <f t="shared" si="15"/>
        <v>0.2241420207</v>
      </c>
      <c r="I34" s="49">
        <f t="shared" si="15"/>
        <v>0.2123809451</v>
      </c>
      <c r="J34" s="49">
        <f t="shared" si="15"/>
        <v>0.2091361128</v>
      </c>
      <c r="K34" s="49">
        <f t="shared" si="15"/>
        <v>0.2588179336</v>
      </c>
      <c r="L34" s="50">
        <f t="shared" si="15"/>
        <v>0.2530964071</v>
      </c>
    </row>
    <row r="35">
      <c r="A35" s="38" t="s">
        <v>47</v>
      </c>
      <c r="B35" s="56">
        <f>SF($A$1,"historicalFinancialsIncome","weightedAverageShsOut",B19&amp;"-"&amp;L19, "NLI&amp;NH")</f>
        <v>26174904000</v>
      </c>
      <c r="C35" s="56">
        <v>2.5909268E10</v>
      </c>
      <c r="D35" s="56">
        <v>2.4342288E10</v>
      </c>
      <c r="E35" s="56">
        <v>2.3013684E10</v>
      </c>
      <c r="F35" s="56">
        <v>2.188328E10</v>
      </c>
      <c r="G35" s="56">
        <v>2.0868968E10</v>
      </c>
      <c r="H35" s="56">
        <v>1.9821508E10</v>
      </c>
      <c r="I35" s="56">
        <v>1.8471336E10</v>
      </c>
      <c r="J35" s="56">
        <v>1.7352119E10</v>
      </c>
      <c r="K35" s="56">
        <v>1.6701272E10</v>
      </c>
      <c r="L35" s="57">
        <v>1.6215963E10</v>
      </c>
    </row>
  </sheetData>
  <mergeCells count="2">
    <mergeCell ref="D16:F16"/>
    <mergeCell ref="G16:I16"/>
  </mergeCells>
  <conditionalFormatting sqref="E14:H15 E7:H10">
    <cfRule type="cellIs" dxfId="0" priority="1" operator="greaterThanOrEqual">
      <formula>0.1</formula>
    </cfRule>
  </conditionalFormatting>
  <conditionalFormatting sqref="E7:H10 E14:H15">
    <cfRule type="cellIs" dxfId="1" priority="2" operator="between">
      <formula>0.05</formula>
      <formula>0.1</formula>
    </cfRule>
  </conditionalFormatting>
  <conditionalFormatting sqref="E7:H10 E14:H15">
    <cfRule type="cellIs" dxfId="2" priority="3" operator="lessThan">
      <formula>0.05</formula>
    </cfRule>
  </conditionalFormatting>
  <conditionalFormatting sqref="J7:J11 J14:J17 B16:B17">
    <cfRule type="cellIs" dxfId="0" priority="4" operator="greaterThanOrEqual">
      <formula>0.8</formula>
    </cfRule>
  </conditionalFormatting>
  <conditionalFormatting sqref="J7:J11 J14:J17 B16:B17">
    <cfRule type="cellIs" dxfId="1" priority="5" operator="between">
      <formula>0.8</formula>
      <formula>0.5</formula>
    </cfRule>
  </conditionalFormatting>
  <conditionalFormatting sqref="J14:J17 J7:J11 B16:B17">
    <cfRule type="cellIs" dxfId="2" priority="6" operator="lessThan">
      <formula>0.5</formula>
    </cfRule>
  </conditionalFormatting>
  <conditionalFormatting sqref="G17">
    <cfRule type="notContainsBlanks" dxfId="0" priority="7">
      <formula>LEN(TRIM(G17))&gt;0</formula>
    </cfRule>
  </conditionalFormatting>
  <conditionalFormatting sqref="F4">
    <cfRule type="cellIs" dxfId="3" priority="8" operator="greaterThan">
      <formula>G4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4.5"/>
    <col customWidth="1" min="3" max="3" width="4.13"/>
    <col customWidth="1" min="4" max="4" width="17.75"/>
    <col customWidth="1" min="5" max="5" width="11.25"/>
    <col customWidth="1" min="6" max="6" width="7.75"/>
    <col customWidth="1" min="7" max="7" width="21.5"/>
    <col customWidth="1" min="8" max="8" width="12.25"/>
    <col customWidth="1" min="9" max="9" width="9.5"/>
    <col customWidth="1" min="10" max="10" width="12.75"/>
    <col customWidth="1" min="11" max="11" width="14.5"/>
    <col customWidth="1" min="12" max="15" width="15.63"/>
  </cols>
  <sheetData>
    <row r="1">
      <c r="A1" s="1" t="str">
        <f>'For Organisations - Growth Anal'!A1</f>
        <v>AAPL</v>
      </c>
      <c r="B1" s="2" t="str">
        <f>'For Organisations - Growth Anal'!B1</f>
        <v>Apple Inc.</v>
      </c>
      <c r="C1" s="2"/>
      <c r="D1" s="2"/>
      <c r="E1" s="2"/>
      <c r="F1" s="2"/>
      <c r="G1" s="2"/>
      <c r="H1" s="2" t="str">
        <f>'For Organisations - Growth Anal'!H1</f>
        <v>Consumer Electronics</v>
      </c>
      <c r="I1" s="2"/>
      <c r="J1" s="2"/>
      <c r="K1" s="3"/>
      <c r="L1" s="3"/>
      <c r="M1" s="3"/>
      <c r="N1" s="2" t="str">
        <f>'For Organisations - Growth Anal'!N1</f>
        <v>Technology</v>
      </c>
      <c r="O1" s="3"/>
      <c r="P1" s="3"/>
      <c r="Q1" s="3"/>
      <c r="R1" s="3"/>
      <c r="S1" s="3"/>
      <c r="T1" s="3"/>
      <c r="U1" s="3"/>
      <c r="V1" s="3"/>
      <c r="W1" s="3"/>
    </row>
    <row r="3">
      <c r="A3" s="58" t="s">
        <v>48</v>
      </c>
      <c r="B3" s="59">
        <f>'For Organisations - Growth Anal'!A4</f>
        <v>192.0499</v>
      </c>
      <c r="C3" s="60"/>
      <c r="D3" s="58" t="s">
        <v>49</v>
      </c>
      <c r="E3" s="61">
        <f>B16</f>
        <v>0.07898029715</v>
      </c>
      <c r="F3" s="60"/>
      <c r="G3" s="58" t="s">
        <v>50</v>
      </c>
      <c r="H3" s="62">
        <v>0.2</v>
      </c>
      <c r="I3" s="60"/>
      <c r="J3" s="58" t="s">
        <v>51</v>
      </c>
      <c r="L3" s="63" t="s">
        <v>11</v>
      </c>
    </row>
    <row r="4">
      <c r="A4" s="58" t="s">
        <v>52</v>
      </c>
      <c r="B4" s="64">
        <f>B38</f>
        <v>122.9263065</v>
      </c>
      <c r="C4" s="60"/>
      <c r="D4" s="58" t="s">
        <v>53</v>
      </c>
      <c r="E4" s="64">
        <f>B23</f>
        <v>31.28</v>
      </c>
      <c r="F4" s="60"/>
      <c r="G4" s="58" t="s">
        <v>54</v>
      </c>
      <c r="H4" s="65">
        <v>0.15</v>
      </c>
      <c r="I4" s="60"/>
      <c r="J4" s="58" t="s">
        <v>55</v>
      </c>
      <c r="L4" s="63" t="s">
        <v>11</v>
      </c>
    </row>
    <row r="5">
      <c r="A5" s="58" t="s">
        <v>56</v>
      </c>
      <c r="B5" s="64">
        <f>B46</f>
        <v>98.34104523</v>
      </c>
      <c r="C5" s="60"/>
      <c r="D5" s="60"/>
      <c r="E5" s="60"/>
      <c r="F5" s="60"/>
      <c r="G5" s="60"/>
      <c r="H5" s="60"/>
      <c r="I5" s="60"/>
      <c r="J5" s="58" t="s">
        <v>57</v>
      </c>
      <c r="L5" s="63" t="s">
        <v>58</v>
      </c>
      <c r="U5" s="66">
        <v>0.01</v>
      </c>
      <c r="V5" s="67">
        <f t="shared" ref="V5:V6" si="1">B16</f>
        <v>0.07898029715</v>
      </c>
    </row>
    <row r="6">
      <c r="A6" s="58" t="s">
        <v>59</v>
      </c>
      <c r="B6" s="68">
        <f>(B5-B3)/B3</f>
        <v>-0.4879401383</v>
      </c>
      <c r="C6" s="60"/>
      <c r="J6" s="58" t="s">
        <v>60</v>
      </c>
      <c r="L6" s="63" t="s">
        <v>58</v>
      </c>
      <c r="P6" s="69"/>
      <c r="U6" s="66">
        <v>0.02</v>
      </c>
      <c r="V6" s="67">
        <f t="shared" si="1"/>
        <v>0.1721929233</v>
      </c>
    </row>
    <row r="7">
      <c r="A7" s="60"/>
      <c r="B7" s="60"/>
      <c r="C7" s="60"/>
      <c r="D7" s="60"/>
      <c r="E7" s="60"/>
      <c r="F7" s="60"/>
      <c r="G7" s="60"/>
      <c r="H7" s="60"/>
      <c r="I7" s="60"/>
      <c r="U7" s="70"/>
      <c r="V7" s="70"/>
    </row>
    <row r="8">
      <c r="A8" s="51" t="s">
        <v>61</v>
      </c>
      <c r="B8" s="71" t="str">
        <f>LEFT(L4,FIND(" ",L4)-1)</f>
        <v>7</v>
      </c>
      <c r="U8" s="66">
        <v>0.03</v>
      </c>
      <c r="V8" s="67">
        <f>B18</f>
        <v>-0.06101251248</v>
      </c>
    </row>
    <row r="9">
      <c r="A9" s="51" t="s">
        <v>62</v>
      </c>
      <c r="B9" s="71">
        <f>'For Organisations - Growth Anal'!B8</f>
        <v>6.14</v>
      </c>
      <c r="U9" s="66">
        <v>0.04</v>
      </c>
      <c r="V9" s="72" t="s">
        <v>58</v>
      </c>
    </row>
    <row r="10">
      <c r="U10" s="66">
        <v>0.05</v>
      </c>
      <c r="V10" s="73">
        <f>B20</f>
        <v>31.28</v>
      </c>
    </row>
    <row r="11">
      <c r="A11" s="74" t="s">
        <v>63</v>
      </c>
      <c r="U11" s="66">
        <v>0.06</v>
      </c>
      <c r="V11" s="73">
        <f>B22</f>
        <v>15</v>
      </c>
    </row>
    <row r="12">
      <c r="A12" s="74" t="s">
        <v>17</v>
      </c>
      <c r="B12" s="75">
        <f>VLOOKUP(A12,'For Organisations - Growth Anal'!$D$7:$I$10,MATCH($L$3,'For Organisations - Growth Anal'!$D$6:$I$6,0),FALSE)</f>
        <v>-0.06101251248</v>
      </c>
      <c r="U12" s="66">
        <v>0.07</v>
      </c>
      <c r="V12" s="73">
        <f>B24</f>
        <v>15</v>
      </c>
    </row>
    <row r="13">
      <c r="A13" s="74" t="s">
        <v>19</v>
      </c>
      <c r="B13" s="75">
        <f>VLOOKUP(A13,'For Organisations - Growth Anal'!$D$7:$I$10,MATCH($L$3,'For Organisations - Growth Anal'!$D$6:$I$6,0),FALSE)</f>
        <v>0.1721929233</v>
      </c>
      <c r="U13" s="66">
        <v>0.08</v>
      </c>
      <c r="V13" s="72" t="s">
        <v>58</v>
      </c>
    </row>
    <row r="14">
      <c r="A14" s="74" t="s">
        <v>21</v>
      </c>
      <c r="B14" s="75">
        <f>VLOOKUP(A14,'For Organisations - Growth Anal'!$D$7:$I$10,MATCH($L$3,'For Organisations - Growth Anal'!$D$6:$I$6,0),FALSE)</f>
        <v>0.08422349256</v>
      </c>
      <c r="U14" s="66">
        <v>0.09</v>
      </c>
      <c r="V14" s="70"/>
    </row>
    <row r="15">
      <c r="A15" s="74" t="s">
        <v>23</v>
      </c>
      <c r="B15" s="75">
        <f>VLOOKUP(A15,'For Organisations - Growth Anal'!$D$7:$I$10,MATCH($L$3,'For Organisations - Growth Anal'!$D$6:$I$6,0),FALSE)</f>
        <v>0.07373710174</v>
      </c>
      <c r="U15" s="66">
        <v>0.1</v>
      </c>
      <c r="V15" s="70"/>
    </row>
    <row r="16">
      <c r="A16" s="74" t="s">
        <v>64</v>
      </c>
      <c r="B16" s="75">
        <f>IF(ISNUMBER($L$6),$L$6,(SUM(B12:B15)-MAX(B12:B15)-MIN(B12:B15))/2)</f>
        <v>0.07898029715</v>
      </c>
      <c r="U16" s="66">
        <v>0.11</v>
      </c>
      <c r="V16" s="70"/>
    </row>
    <row r="17">
      <c r="A17" s="74" t="s">
        <v>65</v>
      </c>
      <c r="B17" s="75">
        <f>MAX(B12:B15)</f>
        <v>0.1721929233</v>
      </c>
      <c r="U17" s="66">
        <v>0.12</v>
      </c>
      <c r="V17" s="70"/>
    </row>
    <row r="18">
      <c r="A18" s="74" t="s">
        <v>66</v>
      </c>
      <c r="B18" s="75">
        <f>MIN(B12:B15)</f>
        <v>-0.06101251248</v>
      </c>
      <c r="U18" s="66">
        <v>0.13</v>
      </c>
      <c r="V18" s="70"/>
    </row>
    <row r="19">
      <c r="U19" s="66">
        <v>0.14</v>
      </c>
      <c r="V19" s="70"/>
    </row>
    <row r="20">
      <c r="A20" s="74" t="s">
        <v>67</v>
      </c>
      <c r="B20" s="76">
        <f>'For Organisations - Growth Anal'!B9</f>
        <v>31.28</v>
      </c>
      <c r="U20" s="66">
        <v>0.15</v>
      </c>
      <c r="V20" s="70"/>
    </row>
    <row r="21">
      <c r="A21" s="74" t="s">
        <v>68</v>
      </c>
      <c r="B21" s="76">
        <f>2*B16*100</f>
        <v>15.79605943</v>
      </c>
      <c r="U21" s="66">
        <v>0.16</v>
      </c>
      <c r="V21" s="70"/>
    </row>
    <row r="22">
      <c r="A22" s="74" t="s">
        <v>69</v>
      </c>
      <c r="B22" s="76">
        <v>15.0</v>
      </c>
      <c r="U22" s="66">
        <v>0.17</v>
      </c>
      <c r="V22" s="70"/>
    </row>
    <row r="23">
      <c r="A23" s="74" t="s">
        <v>70</v>
      </c>
      <c r="B23" s="76">
        <f>IF(ISNUMBER($L$5),$L$5,MAX(B20:B22))</f>
        <v>31.28</v>
      </c>
      <c r="U23" s="66">
        <v>0.18</v>
      </c>
      <c r="V23" s="70"/>
    </row>
    <row r="24">
      <c r="A24" s="74" t="s">
        <v>66</v>
      </c>
      <c r="B24" s="76">
        <f>MIN(B20:B22)</f>
        <v>15</v>
      </c>
      <c r="U24" s="66">
        <v>0.19</v>
      </c>
      <c r="V24" s="70"/>
    </row>
    <row r="25">
      <c r="U25" s="66">
        <v>0.2</v>
      </c>
      <c r="V25" s="70"/>
    </row>
    <row r="26">
      <c r="A26" s="74" t="s">
        <v>71</v>
      </c>
      <c r="B26" s="76">
        <f>B9*((B16+1)^B8)</f>
        <v>10.45353003</v>
      </c>
      <c r="U26" s="66">
        <v>0.21</v>
      </c>
      <c r="V26" s="70"/>
    </row>
    <row r="27">
      <c r="A27" s="74" t="s">
        <v>70</v>
      </c>
      <c r="B27" s="76">
        <f>B9*((B17+1)^B8)</f>
        <v>18.67076176</v>
      </c>
      <c r="U27" s="66">
        <v>0.22</v>
      </c>
      <c r="V27" s="70"/>
    </row>
    <row r="28">
      <c r="A28" s="74" t="s">
        <v>66</v>
      </c>
      <c r="B28" s="76">
        <f>B9*((B18+1)^B8)</f>
        <v>3.951727661</v>
      </c>
      <c r="U28" s="66">
        <v>0.23</v>
      </c>
      <c r="V28" s="70"/>
    </row>
    <row r="29">
      <c r="U29" s="66">
        <v>0.24</v>
      </c>
      <c r="V29" s="70"/>
    </row>
    <row r="30">
      <c r="A30" s="74" t="s">
        <v>72</v>
      </c>
      <c r="B30" s="76">
        <f>B23*B26</f>
        <v>326.9864192</v>
      </c>
      <c r="U30" s="66">
        <v>0.25</v>
      </c>
      <c r="V30" s="70"/>
    </row>
    <row r="31">
      <c r="A31" s="74" t="s">
        <v>73</v>
      </c>
      <c r="B31" s="76">
        <f>B23*B27</f>
        <v>584.0214278</v>
      </c>
      <c r="U31" s="66">
        <v>0.26</v>
      </c>
      <c r="V31" s="70"/>
    </row>
    <row r="32">
      <c r="A32" s="74" t="s">
        <v>74</v>
      </c>
      <c r="B32" s="76">
        <f>B27*B24</f>
        <v>280.0614264</v>
      </c>
      <c r="U32" s="66">
        <v>0.27</v>
      </c>
      <c r="V32" s="70"/>
    </row>
    <row r="33">
      <c r="A33" s="74" t="s">
        <v>75</v>
      </c>
      <c r="B33" s="76">
        <f>B28*B23</f>
        <v>123.6100412</v>
      </c>
      <c r="U33" s="66">
        <v>0.28</v>
      </c>
      <c r="V33" s="70"/>
    </row>
    <row r="34">
      <c r="A34" s="74" t="s">
        <v>76</v>
      </c>
      <c r="B34" s="76">
        <f>B24*B28</f>
        <v>59.27591492</v>
      </c>
      <c r="D34" s="74" t="str">
        <f>SF_TIMESERIES(A1,edate(today(),-12),today(),"","","-")</f>
        <v>#ERROR!</v>
      </c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X34" s="66">
        <v>0.29</v>
      </c>
      <c r="Y34" s="70"/>
    </row>
    <row r="35"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 t="s">
        <v>56</v>
      </c>
      <c r="P35" s="74" t="s">
        <v>52</v>
      </c>
      <c r="X35" s="66">
        <v>0.3</v>
      </c>
      <c r="Y35" s="70"/>
    </row>
    <row r="36">
      <c r="A36" s="74" t="s">
        <v>54</v>
      </c>
      <c r="B36" s="77">
        <f>H4</f>
        <v>0.15</v>
      </c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>
        <f t="shared" ref="O36:O287" si="2">$B$46</f>
        <v>98.34104523</v>
      </c>
      <c r="P36" s="78">
        <f t="shared" ref="P36:P287" si="3">$B$38</f>
        <v>122.9263065</v>
      </c>
      <c r="X36" s="66">
        <v>0.31</v>
      </c>
      <c r="Y36" s="70"/>
    </row>
    <row r="37"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>
        <f t="shared" si="2"/>
        <v>98.34104523</v>
      </c>
      <c r="P37" s="78">
        <f t="shared" si="3"/>
        <v>122.9263065</v>
      </c>
      <c r="X37" s="66">
        <v>0.32</v>
      </c>
      <c r="Y37" s="70"/>
    </row>
    <row r="38">
      <c r="A38" s="74" t="s">
        <v>77</v>
      </c>
      <c r="B38" s="76">
        <f t="shared" ref="B38:B42" si="4">B30/(($B$36+1)^$B$8)</f>
        <v>122.9263065</v>
      </c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>
        <f t="shared" si="2"/>
        <v>98.34104523</v>
      </c>
      <c r="P38" s="78">
        <f t="shared" si="3"/>
        <v>122.9263065</v>
      </c>
      <c r="X38" s="66">
        <v>0.33</v>
      </c>
      <c r="Y38" s="70"/>
    </row>
    <row r="39">
      <c r="A39" s="74" t="s">
        <v>73</v>
      </c>
      <c r="B39" s="76">
        <f t="shared" si="4"/>
        <v>219.5552868</v>
      </c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>
        <f t="shared" si="2"/>
        <v>98.34104523</v>
      </c>
      <c r="P39" s="78">
        <f t="shared" si="3"/>
        <v>122.9263065</v>
      </c>
      <c r="X39" s="66">
        <v>0.34</v>
      </c>
      <c r="Y39" s="70"/>
    </row>
    <row r="40">
      <c r="A40" s="74" t="s">
        <v>74</v>
      </c>
      <c r="B40" s="76">
        <f t="shared" si="4"/>
        <v>105.2854636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>
        <f t="shared" si="2"/>
        <v>98.34104523</v>
      </c>
      <c r="P40" s="78">
        <f t="shared" si="3"/>
        <v>122.9263065</v>
      </c>
      <c r="X40" s="66">
        <v>0.35</v>
      </c>
      <c r="Y40" s="70"/>
    </row>
    <row r="41">
      <c r="A41" s="74" t="s">
        <v>75</v>
      </c>
      <c r="B41" s="76">
        <f t="shared" si="4"/>
        <v>46.46959301</v>
      </c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>
        <f t="shared" si="2"/>
        <v>98.34104523</v>
      </c>
      <c r="P41" s="78">
        <f t="shared" si="3"/>
        <v>122.9263065</v>
      </c>
      <c r="X41" s="66">
        <v>0.36</v>
      </c>
      <c r="Y41" s="70"/>
    </row>
    <row r="42">
      <c r="A42" s="74" t="s">
        <v>76</v>
      </c>
      <c r="B42" s="76">
        <f t="shared" si="4"/>
        <v>22.28401199</v>
      </c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>
        <f t="shared" si="2"/>
        <v>98.34104523</v>
      </c>
      <c r="P42" s="78">
        <f t="shared" si="3"/>
        <v>122.9263065</v>
      </c>
      <c r="X42" s="66">
        <v>0.37</v>
      </c>
      <c r="Y42" s="70"/>
    </row>
    <row r="43"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>
        <f t="shared" si="2"/>
        <v>98.34104523</v>
      </c>
      <c r="P43" s="78">
        <f t="shared" si="3"/>
        <v>122.9263065</v>
      </c>
      <c r="X43" s="66">
        <v>0.38</v>
      </c>
      <c r="Y43" s="70"/>
    </row>
    <row r="44">
      <c r="A44" s="74" t="s">
        <v>50</v>
      </c>
      <c r="B44" s="77">
        <f>H3</f>
        <v>0.2</v>
      </c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>
        <f t="shared" si="2"/>
        <v>98.34104523</v>
      </c>
      <c r="P44" s="78">
        <f t="shared" si="3"/>
        <v>122.9263065</v>
      </c>
      <c r="X44" s="66">
        <v>0.39</v>
      </c>
      <c r="Y44" s="70"/>
    </row>
    <row r="45"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>
        <f t="shared" si="2"/>
        <v>98.34104523</v>
      </c>
      <c r="P45" s="78">
        <f t="shared" si="3"/>
        <v>122.9263065</v>
      </c>
      <c r="X45" s="66">
        <v>0.4</v>
      </c>
      <c r="Y45" s="70"/>
    </row>
    <row r="46">
      <c r="A46" s="74" t="s">
        <v>56</v>
      </c>
      <c r="B46" s="76">
        <f t="shared" ref="B46:B50" si="5">B38*(100%-$B$44)</f>
        <v>98.34104523</v>
      </c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>
        <f t="shared" si="2"/>
        <v>98.34104523</v>
      </c>
      <c r="P46" s="78">
        <f t="shared" si="3"/>
        <v>122.9263065</v>
      </c>
      <c r="X46" s="66">
        <v>0.41</v>
      </c>
      <c r="Y46" s="70"/>
    </row>
    <row r="47">
      <c r="A47" s="74" t="s">
        <v>73</v>
      </c>
      <c r="B47" s="76">
        <f t="shared" si="5"/>
        <v>175.6442295</v>
      </c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>
        <f t="shared" si="2"/>
        <v>98.34104523</v>
      </c>
      <c r="P47" s="78">
        <f t="shared" si="3"/>
        <v>122.9263065</v>
      </c>
      <c r="X47" s="66">
        <v>0.42</v>
      </c>
      <c r="Y47" s="70"/>
    </row>
    <row r="48">
      <c r="A48" s="74" t="s">
        <v>74</v>
      </c>
      <c r="B48" s="76">
        <f t="shared" si="5"/>
        <v>84.2283709</v>
      </c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>
        <f t="shared" si="2"/>
        <v>98.34104523</v>
      </c>
      <c r="P48" s="78">
        <f t="shared" si="3"/>
        <v>122.9263065</v>
      </c>
      <c r="X48" s="66">
        <v>0.43</v>
      </c>
      <c r="Y48" s="70"/>
    </row>
    <row r="49">
      <c r="A49" s="74" t="s">
        <v>75</v>
      </c>
      <c r="B49" s="76">
        <f t="shared" si="5"/>
        <v>37.17567441</v>
      </c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>
        <f t="shared" si="2"/>
        <v>98.34104523</v>
      </c>
      <c r="P49" s="78">
        <f t="shared" si="3"/>
        <v>122.9263065</v>
      </c>
      <c r="X49" s="66">
        <v>0.44</v>
      </c>
      <c r="Y49" s="70"/>
    </row>
    <row r="50">
      <c r="A50" s="74" t="s">
        <v>76</v>
      </c>
      <c r="B50" s="76">
        <f t="shared" si="5"/>
        <v>17.82720959</v>
      </c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>
        <f t="shared" si="2"/>
        <v>98.34104523</v>
      </c>
      <c r="P50" s="78">
        <f t="shared" si="3"/>
        <v>122.9263065</v>
      </c>
      <c r="X50" s="66">
        <v>0.45</v>
      </c>
      <c r="Y50" s="70"/>
    </row>
    <row r="51"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>
        <f t="shared" si="2"/>
        <v>98.34104523</v>
      </c>
      <c r="P51" s="78">
        <f t="shared" si="3"/>
        <v>122.9263065</v>
      </c>
      <c r="X51" s="66">
        <v>0.46</v>
      </c>
      <c r="Y51" s="70"/>
    </row>
    <row r="52"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>
        <f t="shared" si="2"/>
        <v>98.34104523</v>
      </c>
      <c r="P52" s="78">
        <f t="shared" si="3"/>
        <v>122.9263065</v>
      </c>
      <c r="X52" s="66">
        <v>0.47</v>
      </c>
      <c r="Y52" s="70"/>
    </row>
    <row r="53"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>
        <f t="shared" si="2"/>
        <v>98.34104523</v>
      </c>
      <c r="P53" s="78">
        <f t="shared" si="3"/>
        <v>122.9263065</v>
      </c>
      <c r="X53" s="66">
        <v>0.48</v>
      </c>
      <c r="Y53" s="70"/>
    </row>
    <row r="54"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>
        <f t="shared" si="2"/>
        <v>98.34104523</v>
      </c>
      <c r="P54" s="78">
        <f t="shared" si="3"/>
        <v>122.9263065</v>
      </c>
      <c r="X54" s="66">
        <v>0.49</v>
      </c>
      <c r="Y54" s="70"/>
    </row>
    <row r="55"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>
        <f t="shared" si="2"/>
        <v>98.34104523</v>
      </c>
      <c r="P55" s="78">
        <f t="shared" si="3"/>
        <v>122.9263065</v>
      </c>
      <c r="X55" s="66">
        <v>0.5</v>
      </c>
      <c r="Y55" s="70"/>
    </row>
    <row r="56"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>
        <f t="shared" si="2"/>
        <v>98.34104523</v>
      </c>
      <c r="P56" s="78">
        <f t="shared" si="3"/>
        <v>122.9263065</v>
      </c>
      <c r="X56" s="66">
        <v>0.51</v>
      </c>
      <c r="Y56" s="70"/>
    </row>
    <row r="57"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>
        <f t="shared" si="2"/>
        <v>98.34104523</v>
      </c>
      <c r="P57" s="78">
        <f t="shared" si="3"/>
        <v>122.9263065</v>
      </c>
      <c r="X57" s="66">
        <v>0.52</v>
      </c>
      <c r="Y57" s="70"/>
    </row>
    <row r="58"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>
        <f t="shared" si="2"/>
        <v>98.34104523</v>
      </c>
      <c r="P58" s="78">
        <f t="shared" si="3"/>
        <v>122.9263065</v>
      </c>
      <c r="X58" s="66">
        <v>0.53</v>
      </c>
      <c r="Y58" s="70"/>
    </row>
    <row r="59"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>
        <f t="shared" si="2"/>
        <v>98.34104523</v>
      </c>
      <c r="P59" s="78">
        <f t="shared" si="3"/>
        <v>122.9263065</v>
      </c>
      <c r="X59" s="66">
        <v>0.54</v>
      </c>
      <c r="Y59" s="70"/>
    </row>
    <row r="60"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>
        <f t="shared" si="2"/>
        <v>98.34104523</v>
      </c>
      <c r="P60" s="78">
        <f t="shared" si="3"/>
        <v>122.9263065</v>
      </c>
      <c r="X60" s="66">
        <v>0.55</v>
      </c>
      <c r="Y60" s="70"/>
    </row>
    <row r="61"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>
        <f t="shared" si="2"/>
        <v>98.34104523</v>
      </c>
      <c r="P61" s="78">
        <f t="shared" si="3"/>
        <v>122.9263065</v>
      </c>
      <c r="X61" s="66">
        <v>0.56</v>
      </c>
      <c r="Y61" s="70"/>
    </row>
    <row r="62"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>
        <f t="shared" si="2"/>
        <v>98.34104523</v>
      </c>
      <c r="P62" s="78">
        <f t="shared" si="3"/>
        <v>122.9263065</v>
      </c>
      <c r="X62" s="66">
        <v>0.57</v>
      </c>
      <c r="Y62" s="70"/>
    </row>
    <row r="63"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>
        <f t="shared" si="2"/>
        <v>98.34104523</v>
      </c>
      <c r="P63" s="78">
        <f t="shared" si="3"/>
        <v>122.9263065</v>
      </c>
      <c r="X63" s="66">
        <v>0.58</v>
      </c>
      <c r="Y63" s="70"/>
    </row>
    <row r="64"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>
        <f t="shared" si="2"/>
        <v>98.34104523</v>
      </c>
      <c r="P64" s="78">
        <f t="shared" si="3"/>
        <v>122.9263065</v>
      </c>
      <c r="X64" s="66">
        <v>0.59</v>
      </c>
      <c r="Y64" s="70"/>
    </row>
    <row r="65"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>
        <f t="shared" si="2"/>
        <v>98.34104523</v>
      </c>
      <c r="P65" s="78">
        <f t="shared" si="3"/>
        <v>122.9263065</v>
      </c>
      <c r="X65" s="66">
        <v>0.6</v>
      </c>
      <c r="Y65" s="70"/>
    </row>
    <row r="66"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>
        <f t="shared" si="2"/>
        <v>98.34104523</v>
      </c>
      <c r="P66" s="78">
        <f t="shared" si="3"/>
        <v>122.9263065</v>
      </c>
      <c r="X66" s="66">
        <v>0.61</v>
      </c>
      <c r="Y66" s="70"/>
    </row>
    <row r="67"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>
        <f t="shared" si="2"/>
        <v>98.34104523</v>
      </c>
      <c r="P67" s="78">
        <f t="shared" si="3"/>
        <v>122.9263065</v>
      </c>
      <c r="X67" s="66">
        <v>0.62</v>
      </c>
      <c r="Y67" s="70"/>
    </row>
    <row r="68"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>
        <f t="shared" si="2"/>
        <v>98.34104523</v>
      </c>
      <c r="P68" s="78">
        <f t="shared" si="3"/>
        <v>122.9263065</v>
      </c>
      <c r="X68" s="66">
        <v>0.63</v>
      </c>
      <c r="Y68" s="70"/>
    </row>
    <row r="69"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>
        <f t="shared" si="2"/>
        <v>98.34104523</v>
      </c>
      <c r="P69" s="78">
        <f t="shared" si="3"/>
        <v>122.9263065</v>
      </c>
      <c r="X69" s="66">
        <v>0.64</v>
      </c>
      <c r="Y69" s="70"/>
    </row>
    <row r="70"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>
        <f t="shared" si="2"/>
        <v>98.34104523</v>
      </c>
      <c r="P70" s="78">
        <f t="shared" si="3"/>
        <v>122.9263065</v>
      </c>
      <c r="X70" s="66">
        <v>0.65</v>
      </c>
      <c r="Y70" s="70"/>
    </row>
    <row r="71"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>
        <f t="shared" si="2"/>
        <v>98.34104523</v>
      </c>
      <c r="P71" s="78">
        <f t="shared" si="3"/>
        <v>122.9263065</v>
      </c>
      <c r="X71" s="66">
        <v>0.66</v>
      </c>
      <c r="Y71" s="70"/>
    </row>
    <row r="72"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>
        <f t="shared" si="2"/>
        <v>98.34104523</v>
      </c>
      <c r="P72" s="78">
        <f t="shared" si="3"/>
        <v>122.9263065</v>
      </c>
      <c r="X72" s="66">
        <v>0.67</v>
      </c>
      <c r="Y72" s="70"/>
    </row>
    <row r="73"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>
        <f t="shared" si="2"/>
        <v>98.34104523</v>
      </c>
      <c r="P73" s="78">
        <f t="shared" si="3"/>
        <v>122.9263065</v>
      </c>
      <c r="X73" s="66">
        <v>0.68</v>
      </c>
      <c r="Y73" s="70"/>
    </row>
    <row r="74"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>
        <f t="shared" si="2"/>
        <v>98.34104523</v>
      </c>
      <c r="P74" s="78">
        <f t="shared" si="3"/>
        <v>122.9263065</v>
      </c>
      <c r="X74" s="66">
        <v>0.69</v>
      </c>
      <c r="Y74" s="70"/>
    </row>
    <row r="75"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>
        <f t="shared" si="2"/>
        <v>98.34104523</v>
      </c>
      <c r="P75" s="78">
        <f t="shared" si="3"/>
        <v>122.9263065</v>
      </c>
      <c r="X75" s="66">
        <v>0.7</v>
      </c>
      <c r="Y75" s="70"/>
    </row>
    <row r="76"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>
        <f t="shared" si="2"/>
        <v>98.34104523</v>
      </c>
      <c r="P76" s="78">
        <f t="shared" si="3"/>
        <v>122.9263065</v>
      </c>
      <c r="X76" s="66">
        <v>0.71</v>
      </c>
      <c r="Y76" s="70"/>
    </row>
    <row r="77"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>
        <f t="shared" si="2"/>
        <v>98.34104523</v>
      </c>
      <c r="P77" s="78">
        <f t="shared" si="3"/>
        <v>122.9263065</v>
      </c>
      <c r="X77" s="66">
        <v>0.72</v>
      </c>
      <c r="Y77" s="70"/>
    </row>
    <row r="78"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>
        <f t="shared" si="2"/>
        <v>98.34104523</v>
      </c>
      <c r="P78" s="78">
        <f t="shared" si="3"/>
        <v>122.9263065</v>
      </c>
      <c r="X78" s="66">
        <v>0.73</v>
      </c>
      <c r="Y78" s="70"/>
    </row>
    <row r="79"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>
        <f t="shared" si="2"/>
        <v>98.34104523</v>
      </c>
      <c r="P79" s="78">
        <f t="shared" si="3"/>
        <v>122.9263065</v>
      </c>
      <c r="X79" s="66">
        <v>0.74</v>
      </c>
      <c r="Y79" s="70"/>
    </row>
    <row r="80"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>
        <f t="shared" si="2"/>
        <v>98.34104523</v>
      </c>
      <c r="P80" s="78">
        <f t="shared" si="3"/>
        <v>122.9263065</v>
      </c>
      <c r="X80" s="66">
        <v>0.75</v>
      </c>
      <c r="Y80" s="70"/>
    </row>
    <row r="81"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>
        <f t="shared" si="2"/>
        <v>98.34104523</v>
      </c>
      <c r="P81" s="78">
        <f t="shared" si="3"/>
        <v>122.9263065</v>
      </c>
      <c r="X81" s="66">
        <v>0.76</v>
      </c>
      <c r="Y81" s="70"/>
    </row>
    <row r="82"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>
        <f t="shared" si="2"/>
        <v>98.34104523</v>
      </c>
      <c r="P82" s="78">
        <f t="shared" si="3"/>
        <v>122.9263065</v>
      </c>
      <c r="X82" s="66">
        <v>0.77</v>
      </c>
      <c r="Y82" s="70"/>
    </row>
    <row r="83"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>
        <f t="shared" si="2"/>
        <v>98.34104523</v>
      </c>
      <c r="P83" s="78">
        <f t="shared" si="3"/>
        <v>122.9263065</v>
      </c>
      <c r="X83" s="66">
        <v>0.78</v>
      </c>
      <c r="Y83" s="70"/>
    </row>
    <row r="84"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>
        <f t="shared" si="2"/>
        <v>98.34104523</v>
      </c>
      <c r="P84" s="78">
        <f t="shared" si="3"/>
        <v>122.9263065</v>
      </c>
      <c r="X84" s="66">
        <v>0.79</v>
      </c>
      <c r="Y84" s="70"/>
    </row>
    <row r="85"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>
        <f t="shared" si="2"/>
        <v>98.34104523</v>
      </c>
      <c r="P85" s="78">
        <f t="shared" si="3"/>
        <v>122.9263065</v>
      </c>
      <c r="X85" s="66">
        <v>0.8</v>
      </c>
      <c r="Y85" s="70"/>
    </row>
    <row r="86"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>
        <f t="shared" si="2"/>
        <v>98.34104523</v>
      </c>
      <c r="P86" s="78">
        <f t="shared" si="3"/>
        <v>122.9263065</v>
      </c>
      <c r="X86" s="66">
        <v>0.81</v>
      </c>
      <c r="Y86" s="70"/>
    </row>
    <row r="87"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>
        <f t="shared" si="2"/>
        <v>98.34104523</v>
      </c>
      <c r="P87" s="78">
        <f t="shared" si="3"/>
        <v>122.9263065</v>
      </c>
      <c r="X87" s="66">
        <v>0.82</v>
      </c>
      <c r="Y87" s="70"/>
    </row>
    <row r="88"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>
        <f t="shared" si="2"/>
        <v>98.34104523</v>
      </c>
      <c r="P88" s="78">
        <f t="shared" si="3"/>
        <v>122.9263065</v>
      </c>
      <c r="X88" s="66">
        <v>0.83</v>
      </c>
      <c r="Y88" s="70"/>
    </row>
    <row r="89"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>
        <f t="shared" si="2"/>
        <v>98.34104523</v>
      </c>
      <c r="P89" s="78">
        <f t="shared" si="3"/>
        <v>122.9263065</v>
      </c>
      <c r="X89" s="66">
        <v>0.84</v>
      </c>
      <c r="Y89" s="70"/>
    </row>
    <row r="90"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>
        <f t="shared" si="2"/>
        <v>98.34104523</v>
      </c>
      <c r="P90" s="78">
        <f t="shared" si="3"/>
        <v>122.9263065</v>
      </c>
      <c r="X90" s="66">
        <v>0.85</v>
      </c>
      <c r="Y90" s="70"/>
    </row>
    <row r="91"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>
        <f t="shared" si="2"/>
        <v>98.34104523</v>
      </c>
      <c r="P91" s="78">
        <f t="shared" si="3"/>
        <v>122.9263065</v>
      </c>
      <c r="X91" s="66">
        <v>0.86</v>
      </c>
      <c r="Y91" s="70"/>
    </row>
    <row r="92"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>
        <f t="shared" si="2"/>
        <v>98.34104523</v>
      </c>
      <c r="P92" s="78">
        <f t="shared" si="3"/>
        <v>122.9263065</v>
      </c>
      <c r="X92" s="66">
        <v>0.87</v>
      </c>
      <c r="Y92" s="70"/>
    </row>
    <row r="93"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>
        <f t="shared" si="2"/>
        <v>98.34104523</v>
      </c>
      <c r="P93" s="78">
        <f t="shared" si="3"/>
        <v>122.9263065</v>
      </c>
      <c r="X93" s="66">
        <v>0.88</v>
      </c>
      <c r="Y93" s="70"/>
    </row>
    <row r="94"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>
        <f t="shared" si="2"/>
        <v>98.34104523</v>
      </c>
      <c r="P94" s="78">
        <f t="shared" si="3"/>
        <v>122.9263065</v>
      </c>
      <c r="X94" s="66">
        <v>0.89</v>
      </c>
      <c r="Y94" s="70"/>
    </row>
    <row r="95"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>
        <f t="shared" si="2"/>
        <v>98.34104523</v>
      </c>
      <c r="P95" s="78">
        <f t="shared" si="3"/>
        <v>122.9263065</v>
      </c>
      <c r="X95" s="66">
        <v>0.9</v>
      </c>
      <c r="Y95" s="70"/>
    </row>
    <row r="96"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>
        <f t="shared" si="2"/>
        <v>98.34104523</v>
      </c>
      <c r="P96" s="78">
        <f t="shared" si="3"/>
        <v>122.9263065</v>
      </c>
      <c r="X96" s="66">
        <v>0.91</v>
      </c>
      <c r="Y96" s="70"/>
    </row>
    <row r="97"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>
        <f t="shared" si="2"/>
        <v>98.34104523</v>
      </c>
      <c r="P97" s="78">
        <f t="shared" si="3"/>
        <v>122.9263065</v>
      </c>
      <c r="X97" s="66">
        <v>0.92</v>
      </c>
      <c r="Y97" s="70"/>
    </row>
    <row r="98"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>
        <f t="shared" si="2"/>
        <v>98.34104523</v>
      </c>
      <c r="P98" s="78">
        <f t="shared" si="3"/>
        <v>122.9263065</v>
      </c>
      <c r="X98" s="66">
        <v>0.93</v>
      </c>
      <c r="Y98" s="70"/>
    </row>
    <row r="99"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>
        <f t="shared" si="2"/>
        <v>98.34104523</v>
      </c>
      <c r="P99" s="78">
        <f t="shared" si="3"/>
        <v>122.9263065</v>
      </c>
      <c r="X99" s="66">
        <v>0.94</v>
      </c>
      <c r="Y99" s="70"/>
    </row>
    <row r="100"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>
        <f t="shared" si="2"/>
        <v>98.34104523</v>
      </c>
      <c r="P100" s="78">
        <f t="shared" si="3"/>
        <v>122.9263065</v>
      </c>
      <c r="X100" s="66">
        <v>0.95</v>
      </c>
      <c r="Y100" s="70"/>
    </row>
    <row r="101"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>
        <f t="shared" si="2"/>
        <v>98.34104523</v>
      </c>
      <c r="P101" s="78">
        <f t="shared" si="3"/>
        <v>122.9263065</v>
      </c>
      <c r="X101" s="66">
        <v>0.96</v>
      </c>
      <c r="Y101" s="70"/>
    </row>
    <row r="102"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>
        <f t="shared" si="2"/>
        <v>98.34104523</v>
      </c>
      <c r="P102" s="78">
        <f t="shared" si="3"/>
        <v>122.9263065</v>
      </c>
      <c r="X102" s="66">
        <v>0.97</v>
      </c>
      <c r="Y102" s="70"/>
    </row>
    <row r="103"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>
        <f t="shared" si="2"/>
        <v>98.34104523</v>
      </c>
      <c r="P103" s="78">
        <f t="shared" si="3"/>
        <v>122.9263065</v>
      </c>
      <c r="X103" s="66">
        <v>0.98</v>
      </c>
      <c r="Y103" s="70"/>
    </row>
    <row r="104"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>
        <f t="shared" si="2"/>
        <v>98.34104523</v>
      </c>
      <c r="P104" s="78">
        <f t="shared" si="3"/>
        <v>122.9263065</v>
      </c>
      <c r="X104" s="66">
        <v>0.99</v>
      </c>
      <c r="Y104" s="70"/>
    </row>
    <row r="105"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>
        <f t="shared" si="2"/>
        <v>98.34104523</v>
      </c>
      <c r="P105" s="78">
        <f t="shared" si="3"/>
        <v>122.9263065</v>
      </c>
      <c r="X105" s="66">
        <v>1.0</v>
      </c>
      <c r="Y105" s="70"/>
    </row>
    <row r="106"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>
        <f t="shared" si="2"/>
        <v>98.34104523</v>
      </c>
      <c r="P106" s="78">
        <f t="shared" si="3"/>
        <v>122.9263065</v>
      </c>
    </row>
    <row r="107"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>
        <f t="shared" si="2"/>
        <v>98.34104523</v>
      </c>
      <c r="P107" s="78">
        <f t="shared" si="3"/>
        <v>122.9263065</v>
      </c>
    </row>
    <row r="108"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>
        <f t="shared" si="2"/>
        <v>98.34104523</v>
      </c>
      <c r="P108" s="78">
        <f t="shared" si="3"/>
        <v>122.9263065</v>
      </c>
    </row>
    <row r="109"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>
        <f t="shared" si="2"/>
        <v>98.34104523</v>
      </c>
      <c r="P109" s="78">
        <f t="shared" si="3"/>
        <v>122.9263065</v>
      </c>
    </row>
    <row r="110"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>
        <f t="shared" si="2"/>
        <v>98.34104523</v>
      </c>
      <c r="P110" s="78">
        <f t="shared" si="3"/>
        <v>122.9263065</v>
      </c>
    </row>
    <row r="111"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>
        <f t="shared" si="2"/>
        <v>98.34104523</v>
      </c>
      <c r="P111" s="78">
        <f t="shared" si="3"/>
        <v>122.9263065</v>
      </c>
    </row>
    <row r="112"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>
        <f t="shared" si="2"/>
        <v>98.34104523</v>
      </c>
      <c r="P112" s="78">
        <f t="shared" si="3"/>
        <v>122.9263065</v>
      </c>
    </row>
    <row r="113"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>
        <f t="shared" si="2"/>
        <v>98.34104523</v>
      </c>
      <c r="P113" s="78">
        <f t="shared" si="3"/>
        <v>122.9263065</v>
      </c>
    </row>
    <row r="114"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>
        <f t="shared" si="2"/>
        <v>98.34104523</v>
      </c>
      <c r="P114" s="78">
        <f t="shared" si="3"/>
        <v>122.9263065</v>
      </c>
    </row>
    <row r="115"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>
        <f t="shared" si="2"/>
        <v>98.34104523</v>
      </c>
      <c r="P115" s="78">
        <f t="shared" si="3"/>
        <v>122.9263065</v>
      </c>
    </row>
    <row r="116"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>
        <f t="shared" si="2"/>
        <v>98.34104523</v>
      </c>
      <c r="P116" s="78">
        <f t="shared" si="3"/>
        <v>122.9263065</v>
      </c>
    </row>
    <row r="117"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>
        <f t="shared" si="2"/>
        <v>98.34104523</v>
      </c>
      <c r="P117" s="78">
        <f t="shared" si="3"/>
        <v>122.9263065</v>
      </c>
    </row>
    <row r="118"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>
        <f t="shared" si="2"/>
        <v>98.34104523</v>
      </c>
      <c r="P118" s="78">
        <f t="shared" si="3"/>
        <v>122.9263065</v>
      </c>
    </row>
    <row r="119"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>
        <f t="shared" si="2"/>
        <v>98.34104523</v>
      </c>
      <c r="P119" s="78">
        <f t="shared" si="3"/>
        <v>122.9263065</v>
      </c>
    </row>
    <row r="120"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>
        <f t="shared" si="2"/>
        <v>98.34104523</v>
      </c>
      <c r="P120" s="78">
        <f t="shared" si="3"/>
        <v>122.9263065</v>
      </c>
    </row>
    <row r="121"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>
        <f t="shared" si="2"/>
        <v>98.34104523</v>
      </c>
      <c r="P121" s="78">
        <f t="shared" si="3"/>
        <v>122.9263065</v>
      </c>
    </row>
    <row r="122"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>
        <f t="shared" si="2"/>
        <v>98.34104523</v>
      </c>
      <c r="P122" s="78">
        <f t="shared" si="3"/>
        <v>122.9263065</v>
      </c>
    </row>
    <row r="123"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>
        <f t="shared" si="2"/>
        <v>98.34104523</v>
      </c>
      <c r="P123" s="78">
        <f t="shared" si="3"/>
        <v>122.9263065</v>
      </c>
    </row>
    <row r="124"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>
        <f t="shared" si="2"/>
        <v>98.34104523</v>
      </c>
      <c r="P124" s="78">
        <f t="shared" si="3"/>
        <v>122.9263065</v>
      </c>
    </row>
    <row r="125"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>
        <f t="shared" si="2"/>
        <v>98.34104523</v>
      </c>
      <c r="P125" s="78">
        <f t="shared" si="3"/>
        <v>122.9263065</v>
      </c>
    </row>
    <row r="126"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>
        <f t="shared" si="2"/>
        <v>98.34104523</v>
      </c>
      <c r="P126" s="78">
        <f t="shared" si="3"/>
        <v>122.9263065</v>
      </c>
    </row>
    <row r="127"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>
        <f t="shared" si="2"/>
        <v>98.34104523</v>
      </c>
      <c r="P127" s="78">
        <f t="shared" si="3"/>
        <v>122.9263065</v>
      </c>
    </row>
    <row r="128"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>
        <f t="shared" si="2"/>
        <v>98.34104523</v>
      </c>
      <c r="P128" s="78">
        <f t="shared" si="3"/>
        <v>122.9263065</v>
      </c>
    </row>
    <row r="129"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>
        <f t="shared" si="2"/>
        <v>98.34104523</v>
      </c>
      <c r="P129" s="78">
        <f t="shared" si="3"/>
        <v>122.9263065</v>
      </c>
    </row>
    <row r="130"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>
        <f t="shared" si="2"/>
        <v>98.34104523</v>
      </c>
      <c r="P130" s="78">
        <f t="shared" si="3"/>
        <v>122.9263065</v>
      </c>
    </row>
    <row r="131"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>
        <f t="shared" si="2"/>
        <v>98.34104523</v>
      </c>
      <c r="P131" s="78">
        <f t="shared" si="3"/>
        <v>122.9263065</v>
      </c>
    </row>
    <row r="132"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>
        <f t="shared" si="2"/>
        <v>98.34104523</v>
      </c>
      <c r="P132" s="78">
        <f t="shared" si="3"/>
        <v>122.9263065</v>
      </c>
    </row>
    <row r="133"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>
        <f t="shared" si="2"/>
        <v>98.34104523</v>
      </c>
      <c r="P133" s="78">
        <f t="shared" si="3"/>
        <v>122.9263065</v>
      </c>
    </row>
    <row r="134"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>
        <f t="shared" si="2"/>
        <v>98.34104523</v>
      </c>
      <c r="P134" s="78">
        <f t="shared" si="3"/>
        <v>122.9263065</v>
      </c>
    </row>
    <row r="135"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>
        <f t="shared" si="2"/>
        <v>98.34104523</v>
      </c>
      <c r="P135" s="78">
        <f t="shared" si="3"/>
        <v>122.9263065</v>
      </c>
    </row>
    <row r="136"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>
        <f t="shared" si="2"/>
        <v>98.34104523</v>
      </c>
      <c r="P136" s="78">
        <f t="shared" si="3"/>
        <v>122.9263065</v>
      </c>
    </row>
    <row r="137"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>
        <f t="shared" si="2"/>
        <v>98.34104523</v>
      </c>
      <c r="P137" s="78">
        <f t="shared" si="3"/>
        <v>122.9263065</v>
      </c>
    </row>
    <row r="138"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>
        <f t="shared" si="2"/>
        <v>98.34104523</v>
      </c>
      <c r="P138" s="78">
        <f t="shared" si="3"/>
        <v>122.9263065</v>
      </c>
    </row>
    <row r="139"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>
        <f t="shared" si="2"/>
        <v>98.34104523</v>
      </c>
      <c r="P139" s="78">
        <f t="shared" si="3"/>
        <v>122.9263065</v>
      </c>
    </row>
    <row r="140"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>
        <f t="shared" si="2"/>
        <v>98.34104523</v>
      </c>
      <c r="P140" s="78">
        <f t="shared" si="3"/>
        <v>122.9263065</v>
      </c>
    </row>
    <row r="141"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>
        <f t="shared" si="2"/>
        <v>98.34104523</v>
      </c>
      <c r="P141" s="78">
        <f t="shared" si="3"/>
        <v>122.9263065</v>
      </c>
    </row>
    <row r="142"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>
        <f t="shared" si="2"/>
        <v>98.34104523</v>
      </c>
      <c r="P142" s="78">
        <f t="shared" si="3"/>
        <v>122.9263065</v>
      </c>
    </row>
    <row r="143"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>
        <f t="shared" si="2"/>
        <v>98.34104523</v>
      </c>
      <c r="P143" s="78">
        <f t="shared" si="3"/>
        <v>122.9263065</v>
      </c>
    </row>
    <row r="144"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>
        <f t="shared" si="2"/>
        <v>98.34104523</v>
      </c>
      <c r="P144" s="78">
        <f t="shared" si="3"/>
        <v>122.9263065</v>
      </c>
    </row>
    <row r="145"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>
        <f t="shared" si="2"/>
        <v>98.34104523</v>
      </c>
      <c r="P145" s="78">
        <f t="shared" si="3"/>
        <v>122.9263065</v>
      </c>
    </row>
    <row r="146"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>
        <f t="shared" si="2"/>
        <v>98.34104523</v>
      </c>
      <c r="P146" s="78">
        <f t="shared" si="3"/>
        <v>122.9263065</v>
      </c>
    </row>
    <row r="147"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>
        <f t="shared" si="2"/>
        <v>98.34104523</v>
      </c>
      <c r="P147" s="78">
        <f t="shared" si="3"/>
        <v>122.9263065</v>
      </c>
    </row>
    <row r="148"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>
        <f t="shared" si="2"/>
        <v>98.34104523</v>
      </c>
      <c r="P148" s="78">
        <f t="shared" si="3"/>
        <v>122.9263065</v>
      </c>
    </row>
    <row r="149"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>
        <f t="shared" si="2"/>
        <v>98.34104523</v>
      </c>
      <c r="P149" s="78">
        <f t="shared" si="3"/>
        <v>122.9263065</v>
      </c>
    </row>
    <row r="150"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>
        <f t="shared" si="2"/>
        <v>98.34104523</v>
      </c>
      <c r="P150" s="78">
        <f t="shared" si="3"/>
        <v>122.9263065</v>
      </c>
    </row>
    <row r="151"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>
        <f t="shared" si="2"/>
        <v>98.34104523</v>
      </c>
      <c r="P151" s="78">
        <f t="shared" si="3"/>
        <v>122.9263065</v>
      </c>
    </row>
    <row r="152"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>
        <f t="shared" si="2"/>
        <v>98.34104523</v>
      </c>
      <c r="P152" s="78">
        <f t="shared" si="3"/>
        <v>122.9263065</v>
      </c>
    </row>
    <row r="153"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>
        <f t="shared" si="2"/>
        <v>98.34104523</v>
      </c>
      <c r="P153" s="78">
        <f t="shared" si="3"/>
        <v>122.9263065</v>
      </c>
    </row>
    <row r="154"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>
        <f t="shared" si="2"/>
        <v>98.34104523</v>
      </c>
      <c r="P154" s="78">
        <f t="shared" si="3"/>
        <v>122.9263065</v>
      </c>
    </row>
    <row r="155"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>
        <f t="shared" si="2"/>
        <v>98.34104523</v>
      </c>
      <c r="P155" s="78">
        <f t="shared" si="3"/>
        <v>122.9263065</v>
      </c>
    </row>
    <row r="156"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>
        <f t="shared" si="2"/>
        <v>98.34104523</v>
      </c>
      <c r="P156" s="78">
        <f t="shared" si="3"/>
        <v>122.9263065</v>
      </c>
    </row>
    <row r="157"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>
        <f t="shared" si="2"/>
        <v>98.34104523</v>
      </c>
      <c r="P157" s="78">
        <f t="shared" si="3"/>
        <v>122.9263065</v>
      </c>
    </row>
    <row r="158"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>
        <f t="shared" si="2"/>
        <v>98.34104523</v>
      </c>
      <c r="P158" s="78">
        <f t="shared" si="3"/>
        <v>122.9263065</v>
      </c>
    </row>
    <row r="159"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>
        <f t="shared" si="2"/>
        <v>98.34104523</v>
      </c>
      <c r="P159" s="78">
        <f t="shared" si="3"/>
        <v>122.9263065</v>
      </c>
    </row>
    <row r="160"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>
        <f t="shared" si="2"/>
        <v>98.34104523</v>
      </c>
      <c r="P160" s="78">
        <f t="shared" si="3"/>
        <v>122.9263065</v>
      </c>
    </row>
    <row r="161"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>
        <f t="shared" si="2"/>
        <v>98.34104523</v>
      </c>
      <c r="P161" s="78">
        <f t="shared" si="3"/>
        <v>122.9263065</v>
      </c>
    </row>
    <row r="162"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>
        <f t="shared" si="2"/>
        <v>98.34104523</v>
      </c>
      <c r="P162" s="78">
        <f t="shared" si="3"/>
        <v>122.9263065</v>
      </c>
    </row>
    <row r="163"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>
        <f t="shared" si="2"/>
        <v>98.34104523</v>
      </c>
      <c r="P163" s="78">
        <f t="shared" si="3"/>
        <v>122.9263065</v>
      </c>
    </row>
    <row r="164"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>
        <f t="shared" si="2"/>
        <v>98.34104523</v>
      </c>
      <c r="P164" s="78">
        <f t="shared" si="3"/>
        <v>122.9263065</v>
      </c>
    </row>
    <row r="165"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>
        <f t="shared" si="2"/>
        <v>98.34104523</v>
      </c>
      <c r="P165" s="78">
        <f t="shared" si="3"/>
        <v>122.9263065</v>
      </c>
    </row>
    <row r="166"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>
        <f t="shared" si="2"/>
        <v>98.34104523</v>
      </c>
      <c r="P166" s="78">
        <f t="shared" si="3"/>
        <v>122.9263065</v>
      </c>
    </row>
    <row r="167"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>
        <f t="shared" si="2"/>
        <v>98.34104523</v>
      </c>
      <c r="P167" s="78">
        <f t="shared" si="3"/>
        <v>122.9263065</v>
      </c>
    </row>
    <row r="168"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>
        <f t="shared" si="2"/>
        <v>98.34104523</v>
      </c>
      <c r="P168" s="78">
        <f t="shared" si="3"/>
        <v>122.9263065</v>
      </c>
    </row>
    <row r="169"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>
        <f t="shared" si="2"/>
        <v>98.34104523</v>
      </c>
      <c r="P169" s="78">
        <f t="shared" si="3"/>
        <v>122.9263065</v>
      </c>
    </row>
    <row r="170"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>
        <f t="shared" si="2"/>
        <v>98.34104523</v>
      </c>
      <c r="P170" s="78">
        <f t="shared" si="3"/>
        <v>122.9263065</v>
      </c>
    </row>
    <row r="171"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>
        <f t="shared" si="2"/>
        <v>98.34104523</v>
      </c>
      <c r="P171" s="78">
        <f t="shared" si="3"/>
        <v>122.9263065</v>
      </c>
    </row>
    <row r="172"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>
        <f t="shared" si="2"/>
        <v>98.34104523</v>
      </c>
      <c r="P172" s="78">
        <f t="shared" si="3"/>
        <v>122.9263065</v>
      </c>
    </row>
    <row r="173"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>
        <f t="shared" si="2"/>
        <v>98.34104523</v>
      </c>
      <c r="P173" s="78">
        <f t="shared" si="3"/>
        <v>122.9263065</v>
      </c>
    </row>
    <row r="174"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>
        <f t="shared" si="2"/>
        <v>98.34104523</v>
      </c>
      <c r="P174" s="78">
        <f t="shared" si="3"/>
        <v>122.9263065</v>
      </c>
    </row>
    <row r="175"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>
        <f t="shared" si="2"/>
        <v>98.34104523</v>
      </c>
      <c r="P175" s="78">
        <f t="shared" si="3"/>
        <v>122.9263065</v>
      </c>
    </row>
    <row r="176"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>
        <f t="shared" si="2"/>
        <v>98.34104523</v>
      </c>
      <c r="P176" s="78">
        <f t="shared" si="3"/>
        <v>122.9263065</v>
      </c>
    </row>
    <row r="177"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>
        <f t="shared" si="2"/>
        <v>98.34104523</v>
      </c>
      <c r="P177" s="78">
        <f t="shared" si="3"/>
        <v>122.9263065</v>
      </c>
    </row>
    <row r="178"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>
        <f t="shared" si="2"/>
        <v>98.34104523</v>
      </c>
      <c r="P178" s="78">
        <f t="shared" si="3"/>
        <v>122.9263065</v>
      </c>
    </row>
    <row r="179"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>
        <f t="shared" si="2"/>
        <v>98.34104523</v>
      </c>
      <c r="P179" s="78">
        <f t="shared" si="3"/>
        <v>122.9263065</v>
      </c>
    </row>
    <row r="180"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>
        <f t="shared" si="2"/>
        <v>98.34104523</v>
      </c>
      <c r="P180" s="78">
        <f t="shared" si="3"/>
        <v>122.9263065</v>
      </c>
    </row>
    <row r="181"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>
        <f t="shared" si="2"/>
        <v>98.34104523</v>
      </c>
      <c r="P181" s="78">
        <f t="shared" si="3"/>
        <v>122.9263065</v>
      </c>
    </row>
    <row r="182"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>
        <f t="shared" si="2"/>
        <v>98.34104523</v>
      </c>
      <c r="P182" s="78">
        <f t="shared" si="3"/>
        <v>122.9263065</v>
      </c>
    </row>
    <row r="183"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>
        <f t="shared" si="2"/>
        <v>98.34104523</v>
      </c>
      <c r="P183" s="78">
        <f t="shared" si="3"/>
        <v>122.9263065</v>
      </c>
    </row>
    <row r="184"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>
        <f t="shared" si="2"/>
        <v>98.34104523</v>
      </c>
      <c r="P184" s="78">
        <f t="shared" si="3"/>
        <v>122.9263065</v>
      </c>
    </row>
    <row r="185"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>
        <f t="shared" si="2"/>
        <v>98.34104523</v>
      </c>
      <c r="P185" s="78">
        <f t="shared" si="3"/>
        <v>122.9263065</v>
      </c>
    </row>
    <row r="186"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>
        <f t="shared" si="2"/>
        <v>98.34104523</v>
      </c>
      <c r="P186" s="78">
        <f t="shared" si="3"/>
        <v>122.9263065</v>
      </c>
    </row>
    <row r="187"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>
        <f t="shared" si="2"/>
        <v>98.34104523</v>
      </c>
      <c r="P187" s="78">
        <f t="shared" si="3"/>
        <v>122.9263065</v>
      </c>
    </row>
    <row r="188"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>
        <f t="shared" si="2"/>
        <v>98.34104523</v>
      </c>
      <c r="P188" s="78">
        <f t="shared" si="3"/>
        <v>122.9263065</v>
      </c>
    </row>
    <row r="189"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>
        <f t="shared" si="2"/>
        <v>98.34104523</v>
      </c>
      <c r="P189" s="78">
        <f t="shared" si="3"/>
        <v>122.9263065</v>
      </c>
    </row>
    <row r="190"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>
        <f t="shared" si="2"/>
        <v>98.34104523</v>
      </c>
      <c r="P190" s="78">
        <f t="shared" si="3"/>
        <v>122.9263065</v>
      </c>
    </row>
    <row r="191"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>
        <f t="shared" si="2"/>
        <v>98.34104523</v>
      </c>
      <c r="P191" s="78">
        <f t="shared" si="3"/>
        <v>122.9263065</v>
      </c>
    </row>
    <row r="192"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>
        <f t="shared" si="2"/>
        <v>98.34104523</v>
      </c>
      <c r="P192" s="78">
        <f t="shared" si="3"/>
        <v>122.9263065</v>
      </c>
    </row>
    <row r="193"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>
        <f t="shared" si="2"/>
        <v>98.34104523</v>
      </c>
      <c r="P193" s="78">
        <f t="shared" si="3"/>
        <v>122.9263065</v>
      </c>
    </row>
    <row r="194"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>
        <f t="shared" si="2"/>
        <v>98.34104523</v>
      </c>
      <c r="P194" s="78">
        <f t="shared" si="3"/>
        <v>122.9263065</v>
      </c>
    </row>
    <row r="195"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>
        <f t="shared" si="2"/>
        <v>98.34104523</v>
      </c>
      <c r="P195" s="78">
        <f t="shared" si="3"/>
        <v>122.9263065</v>
      </c>
    </row>
    <row r="196"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>
        <f t="shared" si="2"/>
        <v>98.34104523</v>
      </c>
      <c r="P196" s="78">
        <f t="shared" si="3"/>
        <v>122.9263065</v>
      </c>
    </row>
    <row r="197"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>
        <f t="shared" si="2"/>
        <v>98.34104523</v>
      </c>
      <c r="P197" s="78">
        <f t="shared" si="3"/>
        <v>122.9263065</v>
      </c>
    </row>
    <row r="198"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>
        <f t="shared" si="2"/>
        <v>98.34104523</v>
      </c>
      <c r="P198" s="78">
        <f t="shared" si="3"/>
        <v>122.9263065</v>
      </c>
    </row>
    <row r="199"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>
        <f t="shared" si="2"/>
        <v>98.34104523</v>
      </c>
      <c r="P199" s="78">
        <f t="shared" si="3"/>
        <v>122.9263065</v>
      </c>
    </row>
    <row r="200"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>
        <f t="shared" si="2"/>
        <v>98.34104523</v>
      </c>
      <c r="P200" s="78">
        <f t="shared" si="3"/>
        <v>122.9263065</v>
      </c>
    </row>
    <row r="201"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>
        <f t="shared" si="2"/>
        <v>98.34104523</v>
      </c>
      <c r="P201" s="78">
        <f t="shared" si="3"/>
        <v>122.9263065</v>
      </c>
    </row>
    <row r="202"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>
        <f t="shared" si="2"/>
        <v>98.34104523</v>
      </c>
      <c r="P202" s="78">
        <f t="shared" si="3"/>
        <v>122.9263065</v>
      </c>
    </row>
    <row r="203"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>
        <f t="shared" si="2"/>
        <v>98.34104523</v>
      </c>
      <c r="P203" s="78">
        <f t="shared" si="3"/>
        <v>122.9263065</v>
      </c>
    </row>
    <row r="204"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>
        <f t="shared" si="2"/>
        <v>98.34104523</v>
      </c>
      <c r="P204" s="78">
        <f t="shared" si="3"/>
        <v>122.9263065</v>
      </c>
    </row>
    <row r="205"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>
        <f t="shared" si="2"/>
        <v>98.34104523</v>
      </c>
      <c r="P205" s="78">
        <f t="shared" si="3"/>
        <v>122.9263065</v>
      </c>
    </row>
    <row r="206"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>
        <f t="shared" si="2"/>
        <v>98.34104523</v>
      </c>
      <c r="P206" s="78">
        <f t="shared" si="3"/>
        <v>122.9263065</v>
      </c>
    </row>
    <row r="207"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>
        <f t="shared" si="2"/>
        <v>98.34104523</v>
      </c>
      <c r="P207" s="78">
        <f t="shared" si="3"/>
        <v>122.9263065</v>
      </c>
    </row>
    <row r="208"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>
        <f t="shared" si="2"/>
        <v>98.34104523</v>
      </c>
      <c r="P208" s="78">
        <f t="shared" si="3"/>
        <v>122.9263065</v>
      </c>
    </row>
    <row r="209"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>
        <f t="shared" si="2"/>
        <v>98.34104523</v>
      </c>
      <c r="P209" s="78">
        <f t="shared" si="3"/>
        <v>122.9263065</v>
      </c>
    </row>
    <row r="210"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>
        <f t="shared" si="2"/>
        <v>98.34104523</v>
      </c>
      <c r="P210" s="78">
        <f t="shared" si="3"/>
        <v>122.9263065</v>
      </c>
    </row>
    <row r="211"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>
        <f t="shared" si="2"/>
        <v>98.34104523</v>
      </c>
      <c r="P211" s="78">
        <f t="shared" si="3"/>
        <v>122.9263065</v>
      </c>
    </row>
    <row r="212"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>
        <f t="shared" si="2"/>
        <v>98.34104523</v>
      </c>
      <c r="P212" s="78">
        <f t="shared" si="3"/>
        <v>122.9263065</v>
      </c>
    </row>
    <row r="213"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>
        <f t="shared" si="2"/>
        <v>98.34104523</v>
      </c>
      <c r="P213" s="78">
        <f t="shared" si="3"/>
        <v>122.9263065</v>
      </c>
    </row>
    <row r="214"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>
        <f t="shared" si="2"/>
        <v>98.34104523</v>
      </c>
      <c r="P214" s="78">
        <f t="shared" si="3"/>
        <v>122.9263065</v>
      </c>
    </row>
    <row r="215"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>
        <f t="shared" si="2"/>
        <v>98.34104523</v>
      </c>
      <c r="P215" s="78">
        <f t="shared" si="3"/>
        <v>122.9263065</v>
      </c>
    </row>
    <row r="216"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>
        <f t="shared" si="2"/>
        <v>98.34104523</v>
      </c>
      <c r="P216" s="78">
        <f t="shared" si="3"/>
        <v>122.9263065</v>
      </c>
    </row>
    <row r="217"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>
        <f t="shared" si="2"/>
        <v>98.34104523</v>
      </c>
      <c r="P217" s="78">
        <f t="shared" si="3"/>
        <v>122.9263065</v>
      </c>
    </row>
    <row r="218"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>
        <f t="shared" si="2"/>
        <v>98.34104523</v>
      </c>
      <c r="P218" s="78">
        <f t="shared" si="3"/>
        <v>122.9263065</v>
      </c>
    </row>
    <row r="219"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>
        <f t="shared" si="2"/>
        <v>98.34104523</v>
      </c>
      <c r="P219" s="78">
        <f t="shared" si="3"/>
        <v>122.9263065</v>
      </c>
    </row>
    <row r="220"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>
        <f t="shared" si="2"/>
        <v>98.34104523</v>
      </c>
      <c r="P220" s="78">
        <f t="shared" si="3"/>
        <v>122.9263065</v>
      </c>
    </row>
    <row r="221"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>
        <f t="shared" si="2"/>
        <v>98.34104523</v>
      </c>
      <c r="P221" s="78">
        <f t="shared" si="3"/>
        <v>122.9263065</v>
      </c>
    </row>
    <row r="222"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>
        <f t="shared" si="2"/>
        <v>98.34104523</v>
      </c>
      <c r="P222" s="78">
        <f t="shared" si="3"/>
        <v>122.9263065</v>
      </c>
    </row>
    <row r="223"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>
        <f t="shared" si="2"/>
        <v>98.34104523</v>
      </c>
      <c r="P223" s="78">
        <f t="shared" si="3"/>
        <v>122.9263065</v>
      </c>
    </row>
    <row r="224"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>
        <f t="shared" si="2"/>
        <v>98.34104523</v>
      </c>
      <c r="P224" s="78">
        <f t="shared" si="3"/>
        <v>122.9263065</v>
      </c>
    </row>
    <row r="225"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>
        <f t="shared" si="2"/>
        <v>98.34104523</v>
      </c>
      <c r="P225" s="78">
        <f t="shared" si="3"/>
        <v>122.9263065</v>
      </c>
    </row>
    <row r="226"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>
        <f t="shared" si="2"/>
        <v>98.34104523</v>
      </c>
      <c r="P226" s="78">
        <f t="shared" si="3"/>
        <v>122.9263065</v>
      </c>
    </row>
    <row r="227"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>
        <f t="shared" si="2"/>
        <v>98.34104523</v>
      </c>
      <c r="P227" s="78">
        <f t="shared" si="3"/>
        <v>122.9263065</v>
      </c>
    </row>
    <row r="228"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>
        <f t="shared" si="2"/>
        <v>98.34104523</v>
      </c>
      <c r="P228" s="78">
        <f t="shared" si="3"/>
        <v>122.9263065</v>
      </c>
    </row>
    <row r="229"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>
        <f t="shared" si="2"/>
        <v>98.34104523</v>
      </c>
      <c r="P229" s="78">
        <f t="shared" si="3"/>
        <v>122.9263065</v>
      </c>
    </row>
    <row r="230"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>
        <f t="shared" si="2"/>
        <v>98.34104523</v>
      </c>
      <c r="P230" s="78">
        <f t="shared" si="3"/>
        <v>122.9263065</v>
      </c>
    </row>
    <row r="231"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>
        <f t="shared" si="2"/>
        <v>98.34104523</v>
      </c>
      <c r="P231" s="78">
        <f t="shared" si="3"/>
        <v>122.9263065</v>
      </c>
    </row>
    <row r="232"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>
        <f t="shared" si="2"/>
        <v>98.34104523</v>
      </c>
      <c r="P232" s="78">
        <f t="shared" si="3"/>
        <v>122.9263065</v>
      </c>
    </row>
    <row r="233"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>
        <f t="shared" si="2"/>
        <v>98.34104523</v>
      </c>
      <c r="P233" s="78">
        <f t="shared" si="3"/>
        <v>122.9263065</v>
      </c>
    </row>
    <row r="234"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>
        <f t="shared" si="2"/>
        <v>98.34104523</v>
      </c>
      <c r="P234" s="78">
        <f t="shared" si="3"/>
        <v>122.9263065</v>
      </c>
    </row>
    <row r="235"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>
        <f t="shared" si="2"/>
        <v>98.34104523</v>
      </c>
      <c r="P235" s="78">
        <f t="shared" si="3"/>
        <v>122.9263065</v>
      </c>
    </row>
    <row r="236"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>
        <f t="shared" si="2"/>
        <v>98.34104523</v>
      </c>
      <c r="P236" s="78">
        <f t="shared" si="3"/>
        <v>122.9263065</v>
      </c>
    </row>
    <row r="237"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>
        <f t="shared" si="2"/>
        <v>98.34104523</v>
      </c>
      <c r="P237" s="78">
        <f t="shared" si="3"/>
        <v>122.9263065</v>
      </c>
    </row>
    <row r="238"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>
        <f t="shared" si="2"/>
        <v>98.34104523</v>
      </c>
      <c r="P238" s="78">
        <f t="shared" si="3"/>
        <v>122.9263065</v>
      </c>
    </row>
    <row r="239"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>
        <f t="shared" si="2"/>
        <v>98.34104523</v>
      </c>
      <c r="P239" s="78">
        <f t="shared" si="3"/>
        <v>122.9263065</v>
      </c>
    </row>
    <row r="240"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>
        <f t="shared" si="2"/>
        <v>98.34104523</v>
      </c>
      <c r="P240" s="78">
        <f t="shared" si="3"/>
        <v>122.9263065</v>
      </c>
    </row>
    <row r="241"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>
        <f t="shared" si="2"/>
        <v>98.34104523</v>
      </c>
      <c r="P241" s="78">
        <f t="shared" si="3"/>
        <v>122.9263065</v>
      </c>
    </row>
    <row r="242"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>
        <f t="shared" si="2"/>
        <v>98.34104523</v>
      </c>
      <c r="P242" s="78">
        <f t="shared" si="3"/>
        <v>122.9263065</v>
      </c>
    </row>
    <row r="243"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>
        <f t="shared" si="2"/>
        <v>98.34104523</v>
      </c>
      <c r="P243" s="78">
        <f t="shared" si="3"/>
        <v>122.9263065</v>
      </c>
    </row>
    <row r="244"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>
        <f t="shared" si="2"/>
        <v>98.34104523</v>
      </c>
      <c r="P244" s="78">
        <f t="shared" si="3"/>
        <v>122.9263065</v>
      </c>
    </row>
    <row r="245"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>
        <f t="shared" si="2"/>
        <v>98.34104523</v>
      </c>
      <c r="P245" s="78">
        <f t="shared" si="3"/>
        <v>122.9263065</v>
      </c>
    </row>
    <row r="246"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>
        <f t="shared" si="2"/>
        <v>98.34104523</v>
      </c>
      <c r="P246" s="78">
        <f t="shared" si="3"/>
        <v>122.9263065</v>
      </c>
    </row>
    <row r="247"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>
        <f t="shared" si="2"/>
        <v>98.34104523</v>
      </c>
      <c r="P247" s="78">
        <f t="shared" si="3"/>
        <v>122.9263065</v>
      </c>
    </row>
    <row r="248"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>
        <f t="shared" si="2"/>
        <v>98.34104523</v>
      </c>
      <c r="P248" s="78">
        <f t="shared" si="3"/>
        <v>122.9263065</v>
      </c>
    </row>
    <row r="249"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>
        <f t="shared" si="2"/>
        <v>98.34104523</v>
      </c>
      <c r="P249" s="78">
        <f t="shared" si="3"/>
        <v>122.9263065</v>
      </c>
    </row>
    <row r="250"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>
        <f t="shared" si="2"/>
        <v>98.34104523</v>
      </c>
      <c r="P250" s="78">
        <f t="shared" si="3"/>
        <v>122.9263065</v>
      </c>
    </row>
    <row r="251"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>
        <f t="shared" si="2"/>
        <v>98.34104523</v>
      </c>
      <c r="P251" s="78">
        <f t="shared" si="3"/>
        <v>122.9263065</v>
      </c>
    </row>
    <row r="252"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>
        <f t="shared" si="2"/>
        <v>98.34104523</v>
      </c>
      <c r="P252" s="78">
        <f t="shared" si="3"/>
        <v>122.9263065</v>
      </c>
    </row>
    <row r="253"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>
        <f t="shared" si="2"/>
        <v>98.34104523</v>
      </c>
      <c r="P253" s="78">
        <f t="shared" si="3"/>
        <v>122.9263065</v>
      </c>
    </row>
    <row r="254"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>
        <f t="shared" si="2"/>
        <v>98.34104523</v>
      </c>
      <c r="P254" s="78">
        <f t="shared" si="3"/>
        <v>122.9263065</v>
      </c>
    </row>
    <row r="255"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>
        <f t="shared" si="2"/>
        <v>98.34104523</v>
      </c>
      <c r="P255" s="78">
        <f t="shared" si="3"/>
        <v>122.9263065</v>
      </c>
    </row>
    <row r="256"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>
        <f t="shared" si="2"/>
        <v>98.34104523</v>
      </c>
      <c r="P256" s="78">
        <f t="shared" si="3"/>
        <v>122.9263065</v>
      </c>
    </row>
    <row r="257"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>
        <f t="shared" si="2"/>
        <v>98.34104523</v>
      </c>
      <c r="P257" s="78">
        <f t="shared" si="3"/>
        <v>122.9263065</v>
      </c>
    </row>
    <row r="258"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>
        <f t="shared" si="2"/>
        <v>98.34104523</v>
      </c>
      <c r="P258" s="78">
        <f t="shared" si="3"/>
        <v>122.9263065</v>
      </c>
    </row>
    <row r="259"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>
        <f t="shared" si="2"/>
        <v>98.34104523</v>
      </c>
      <c r="P259" s="78">
        <f t="shared" si="3"/>
        <v>122.9263065</v>
      </c>
    </row>
    <row r="260"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>
        <f t="shared" si="2"/>
        <v>98.34104523</v>
      </c>
      <c r="P260" s="78">
        <f t="shared" si="3"/>
        <v>122.9263065</v>
      </c>
    </row>
    <row r="261"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>
        <f t="shared" si="2"/>
        <v>98.34104523</v>
      </c>
      <c r="P261" s="78">
        <f t="shared" si="3"/>
        <v>122.9263065</v>
      </c>
    </row>
    <row r="262"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>
        <f t="shared" si="2"/>
        <v>98.34104523</v>
      </c>
      <c r="P262" s="78">
        <f t="shared" si="3"/>
        <v>122.9263065</v>
      </c>
    </row>
    <row r="263"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>
        <f t="shared" si="2"/>
        <v>98.34104523</v>
      </c>
      <c r="P263" s="78">
        <f t="shared" si="3"/>
        <v>122.9263065</v>
      </c>
    </row>
    <row r="264"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>
        <f t="shared" si="2"/>
        <v>98.34104523</v>
      </c>
      <c r="P264" s="78">
        <f t="shared" si="3"/>
        <v>122.9263065</v>
      </c>
    </row>
    <row r="265"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>
        <f t="shared" si="2"/>
        <v>98.34104523</v>
      </c>
      <c r="P265" s="78">
        <f t="shared" si="3"/>
        <v>122.9263065</v>
      </c>
    </row>
    <row r="266"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>
        <f t="shared" si="2"/>
        <v>98.34104523</v>
      </c>
      <c r="P266" s="78">
        <f t="shared" si="3"/>
        <v>122.9263065</v>
      </c>
    </row>
    <row r="267"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>
        <f t="shared" si="2"/>
        <v>98.34104523</v>
      </c>
      <c r="P267" s="78">
        <f t="shared" si="3"/>
        <v>122.9263065</v>
      </c>
    </row>
    <row r="268"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>
        <f t="shared" si="2"/>
        <v>98.34104523</v>
      </c>
      <c r="P268" s="78">
        <f t="shared" si="3"/>
        <v>122.9263065</v>
      </c>
    </row>
    <row r="269"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>
        <f t="shared" si="2"/>
        <v>98.34104523</v>
      </c>
      <c r="P269" s="78">
        <f t="shared" si="3"/>
        <v>122.9263065</v>
      </c>
    </row>
    <row r="270"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>
        <f t="shared" si="2"/>
        <v>98.34104523</v>
      </c>
      <c r="P270" s="78">
        <f t="shared" si="3"/>
        <v>122.9263065</v>
      </c>
    </row>
    <row r="271"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>
        <f t="shared" si="2"/>
        <v>98.34104523</v>
      </c>
      <c r="P271" s="78">
        <f t="shared" si="3"/>
        <v>122.9263065</v>
      </c>
    </row>
    <row r="272"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>
        <f t="shared" si="2"/>
        <v>98.34104523</v>
      </c>
      <c r="P272" s="78">
        <f t="shared" si="3"/>
        <v>122.9263065</v>
      </c>
    </row>
    <row r="273"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>
        <f t="shared" si="2"/>
        <v>98.34104523</v>
      </c>
      <c r="P273" s="78">
        <f t="shared" si="3"/>
        <v>122.9263065</v>
      </c>
    </row>
    <row r="274"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>
        <f t="shared" si="2"/>
        <v>98.34104523</v>
      </c>
      <c r="P274" s="78">
        <f t="shared" si="3"/>
        <v>122.9263065</v>
      </c>
    </row>
    <row r="275"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>
        <f t="shared" si="2"/>
        <v>98.34104523</v>
      </c>
      <c r="P275" s="78">
        <f t="shared" si="3"/>
        <v>122.9263065</v>
      </c>
    </row>
    <row r="276"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>
        <f t="shared" si="2"/>
        <v>98.34104523</v>
      </c>
      <c r="P276" s="78">
        <f t="shared" si="3"/>
        <v>122.9263065</v>
      </c>
    </row>
    <row r="277"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>
        <f t="shared" si="2"/>
        <v>98.34104523</v>
      </c>
      <c r="P277" s="78">
        <f t="shared" si="3"/>
        <v>122.9263065</v>
      </c>
    </row>
    <row r="278"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>
        <f t="shared" si="2"/>
        <v>98.34104523</v>
      </c>
      <c r="P278" s="78">
        <f t="shared" si="3"/>
        <v>122.9263065</v>
      </c>
    </row>
    <row r="279"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>
        <f t="shared" si="2"/>
        <v>98.34104523</v>
      </c>
      <c r="P279" s="78">
        <f t="shared" si="3"/>
        <v>122.9263065</v>
      </c>
    </row>
    <row r="280"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>
        <f t="shared" si="2"/>
        <v>98.34104523</v>
      </c>
      <c r="P280" s="78">
        <f t="shared" si="3"/>
        <v>122.9263065</v>
      </c>
    </row>
    <row r="281"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>
        <f t="shared" si="2"/>
        <v>98.34104523</v>
      </c>
      <c r="P281" s="78">
        <f t="shared" si="3"/>
        <v>122.9263065</v>
      </c>
    </row>
    <row r="282"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>
        <f t="shared" si="2"/>
        <v>98.34104523</v>
      </c>
      <c r="P282" s="78">
        <f t="shared" si="3"/>
        <v>122.9263065</v>
      </c>
    </row>
    <row r="283"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>
        <f t="shared" si="2"/>
        <v>98.34104523</v>
      </c>
      <c r="P283" s="78">
        <f t="shared" si="3"/>
        <v>122.9263065</v>
      </c>
    </row>
    <row r="284"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>
        <f t="shared" si="2"/>
        <v>98.34104523</v>
      </c>
      <c r="P284" s="78">
        <f t="shared" si="3"/>
        <v>122.9263065</v>
      </c>
    </row>
    <row r="285"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>
        <f t="shared" si="2"/>
        <v>98.34104523</v>
      </c>
      <c r="P285" s="78">
        <f t="shared" si="3"/>
        <v>122.9263065</v>
      </c>
    </row>
    <row r="286"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>
        <f t="shared" si="2"/>
        <v>98.34104523</v>
      </c>
      <c r="P286" s="78">
        <f t="shared" si="3"/>
        <v>122.9263065</v>
      </c>
    </row>
    <row r="287"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>
        <f t="shared" si="2"/>
        <v>98.34104523</v>
      </c>
      <c r="P287" s="78">
        <f t="shared" si="3"/>
        <v>122.9263065</v>
      </c>
    </row>
    <row r="288"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</row>
  </sheetData>
  <mergeCells count="4">
    <mergeCell ref="J3:K3"/>
    <mergeCell ref="J4:K4"/>
    <mergeCell ref="J5:K5"/>
    <mergeCell ref="J6:K6"/>
  </mergeCells>
  <conditionalFormatting sqref="B6">
    <cfRule type="cellIs" dxfId="0" priority="1" operator="greaterThan">
      <formula>0</formula>
    </cfRule>
  </conditionalFormatting>
  <conditionalFormatting sqref="B6">
    <cfRule type="cellIs" dxfId="2" priority="2" operator="lessThan">
      <formula>0</formula>
    </cfRule>
  </conditionalFormatting>
  <dataValidations>
    <dataValidation type="list" allowBlank="1" sqref="L5">
      <formula1>$U$10:$U$13</formula1>
    </dataValidation>
    <dataValidation type="list" allowBlank="1" sqref="L6">
      <formula1>$U$5:$U$9</formula1>
    </dataValidation>
    <dataValidation type="list" allowBlank="1" showErrorMessage="1" sqref="H3:H4">
      <formula1>$X$34:$X$105</formula1>
    </dataValidation>
    <dataValidation type="list" allowBlank="1" showErrorMessage="1" sqref="L3:L4">
      <formula1>'For Organisations - Growth Anal'!$E$6:$I$6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7.88"/>
    <col customWidth="1" min="3" max="3" width="8.75"/>
    <col customWidth="1" min="4" max="5" width="17.13"/>
    <col customWidth="1" min="6" max="6" width="17.63"/>
    <col customWidth="1" min="7" max="7" width="9.75"/>
    <col customWidth="1" min="8" max="8" width="15.0"/>
    <col customWidth="1" min="9" max="9" width="11.0"/>
    <col customWidth="1" min="11" max="11" width="8.75"/>
    <col customWidth="1" min="12" max="13" width="10.0"/>
    <col customWidth="1" min="14" max="14" width="15.13"/>
    <col customWidth="1" min="15" max="15" width="13.5"/>
    <col customWidth="1" min="16" max="16" width="8.63"/>
    <col customWidth="1" min="17" max="17" width="9.75"/>
  </cols>
  <sheetData>
    <row r="1">
      <c r="A1" s="58" t="s">
        <v>78</v>
      </c>
      <c r="B1" s="79"/>
    </row>
    <row r="2">
      <c r="A2" s="80" t="s">
        <v>79</v>
      </c>
      <c r="B2" s="80" t="str">
        <f>SF(A3:A121,"companyInfo","name&amp;country&amp;sector")</f>
        <v>Name</v>
      </c>
      <c r="C2" s="80" t="s">
        <v>80</v>
      </c>
      <c r="D2" s="80" t="s">
        <v>81</v>
      </c>
      <c r="E2" s="80" t="s">
        <v>82</v>
      </c>
      <c r="F2" s="80" t="s">
        <v>83</v>
      </c>
      <c r="G2" s="80" t="str">
        <f>SF(A3:A21,"realTime","price&amp;previousClose&amp;changesPercentage&amp;volume&amp;open&amp;dayLow&amp;dayHigh&amp;priceAvg200&amp;avgVolume&amp;pe&amp;eps")</f>
        <v>Price</v>
      </c>
      <c r="H2" s="80" t="s">
        <v>84</v>
      </c>
      <c r="I2" s="80" t="s">
        <v>2</v>
      </c>
      <c r="J2" s="80" t="s">
        <v>6</v>
      </c>
      <c r="K2" s="80" t="s">
        <v>3</v>
      </c>
      <c r="L2" s="80" t="s">
        <v>4</v>
      </c>
      <c r="M2" s="80" t="s">
        <v>5</v>
      </c>
      <c r="N2" s="80" t="s">
        <v>85</v>
      </c>
      <c r="O2" s="80" t="s">
        <v>86</v>
      </c>
      <c r="P2" s="80" t="s">
        <v>20</v>
      </c>
      <c r="Q2" s="80" t="s">
        <v>19</v>
      </c>
    </row>
    <row r="3">
      <c r="A3" s="81" t="s">
        <v>0</v>
      </c>
      <c r="B3" s="82" t="s">
        <v>87</v>
      </c>
      <c r="C3" s="83" t="s">
        <v>88</v>
      </c>
      <c r="D3" s="83" t="s">
        <v>89</v>
      </c>
      <c r="E3" s="83" t="str">
        <f>IFERROR(__xludf.DUMMYFUNCTION("SPARKLINE(SF_SPARK(A3,""365""))"),"")</f>
        <v/>
      </c>
      <c r="F3" s="82" t="str">
        <f>IFERROR(__xludf.DUMMYFUNCTION("SPARKLINE(SF_SPARK(A3,""60"",""volume""),{""charttype"",""column""})"),"")</f>
        <v/>
      </c>
      <c r="G3" s="82">
        <v>192.05</v>
      </c>
      <c r="H3" s="82">
        <v>193.05</v>
      </c>
      <c r="I3" s="27">
        <v>-0.005180000000000001</v>
      </c>
      <c r="J3" s="82">
        <v>1.7369269E7</v>
      </c>
      <c r="K3" s="82">
        <v>192.49</v>
      </c>
      <c r="L3" s="82">
        <v>191.0905</v>
      </c>
      <c r="M3" s="82">
        <v>192.8972</v>
      </c>
      <c r="N3" s="82">
        <v>178.87186</v>
      </c>
      <c r="O3" s="82">
        <v>5.3522277E7</v>
      </c>
      <c r="P3" s="82">
        <v>31.28</v>
      </c>
      <c r="Q3" s="82">
        <v>6.14</v>
      </c>
    </row>
    <row r="4">
      <c r="A4" s="81" t="s">
        <v>90</v>
      </c>
      <c r="B4" s="83" t="s">
        <v>91</v>
      </c>
      <c r="C4" s="83" t="s">
        <v>88</v>
      </c>
      <c r="D4" s="83" t="s">
        <v>89</v>
      </c>
      <c r="E4" s="83" t="str">
        <f>IFERROR(__xludf.DUMMYFUNCTION("SPARKLINE(SF_SPARK(A4,""365""))"),"")</f>
        <v/>
      </c>
      <c r="F4" s="82" t="str">
        <f>IFERROR(__xludf.DUMMYFUNCTION("SPARKLINE(SF_SPARK(A4,""60"",""volume""),{""charttype"",""column""})"),"")</f>
        <v/>
      </c>
      <c r="G4" s="82">
        <v>374.025</v>
      </c>
      <c r="H4" s="82">
        <v>374.66</v>
      </c>
      <c r="I4" s="27">
        <v>-0.0016950000000000001</v>
      </c>
      <c r="J4" s="82">
        <v>4493268.0</v>
      </c>
      <c r="K4" s="82">
        <v>373.69</v>
      </c>
      <c r="L4" s="82">
        <v>372.8116</v>
      </c>
      <c r="M4" s="82">
        <v>375.06</v>
      </c>
      <c r="N4" s="82">
        <v>328.32095</v>
      </c>
      <c r="O4" s="82">
        <v>2.6171732E7</v>
      </c>
      <c r="P4" s="82">
        <v>36.17</v>
      </c>
      <c r="Q4" s="82">
        <v>10.34</v>
      </c>
    </row>
    <row r="5">
      <c r="A5" s="81" t="s">
        <v>92</v>
      </c>
      <c r="B5" s="83" t="s">
        <v>93</v>
      </c>
      <c r="C5" s="83" t="s">
        <v>88</v>
      </c>
      <c r="D5" s="83" t="s">
        <v>94</v>
      </c>
      <c r="E5" s="83" t="str">
        <f>IFERROR(__xludf.DUMMYFUNCTION("SPARKLINE(SF_SPARK(A5,""365""))"),"")</f>
        <v/>
      </c>
      <c r="F5" s="82" t="str">
        <f>IFERROR(__xludf.DUMMYFUNCTION("SPARKLINE(SF_SPARK(A5,""60"",""volume""),{""charttype"",""column""})"),"")</f>
        <v/>
      </c>
      <c r="G5" s="82">
        <v>44.06</v>
      </c>
      <c r="H5" s="82">
        <v>43.93</v>
      </c>
      <c r="I5" s="27">
        <v>0.002959</v>
      </c>
      <c r="J5" s="82">
        <v>1904590.0</v>
      </c>
      <c r="K5" s="82">
        <v>43.9</v>
      </c>
      <c r="L5" s="82">
        <v>43.71</v>
      </c>
      <c r="M5" s="82">
        <v>44.1288</v>
      </c>
      <c r="N5" s="82">
        <v>41.94465</v>
      </c>
      <c r="O5" s="82">
        <v>1.9219522E7</v>
      </c>
      <c r="P5" s="82">
        <v>12.27</v>
      </c>
      <c r="Q5" s="82">
        <v>3.59</v>
      </c>
    </row>
    <row r="6">
      <c r="A6" s="81" t="s">
        <v>95</v>
      </c>
      <c r="B6" s="83" t="s">
        <v>96</v>
      </c>
      <c r="C6" s="83" t="s">
        <v>88</v>
      </c>
      <c r="D6" s="83" t="s">
        <v>97</v>
      </c>
      <c r="E6" s="83" t="str">
        <f>IFERROR(__xludf.DUMMYFUNCTION("SPARKLINE(SF_SPARK(A6,""365""))"),"")</f>
        <v/>
      </c>
      <c r="F6" s="82" t="str">
        <f>IFERROR(__xludf.DUMMYFUNCTION("SPARKLINE(SF_SPARK(A6,""60"",""volume""),{""charttype"",""column""})"),"")</f>
        <v/>
      </c>
      <c r="G6" s="82">
        <v>17.775</v>
      </c>
      <c r="H6" s="82">
        <v>17.85</v>
      </c>
      <c r="I6" s="27">
        <v>-0.004202</v>
      </c>
      <c r="J6" s="82">
        <v>2079244.0</v>
      </c>
      <c r="K6" s="82">
        <v>17.84</v>
      </c>
      <c r="L6" s="82">
        <v>17.725</v>
      </c>
      <c r="M6" s="82">
        <v>17.87</v>
      </c>
      <c r="N6" s="82">
        <v>17.0598</v>
      </c>
      <c r="O6" s="82">
        <v>1.4149877E7</v>
      </c>
      <c r="P6" s="82">
        <v>16.31</v>
      </c>
      <c r="Q6" s="82">
        <v>1.09</v>
      </c>
    </row>
    <row r="7">
      <c r="A7" s="81" t="s">
        <v>98</v>
      </c>
      <c r="B7" s="83" t="s">
        <v>99</v>
      </c>
      <c r="C7" s="83" t="s">
        <v>88</v>
      </c>
      <c r="D7" s="83" t="s">
        <v>89</v>
      </c>
      <c r="E7" s="83" t="str">
        <f>IFERROR(__xludf.DUMMYFUNCTION("SPARKLINE(SF_SPARK(A7,""365""))"),"")</f>
        <v/>
      </c>
      <c r="F7" s="82" t="str">
        <f>IFERROR(__xludf.DUMMYFUNCTION("SPARKLINE(SF_SPARK(A7,""60"",""volume""),{""charttype"",""column""})"),"")</f>
        <v/>
      </c>
      <c r="G7" s="82">
        <v>50.6902</v>
      </c>
      <c r="H7" s="82">
        <v>50.5</v>
      </c>
      <c r="I7" s="27">
        <v>0.003766</v>
      </c>
      <c r="J7" s="82">
        <v>2.2815595E7</v>
      </c>
      <c r="K7" s="82">
        <v>50.63</v>
      </c>
      <c r="L7" s="82">
        <v>50.19</v>
      </c>
      <c r="M7" s="82">
        <v>51.275</v>
      </c>
      <c r="N7" s="82">
        <v>34.9553</v>
      </c>
      <c r="O7" s="82">
        <v>3.8459629E7</v>
      </c>
      <c r="P7" s="82">
        <v>-129.97</v>
      </c>
      <c r="Q7" s="82">
        <v>-0.39</v>
      </c>
    </row>
    <row r="8">
      <c r="A8" s="81" t="s">
        <v>100</v>
      </c>
      <c r="B8" s="83" t="s">
        <v>101</v>
      </c>
      <c r="C8" s="83" t="s">
        <v>88</v>
      </c>
      <c r="D8" s="83" t="s">
        <v>89</v>
      </c>
      <c r="E8" s="83" t="str">
        <f>IFERROR(__xludf.DUMMYFUNCTION("SPARKLINE(SF_SPARK(A8,""365""))"),"")</f>
        <v/>
      </c>
      <c r="F8" s="82" t="str">
        <f>IFERROR(__xludf.DUMMYFUNCTION("SPARKLINE(SF_SPARK(A8,""60"",""volume""),{""charttype"",""column""})"),"")</f>
        <v/>
      </c>
      <c r="G8" s="82">
        <v>86.6099</v>
      </c>
      <c r="H8" s="82">
        <v>87.06</v>
      </c>
      <c r="I8" s="27">
        <v>-0.00517</v>
      </c>
      <c r="J8" s="82">
        <v>3390026.0</v>
      </c>
      <c r="K8" s="82">
        <v>87.48</v>
      </c>
      <c r="L8" s="82">
        <v>86.22</v>
      </c>
      <c r="M8" s="82">
        <v>87.49</v>
      </c>
      <c r="N8" s="82">
        <v>67.52935</v>
      </c>
      <c r="O8" s="82">
        <v>1.4205217E7</v>
      </c>
      <c r="P8" s="82">
        <v>-13.79</v>
      </c>
      <c r="Q8" s="82">
        <v>-6.28</v>
      </c>
    </row>
    <row r="9">
      <c r="A9" s="81" t="s">
        <v>102</v>
      </c>
      <c r="B9" s="83" t="s">
        <v>103</v>
      </c>
      <c r="C9" s="83" t="s">
        <v>88</v>
      </c>
      <c r="D9" s="83" t="s">
        <v>104</v>
      </c>
      <c r="E9" s="83" t="str">
        <f>IFERROR(__xludf.DUMMYFUNCTION("SPARKLINE(SF_SPARK(A9,""365""))"),"")</f>
        <v/>
      </c>
      <c r="F9" s="82" t="str">
        <f>IFERROR(__xludf.DUMMYFUNCTION("SPARKLINE(SF_SPARK(A9,""60"",""volume""),{""charttype"",""column""})"),"")</f>
        <v/>
      </c>
      <c r="G9" s="82">
        <v>262.33</v>
      </c>
      <c r="H9" s="82">
        <v>256.61</v>
      </c>
      <c r="I9" s="27">
        <v>0.022291</v>
      </c>
      <c r="J9" s="82">
        <v>5.6823649E7</v>
      </c>
      <c r="K9" s="82">
        <v>258.35</v>
      </c>
      <c r="L9" s="82">
        <v>257.5236</v>
      </c>
      <c r="M9" s="82">
        <v>263.34</v>
      </c>
      <c r="N9" s="82">
        <v>228.1236</v>
      </c>
      <c r="O9" s="82">
        <v>1.2033052E8</v>
      </c>
      <c r="P9" s="82">
        <v>84.35</v>
      </c>
      <c r="Q9" s="82">
        <v>3.11</v>
      </c>
    </row>
    <row r="10">
      <c r="A10" s="81" t="s">
        <v>105</v>
      </c>
      <c r="B10" s="83" t="s">
        <v>106</v>
      </c>
      <c r="C10" s="83" t="s">
        <v>88</v>
      </c>
      <c r="D10" s="83" t="s">
        <v>107</v>
      </c>
      <c r="E10" s="83" t="str">
        <f>IFERROR(__xludf.DUMMYFUNCTION("SPARKLINE(SF_SPARK(A10,""365""))"),"")</f>
        <v/>
      </c>
      <c r="F10" s="82" t="str">
        <f>IFERROR(__xludf.DUMMYFUNCTION("SPARKLINE(SF_SPARK(A10,""60"",""volume""),{""charttype"",""column""})"),"")</f>
        <v/>
      </c>
      <c r="G10" s="82">
        <v>128.15</v>
      </c>
      <c r="H10" s="82">
        <v>127.39</v>
      </c>
      <c r="I10" s="27">
        <v>0.005966</v>
      </c>
      <c r="J10" s="82">
        <v>852007.0</v>
      </c>
      <c r="K10" s="82">
        <v>126.9</v>
      </c>
      <c r="L10" s="82">
        <v>126.85</v>
      </c>
      <c r="M10" s="82">
        <v>128.38</v>
      </c>
      <c r="N10" s="82">
        <v>108.46005</v>
      </c>
      <c r="O10" s="82">
        <v>4778174.0</v>
      </c>
      <c r="P10" s="82">
        <v>13.34</v>
      </c>
      <c r="Q10" s="82">
        <v>9.61</v>
      </c>
    </row>
    <row r="11">
      <c r="A11" s="81" t="s">
        <v>108</v>
      </c>
      <c r="B11" s="83" t="s">
        <v>109</v>
      </c>
      <c r="C11" s="83" t="s">
        <v>88</v>
      </c>
      <c r="D11" s="83" t="s">
        <v>110</v>
      </c>
      <c r="E11" s="83" t="str">
        <f>IFERROR(__xludf.DUMMYFUNCTION("SPARKLINE(SF_SPARK(A11,""365""))"),"")</f>
        <v/>
      </c>
      <c r="F11" s="82" t="str">
        <f>IFERROR(__xludf.DUMMYFUNCTION("SPARKLINE(SF_SPARK(A11,""60"",""volume""),{""charttype"",""column""})"),"")</f>
        <v/>
      </c>
      <c r="G11" s="82">
        <v>33.81</v>
      </c>
      <c r="H11" s="82">
        <v>33.86</v>
      </c>
      <c r="I11" s="27">
        <v>-0.001477</v>
      </c>
      <c r="J11" s="82">
        <v>7691505.0</v>
      </c>
      <c r="K11" s="82">
        <v>33.8</v>
      </c>
      <c r="L11" s="82">
        <v>33.66</v>
      </c>
      <c r="M11" s="82">
        <v>33.95</v>
      </c>
      <c r="N11" s="82">
        <v>28.94395</v>
      </c>
      <c r="O11" s="82">
        <v>4.8113785E7</v>
      </c>
      <c r="P11" s="82">
        <v>9.47</v>
      </c>
      <c r="Q11" s="82">
        <v>3.57</v>
      </c>
    </row>
    <row r="12">
      <c r="A12" s="81" t="s">
        <v>111</v>
      </c>
      <c r="B12" s="83" t="s">
        <v>112</v>
      </c>
      <c r="C12" s="83" t="s">
        <v>88</v>
      </c>
      <c r="D12" s="83" t="s">
        <v>94</v>
      </c>
      <c r="E12" s="83" t="str">
        <f>IFERROR(__xludf.DUMMYFUNCTION("SPARKLINE(SF_SPARK(A12,""365""))"),"")</f>
        <v/>
      </c>
      <c r="F12" s="82" t="str">
        <f>IFERROR(__xludf.DUMMYFUNCTION("SPARKLINE(SF_SPARK(A12,""60"",""volume""),{""charttype"",""column""})"),"")</f>
        <v/>
      </c>
      <c r="G12" s="82">
        <v>141.6401</v>
      </c>
      <c r="H12" s="82">
        <v>142.82</v>
      </c>
      <c r="I12" s="27">
        <v>-0.008261</v>
      </c>
      <c r="J12" s="82">
        <v>6330042.0</v>
      </c>
      <c r="K12" s="82">
        <v>142.83</v>
      </c>
      <c r="L12" s="82">
        <v>141.2</v>
      </c>
      <c r="M12" s="82">
        <v>143.31</v>
      </c>
      <c r="N12" s="82">
        <v>125.07358</v>
      </c>
      <c r="O12" s="82">
        <v>2.257478E7</v>
      </c>
      <c r="P12" s="82">
        <v>27.13</v>
      </c>
      <c r="Q12" s="82">
        <v>5.22</v>
      </c>
    </row>
    <row r="13">
      <c r="A13" s="81" t="s">
        <v>113</v>
      </c>
      <c r="B13" s="83" t="s">
        <v>114</v>
      </c>
      <c r="C13" s="83" t="s">
        <v>115</v>
      </c>
      <c r="D13" s="83" t="s">
        <v>116</v>
      </c>
      <c r="E13" s="83" t="str">
        <f>IFERROR(__xludf.DUMMYFUNCTION("SPARKLINE(SF_SPARK(A13,""365""))"),"")</f>
        <v/>
      </c>
      <c r="F13" s="82" t="str">
        <f>IFERROR(__xludf.DUMMYFUNCTION("SPARKLINE(SF_SPARK(A13,""60"",""volume""),{""charttype"",""column""})"),"")</f>
        <v/>
      </c>
      <c r="G13" s="82">
        <v>1448.8</v>
      </c>
      <c r="H13" s="82">
        <v>1449.6</v>
      </c>
      <c r="I13" s="27">
        <v>-5.52E-4</v>
      </c>
      <c r="J13" s="82">
        <v>1012066.0</v>
      </c>
      <c r="K13" s="82">
        <v>1449.8</v>
      </c>
      <c r="L13" s="82">
        <v>1445.6</v>
      </c>
      <c r="M13" s="82">
        <v>1464.6</v>
      </c>
      <c r="N13" s="82">
        <v>1422.538</v>
      </c>
      <c r="O13" s="82">
        <v>7696502.0</v>
      </c>
      <c r="P13" s="82">
        <v>9.79</v>
      </c>
      <c r="Q13" s="82">
        <v>1.48</v>
      </c>
    </row>
    <row r="14">
      <c r="A14" s="81" t="s">
        <v>117</v>
      </c>
      <c r="B14" s="83" t="s">
        <v>118</v>
      </c>
      <c r="C14" s="83" t="s">
        <v>115</v>
      </c>
      <c r="D14" s="83" t="s">
        <v>97</v>
      </c>
      <c r="E14" s="83" t="str">
        <f>IFERROR(__xludf.DUMMYFUNCTION("SPARKLINE(SF_SPARK(A14,""365""))"),"")</f>
        <v/>
      </c>
      <c r="F14" s="82" t="str">
        <f>IFERROR(__xludf.DUMMYFUNCTION("SPARKLINE(SF_SPARK(A14,""60"",""volume""),{""charttype"",""column""})"),"")</f>
        <v/>
      </c>
      <c r="G14" s="82">
        <v>470.0</v>
      </c>
      <c r="H14" s="82">
        <v>467.2</v>
      </c>
      <c r="I14" s="27">
        <v>0.005993000000000001</v>
      </c>
      <c r="J14" s="82">
        <v>1.0445457E7</v>
      </c>
      <c r="K14" s="82">
        <v>472.1</v>
      </c>
      <c r="L14" s="82">
        <v>464.35</v>
      </c>
      <c r="M14" s="82">
        <v>472.1</v>
      </c>
      <c r="N14" s="82">
        <v>491.4945</v>
      </c>
      <c r="O14" s="82">
        <v>4.321009E7</v>
      </c>
      <c r="P14" s="82">
        <v>4.27</v>
      </c>
      <c r="Q14" s="82">
        <v>1.1</v>
      </c>
    </row>
    <row r="15">
      <c r="A15" s="81" t="s">
        <v>119</v>
      </c>
      <c r="B15" s="83" t="s">
        <v>120</v>
      </c>
      <c r="C15" s="83" t="s">
        <v>115</v>
      </c>
      <c r="D15" s="83" t="s">
        <v>121</v>
      </c>
      <c r="E15" s="83" t="str">
        <f>IFERROR(__xludf.DUMMYFUNCTION("SPARKLINE(SF_SPARK(A15,""365""))"),"")</f>
        <v/>
      </c>
      <c r="F15" s="82" t="str">
        <f>IFERROR(__xludf.DUMMYFUNCTION("SPARKLINE(SF_SPARK(A15,""60"",""volume""),{""charttype"",""column""})"),"")</f>
        <v/>
      </c>
      <c r="G15" s="82">
        <v>2853.0</v>
      </c>
      <c r="H15" s="82">
        <v>2841.5</v>
      </c>
      <c r="I15" s="27">
        <v>0.004047</v>
      </c>
      <c r="J15" s="82">
        <v>3029494.0</v>
      </c>
      <c r="K15" s="82">
        <v>2854.5</v>
      </c>
      <c r="L15" s="82">
        <v>2845.5</v>
      </c>
      <c r="M15" s="82">
        <v>2872.5</v>
      </c>
      <c r="N15" s="82">
        <v>3274.105</v>
      </c>
      <c r="O15" s="82">
        <v>4291799.0</v>
      </c>
      <c r="P15" s="82">
        <v>17.29</v>
      </c>
      <c r="Q15" s="82">
        <v>1.65</v>
      </c>
    </row>
    <row r="16">
      <c r="A16" s="81" t="s">
        <v>122</v>
      </c>
      <c r="B16" s="83" t="s">
        <v>123</v>
      </c>
      <c r="C16" s="83" t="s">
        <v>115</v>
      </c>
      <c r="D16" s="83" t="s">
        <v>110</v>
      </c>
      <c r="E16" s="83" t="str">
        <f>IFERROR(__xludf.DUMMYFUNCTION("SPARKLINE(SF_SPARK(A16,""365""))"),"")</f>
        <v/>
      </c>
      <c r="F16" s="82" t="str">
        <f>IFERROR(__xludf.DUMMYFUNCTION("SPARKLINE(SF_SPARK(A16,""60"",""volume""),{""charttype"",""column""})"),"")</f>
        <v/>
      </c>
      <c r="G16" s="82">
        <v>632.6116</v>
      </c>
      <c r="H16" s="82">
        <v>627.8</v>
      </c>
      <c r="I16" s="27">
        <v>0.007664</v>
      </c>
      <c r="J16" s="82">
        <v>6895057.0</v>
      </c>
      <c r="K16" s="82">
        <v>628.2</v>
      </c>
      <c r="L16" s="82">
        <v>624.1</v>
      </c>
      <c r="M16" s="82">
        <v>636.599</v>
      </c>
      <c r="N16" s="82">
        <v>606.4095</v>
      </c>
      <c r="O16" s="82">
        <v>3.3905774E7</v>
      </c>
      <c r="P16" s="82">
        <v>5.8</v>
      </c>
      <c r="Q16" s="82">
        <v>1.09</v>
      </c>
    </row>
    <row r="17">
      <c r="A17" s="84" t="s">
        <v>124</v>
      </c>
      <c r="B17" s="83" t="s">
        <v>125</v>
      </c>
      <c r="C17" s="83" t="s">
        <v>126</v>
      </c>
      <c r="D17" s="83" t="s">
        <v>116</v>
      </c>
      <c r="E17" s="83" t="str">
        <f>IFERROR(__xludf.DUMMYFUNCTION("SPARKLINE(SF_SPARK(A17,""365""))"),"")</f>
        <v/>
      </c>
      <c r="F17" s="82" t="str">
        <f>IFERROR(__xludf.DUMMYFUNCTION("SPARKLINE(SF_SPARK(A17,""60"",""volume""),{""charttype"",""column""})"),"")</f>
        <v/>
      </c>
      <c r="G17" s="82">
        <v>285.65</v>
      </c>
      <c r="H17" s="82">
        <v>282.15</v>
      </c>
      <c r="I17" s="27">
        <v>0.012405</v>
      </c>
      <c r="J17" s="82">
        <v>409028.0</v>
      </c>
      <c r="K17" s="82">
        <v>285.0</v>
      </c>
      <c r="L17" s="82">
        <v>282.57</v>
      </c>
      <c r="M17" s="82">
        <v>287.41</v>
      </c>
      <c r="N17" s="82">
        <v>273.97946</v>
      </c>
      <c r="O17" s="82">
        <v>819863.0</v>
      </c>
      <c r="P17" s="82">
        <v>42.51</v>
      </c>
      <c r="Q17" s="82">
        <v>6.72</v>
      </c>
    </row>
    <row r="18">
      <c r="A18" s="84" t="s">
        <v>127</v>
      </c>
      <c r="B18" s="83" t="s">
        <v>128</v>
      </c>
      <c r="C18" s="83" t="s">
        <v>126</v>
      </c>
      <c r="D18" s="83" t="s">
        <v>110</v>
      </c>
      <c r="E18" s="83" t="str">
        <f>IFERROR(__xludf.DUMMYFUNCTION("SPARKLINE(SF_SPARK(A18,""365""))"),"")</f>
        <v/>
      </c>
      <c r="F18" s="82" t="str">
        <f>IFERROR(__xludf.DUMMYFUNCTION("SPARKLINE(SF_SPARK(A18,""60"",""volume""),{""charttype"",""column""})"),"")</f>
        <v/>
      </c>
      <c r="G18" s="82">
        <v>111.19</v>
      </c>
      <c r="H18" s="82">
        <v>110.5</v>
      </c>
      <c r="I18" s="27">
        <v>0.0062439999999999996</v>
      </c>
      <c r="J18" s="82">
        <v>982569.0</v>
      </c>
      <c r="K18" s="82">
        <v>111.12</v>
      </c>
      <c r="L18" s="82">
        <v>110.76</v>
      </c>
      <c r="M18" s="82">
        <v>111.85</v>
      </c>
      <c r="N18" s="82">
        <v>100.7141</v>
      </c>
      <c r="O18" s="82">
        <v>2090715.0</v>
      </c>
      <c r="P18" s="82">
        <v>18.88</v>
      </c>
      <c r="Q18" s="82">
        <v>5.89</v>
      </c>
    </row>
    <row r="19">
      <c r="A19" s="84" t="s">
        <v>129</v>
      </c>
      <c r="B19" s="83" t="s">
        <v>130</v>
      </c>
      <c r="C19" s="83" t="s">
        <v>126</v>
      </c>
      <c r="D19" s="83" t="s">
        <v>110</v>
      </c>
      <c r="E19" s="83" t="str">
        <f>IFERROR(__xludf.DUMMYFUNCTION("SPARKLINE(SF_SPARK(A19,""365""))"),"")</f>
        <v/>
      </c>
      <c r="F19" s="82" t="str">
        <f>IFERROR(__xludf.DUMMYFUNCTION("SPARKLINE(SF_SPARK(A19,""60"",""volume""),{""charttype"",""column""})"),"")</f>
        <v/>
      </c>
      <c r="G19" s="82">
        <v>30.51</v>
      </c>
      <c r="H19" s="82">
        <v>30.39</v>
      </c>
      <c r="I19" s="27">
        <v>0.003948999999999999</v>
      </c>
      <c r="J19" s="82">
        <v>1803304.0</v>
      </c>
      <c r="K19" s="82">
        <v>30.65</v>
      </c>
      <c r="L19" s="82">
        <v>30.42</v>
      </c>
      <c r="M19" s="82">
        <v>30.76</v>
      </c>
      <c r="N19" s="82">
        <v>27.97145</v>
      </c>
      <c r="O19" s="82">
        <v>4669558.0</v>
      </c>
      <c r="P19" s="82">
        <v>13.27</v>
      </c>
      <c r="Q19" s="82">
        <v>2.3</v>
      </c>
    </row>
    <row r="20">
      <c r="A20" s="84" t="s">
        <v>131</v>
      </c>
      <c r="B20" s="83" t="s">
        <v>132</v>
      </c>
      <c r="C20" s="83" t="s">
        <v>126</v>
      </c>
      <c r="D20" s="83" t="s">
        <v>133</v>
      </c>
      <c r="E20" s="83" t="str">
        <f>IFERROR(__xludf.DUMMYFUNCTION("SPARKLINE(SF_SPARK(A20,""365""))"),"")</f>
        <v/>
      </c>
      <c r="F20" s="82" t="str">
        <f>IFERROR(__xludf.DUMMYFUNCTION("SPARKLINE(SF_SPARK(A20,""60"",""volume""),{""charttype"",""column""})"),"")</f>
        <v/>
      </c>
      <c r="G20" s="82">
        <v>50.26</v>
      </c>
      <c r="H20" s="82">
        <v>49.73</v>
      </c>
      <c r="I20" s="27">
        <v>0.010658</v>
      </c>
      <c r="J20" s="82">
        <v>5435127.0</v>
      </c>
      <c r="K20" s="82">
        <v>50.0</v>
      </c>
      <c r="L20" s="82">
        <v>49.9</v>
      </c>
      <c r="M20" s="82">
        <v>50.6</v>
      </c>
      <c r="N20" s="82">
        <v>45.06245</v>
      </c>
      <c r="O20" s="82">
        <v>7408823.0</v>
      </c>
      <c r="P20" s="82">
        <v>13.3</v>
      </c>
      <c r="Q20" s="82">
        <v>3.78</v>
      </c>
    </row>
    <row r="21">
      <c r="A21" s="84" t="s">
        <v>134</v>
      </c>
      <c r="B21" s="83" t="s">
        <v>135</v>
      </c>
      <c r="C21" s="83" t="s">
        <v>126</v>
      </c>
      <c r="D21" s="83" t="s">
        <v>136</v>
      </c>
      <c r="E21" s="83" t="str">
        <f>IFERROR(__xludf.DUMMYFUNCTION("SPARKLINE(SF_SPARK(A21,""365""))"),"")</f>
        <v/>
      </c>
      <c r="F21" s="82" t="str">
        <f>IFERROR(__xludf.DUMMYFUNCTION("SPARKLINE(SF_SPARK(A21,""60"",""volume""),{""charttype"",""column""})"),"")</f>
        <v/>
      </c>
      <c r="G21" s="82">
        <v>9.39</v>
      </c>
      <c r="H21" s="82">
        <v>9.36</v>
      </c>
      <c r="I21" s="27">
        <v>0.003205</v>
      </c>
      <c r="J21" s="82">
        <v>609293.0</v>
      </c>
      <c r="K21" s="82">
        <v>9.38</v>
      </c>
      <c r="L21" s="82">
        <v>9.34</v>
      </c>
      <c r="M21" s="82">
        <v>9.48</v>
      </c>
      <c r="N21" s="82">
        <v>10.0715</v>
      </c>
      <c r="O21" s="82">
        <v>1906145.0</v>
      </c>
      <c r="P21" s="82">
        <v>-4.99</v>
      </c>
      <c r="Q21" s="82">
        <v>-1.88</v>
      </c>
    </row>
    <row r="22">
      <c r="A22" s="85"/>
      <c r="B22" s="83"/>
      <c r="C22" s="86"/>
      <c r="D22" s="86"/>
      <c r="E22" s="86"/>
      <c r="I22" s="27"/>
    </row>
    <row r="23">
      <c r="A23" s="85"/>
      <c r="B23" s="83"/>
      <c r="C23" s="86"/>
      <c r="D23" s="86"/>
      <c r="E23" s="86"/>
      <c r="I23" s="27"/>
    </row>
    <row r="24">
      <c r="A24" s="87"/>
      <c r="B24" s="83"/>
      <c r="C24" s="86"/>
      <c r="D24" s="86"/>
      <c r="E24" s="86"/>
      <c r="I24" s="27"/>
    </row>
    <row r="25">
      <c r="A25" s="87"/>
      <c r="B25" s="83"/>
      <c r="C25" s="88"/>
      <c r="D25" s="88"/>
      <c r="E25" s="88"/>
      <c r="I25" s="27"/>
    </row>
    <row r="26">
      <c r="A26" s="87"/>
      <c r="B26" s="83"/>
      <c r="C26" s="86"/>
      <c r="D26" s="86"/>
      <c r="E26" s="86"/>
      <c r="I26" s="27"/>
    </row>
    <row r="27">
      <c r="A27" s="87"/>
      <c r="B27" s="83"/>
      <c r="C27" s="86"/>
      <c r="D27" s="86"/>
      <c r="E27" s="86"/>
      <c r="I27" s="27"/>
    </row>
    <row r="28">
      <c r="A28" s="87"/>
      <c r="B28" s="83"/>
      <c r="C28" s="86"/>
      <c r="D28" s="86"/>
      <c r="E28" s="86"/>
      <c r="I28" s="27"/>
    </row>
    <row r="29">
      <c r="A29" s="87"/>
      <c r="B29" s="83"/>
      <c r="C29" s="86"/>
      <c r="D29" s="86"/>
      <c r="E29" s="86"/>
      <c r="I29" s="27"/>
    </row>
    <row r="30">
      <c r="A30" s="87"/>
      <c r="B30" s="83"/>
      <c r="C30" s="86"/>
      <c r="D30" s="86"/>
      <c r="E30" s="86"/>
      <c r="I30" s="27"/>
    </row>
    <row r="31">
      <c r="A31" s="87"/>
      <c r="B31" s="83"/>
      <c r="C31" s="86"/>
      <c r="D31" s="86"/>
      <c r="E31" s="86"/>
      <c r="I31" s="27"/>
    </row>
    <row r="32">
      <c r="A32" s="87"/>
      <c r="B32" s="83"/>
      <c r="C32" s="86"/>
      <c r="D32" s="86"/>
      <c r="E32" s="86"/>
      <c r="I32" s="27"/>
    </row>
    <row r="33">
      <c r="A33" s="87"/>
      <c r="B33" s="83"/>
      <c r="C33" s="86"/>
      <c r="D33" s="86"/>
      <c r="E33" s="86"/>
      <c r="I33" s="27"/>
    </row>
    <row r="34">
      <c r="A34" s="87"/>
      <c r="B34" s="83"/>
      <c r="C34" s="86"/>
      <c r="D34" s="86"/>
      <c r="E34" s="86"/>
      <c r="I34" s="27"/>
    </row>
    <row r="35">
      <c r="I35" s="27"/>
    </row>
    <row r="36">
      <c r="I36" s="27"/>
    </row>
    <row r="37">
      <c r="I37" s="27"/>
    </row>
    <row r="38">
      <c r="I38" s="27"/>
    </row>
    <row r="39">
      <c r="I39" s="27"/>
    </row>
    <row r="40">
      <c r="I40" s="27"/>
    </row>
    <row r="41">
      <c r="I41" s="27"/>
    </row>
    <row r="42">
      <c r="I42" s="27"/>
    </row>
    <row r="43">
      <c r="I43" s="27"/>
    </row>
    <row r="44">
      <c r="I44" s="27"/>
    </row>
    <row r="45">
      <c r="I45" s="27"/>
    </row>
    <row r="46">
      <c r="I46" s="27"/>
    </row>
    <row r="47">
      <c r="I47" s="27"/>
    </row>
    <row r="48">
      <c r="I48" s="27"/>
    </row>
    <row r="49">
      <c r="I49" s="27"/>
    </row>
  </sheetData>
  <conditionalFormatting sqref="I3:I27 I29:I34">
    <cfRule type="cellIs" dxfId="4" priority="1" operator="greaterThan">
      <formula>0</formula>
    </cfRule>
  </conditionalFormatting>
  <conditionalFormatting sqref="I3:I27 I29:I34">
    <cfRule type="cellIs" dxfId="5" priority="2" operator="lessThan">
      <formula>0</formula>
    </cfRule>
  </conditionalFormatting>
  <conditionalFormatting sqref="J3:J34">
    <cfRule type="cellIs" dxfId="3" priority="3" operator="greaterThan">
      <formula>O3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3.25"/>
    <col customWidth="1" min="3" max="3" width="8.0"/>
    <col customWidth="1" min="4" max="4" width="14.13"/>
    <col customWidth="1" min="5" max="5" width="10.63"/>
    <col customWidth="1" min="6" max="6" width="10.13"/>
    <col customWidth="1" min="7" max="7" width="11.25"/>
    <col customWidth="1" min="8" max="8" width="10.75"/>
    <col customWidth="1" min="9" max="9" width="10.38"/>
    <col customWidth="1" min="10" max="10" width="10.75"/>
    <col customWidth="1" min="11" max="11" width="13.25"/>
    <col customWidth="1" min="12" max="12" width="11.25"/>
    <col customWidth="1" min="13" max="13" width="9.75"/>
    <col customWidth="1" min="14" max="14" width="10.88"/>
    <col customWidth="1" min="15" max="15" width="17.25"/>
    <col customWidth="1" min="16" max="16" width="8.5"/>
    <col customWidth="1" min="17" max="17" width="9.38"/>
    <col customWidth="1" min="18" max="18" width="8.88"/>
    <col customWidth="1" min="19" max="20" width="10.0"/>
  </cols>
  <sheetData>
    <row r="2">
      <c r="B2" s="89" t="s">
        <v>137</v>
      </c>
      <c r="C2" s="90"/>
      <c r="D2" s="91">
        <f>SUM($Q$44:$Q$61)</f>
        <v>8552.077</v>
      </c>
      <c r="E2" s="92">
        <f>SUM(T44:T61)</f>
        <v>0.2099303148</v>
      </c>
      <c r="G2" s="93" t="s">
        <v>138</v>
      </c>
      <c r="H2" s="93"/>
    </row>
    <row r="3">
      <c r="G3" s="94" t="s">
        <v>139</v>
      </c>
      <c r="H3" s="94">
        <v>1000.0</v>
      </c>
    </row>
    <row r="4">
      <c r="G4" s="94" t="s">
        <v>140</v>
      </c>
      <c r="H4" s="95">
        <v>10000.0</v>
      </c>
    </row>
    <row r="5">
      <c r="A5" s="96" t="s">
        <v>141</v>
      </c>
      <c r="B5" s="97"/>
    </row>
    <row r="6">
      <c r="A6" s="98" t="s">
        <v>79</v>
      </c>
      <c r="B6" s="99" t="s">
        <v>142</v>
      </c>
      <c r="C6" s="99" t="s">
        <v>143</v>
      </c>
      <c r="D6" s="99" t="s">
        <v>144</v>
      </c>
      <c r="E6" s="99" t="s">
        <v>145</v>
      </c>
      <c r="F6" s="99" t="s">
        <v>146</v>
      </c>
      <c r="G6" s="99" t="s">
        <v>147</v>
      </c>
      <c r="H6" s="99" t="s">
        <v>48</v>
      </c>
      <c r="I6" s="99" t="s">
        <v>2</v>
      </c>
      <c r="J6" s="99" t="s">
        <v>148</v>
      </c>
      <c r="K6" s="100" t="s">
        <v>149</v>
      </c>
    </row>
    <row r="7">
      <c r="A7" s="101" t="str">
        <f>IFERROR(__xludf.DUMMYFUNCTION("UNIQUE(FILTER(OFFSET($C$27,0,0,$H$3),ArrayFormula(IF(SUMIF(OFFSET($C$27,0,0,$H$3)&amp;OFFSET($B$27,0,0,H3),OFFSET($C$27,0,0,H3)&amp;""buy"",OFFSET($D$27,0,0,H3))-SUMIF(OFFSET($C$27,0,0,$H$3)&amp;OFFSET($B$27,0,0,H3),OFFSET($C$27,0,0,$H$3)&amp;""sell"",OFFSET($D$27,0,0,$H"&amp;"$3))&gt;0,TRUE))))"),"AAPL")</f>
        <v>AAPL</v>
      </c>
      <c r="B7" s="102" t="str">
        <f t="shared" ref="B7:B21" si="1">IFERROR(SF(A7,"companyInfo","name"),"--")</f>
        <v>Apple Inc.</v>
      </c>
      <c r="C7" s="103" t="str">
        <f t="shared" ref="C7:C21" si="2">IFERROR(SF(A7,"companyInfo","exchange"),"")</f>
        <v>NASDAQ</v>
      </c>
      <c r="D7" s="103">
        <f t="shared" ref="D7:D21" si="3">IFERROR(((SUMIFS(OFFSET($G$27,0,0,$H$3),OFFSET($C$27,0,0,$H$3),A7,OFFSET($B$27,0,0,$H$3),"buy")-SUMIFS(OFFSET($G$27,0,0,$H$3),OFFSET($C$27,0,0,$H$3),A7,OFFSET($B$27,0,0,$H$3),"sell"))-SUMIF(OFFSET($C$27,0,0,$H$3),A7,OFFSET($F$27,0,0,$H$3)))/(SUMIFS(OFFSET($D$27,0,0,$H$3),OFFSET($C$27,0,0,$H$3),A7,OFFSET($B$27,0,0,$H$3),"buy")-SUMIFS(OFFSET($D$27,0,0,$H$3),OFFSET($C$27,0,0,$H$3),A7,OFFSET($B$27,0,0,$H$3),"sell")),"--")</f>
        <v>90.4</v>
      </c>
      <c r="E7" s="49">
        <f t="shared" ref="E7:E21" si="4">IFERROR((H7-D7)/D7,"--")</f>
        <v>0.8769911504</v>
      </c>
      <c r="F7" s="104">
        <f t="shared" ref="F7:F21" si="5">IFERROR((H7-D7)*G7,"--")</f>
        <v>396.4</v>
      </c>
      <c r="G7" s="105">
        <f t="shared" ref="G7:G21" si="6">IFERROR((SUMIFS(OFFSET($D$27,0,0,$H$3),OFFSET($C$27,0,0,$H$3),A7,OFFSET($B$27,0,0,$H$3),"buy")-SUMIFS(OFFSET($D$27,0,0,$H$3),OFFSET($C$27,0,0,$H$3),A7,OFFSET($B$27,0,0,$H$3),"sell")),"--")</f>
        <v>5</v>
      </c>
      <c r="H7" s="103">
        <f t="shared" ref="H7:H21" si="7">IFERROR(SF(A7),"--")</f>
        <v>169.68</v>
      </c>
      <c r="I7" s="49">
        <f t="shared" ref="I7:I21" si="8">IFERROR(SF(A7,"realTime","changesPercentage",""),"--")</f>
        <v>0.007541</v>
      </c>
      <c r="J7" s="103">
        <f t="shared" ref="J7:J21" si="9">IFERROR(G7*H7,"--")</f>
        <v>848.4</v>
      </c>
      <c r="K7" s="106">
        <f t="shared" ref="K7:K22" si="10">IFERROR(J7/SUMIF($J$7:$J$22,"&lt;&gt;--"),"")</f>
        <v>0.01297193617</v>
      </c>
    </row>
    <row r="8">
      <c r="A8" s="107" t="str">
        <f>IFERROR(__xludf.DUMMYFUNCTION("""COMPUTED_VALUE"""),"MSFT")</f>
        <v>MSFT</v>
      </c>
      <c r="B8" s="102" t="str">
        <f t="shared" si="1"/>
        <v>Microsoft Corporation</v>
      </c>
      <c r="C8" s="103" t="str">
        <f t="shared" si="2"/>
        <v>NASDAQ</v>
      </c>
      <c r="D8" s="103">
        <f t="shared" si="3"/>
        <v>248.53</v>
      </c>
      <c r="E8" s="49">
        <f t="shared" si="4"/>
        <v>0.2363094999</v>
      </c>
      <c r="F8" s="104">
        <f t="shared" si="5"/>
        <v>3230.15</v>
      </c>
      <c r="G8" s="105">
        <f t="shared" si="6"/>
        <v>55</v>
      </c>
      <c r="H8" s="103">
        <f t="shared" si="7"/>
        <v>307.26</v>
      </c>
      <c r="I8" s="49">
        <f t="shared" si="8"/>
        <v>0.007972</v>
      </c>
      <c r="J8" s="103">
        <f t="shared" si="9"/>
        <v>16899.3</v>
      </c>
      <c r="K8" s="106">
        <f t="shared" si="10"/>
        <v>0.2583883085</v>
      </c>
    </row>
    <row r="9">
      <c r="A9" s="107" t="str">
        <f>IFERROR(__xludf.DUMMYFUNCTION("""COMPUTED_VALUE"""),"BAC")</f>
        <v>BAC</v>
      </c>
      <c r="B9" s="102" t="str">
        <f t="shared" si="1"/>
        <v>Bank of America Corporation</v>
      </c>
      <c r="C9" s="103" t="str">
        <f t="shared" si="2"/>
        <v>NYSE</v>
      </c>
      <c r="D9" s="103">
        <f t="shared" si="3"/>
        <v>35.79</v>
      </c>
      <c r="E9" s="49">
        <f t="shared" si="4"/>
        <v>-0.1818943839</v>
      </c>
      <c r="F9" s="104">
        <f t="shared" si="5"/>
        <v>-325.5</v>
      </c>
      <c r="G9" s="105">
        <f t="shared" si="6"/>
        <v>50</v>
      </c>
      <c r="H9" s="103">
        <f t="shared" si="7"/>
        <v>29.28</v>
      </c>
      <c r="I9" s="49">
        <f t="shared" si="8"/>
        <v>0.0135</v>
      </c>
      <c r="J9" s="103">
        <f t="shared" si="9"/>
        <v>1464</v>
      </c>
      <c r="K9" s="106">
        <f t="shared" si="10"/>
        <v>0.02238438773</v>
      </c>
    </row>
    <row r="10">
      <c r="A10" s="107" t="str">
        <f>IFERROR(__xludf.DUMMYFUNCTION("""COMPUTED_VALUE"""),"SPY")</f>
        <v>SPY</v>
      </c>
      <c r="B10" s="102" t="str">
        <f t="shared" si="1"/>
        <v>SPDR S&amp;P 500 ETF Trust</v>
      </c>
      <c r="C10" s="103" t="str">
        <f t="shared" si="2"/>
        <v>AMEX</v>
      </c>
      <c r="D10" s="103">
        <f t="shared" si="3"/>
        <v>450</v>
      </c>
      <c r="E10" s="49">
        <f t="shared" si="4"/>
        <v>-0.07571111111</v>
      </c>
      <c r="F10" s="104">
        <f t="shared" si="5"/>
        <v>-1022.1</v>
      </c>
      <c r="G10" s="105">
        <f t="shared" si="6"/>
        <v>30</v>
      </c>
      <c r="H10" s="103">
        <f t="shared" si="7"/>
        <v>415.93</v>
      </c>
      <c r="I10" s="49">
        <f t="shared" si="8"/>
        <v>0.008535</v>
      </c>
      <c r="J10" s="103">
        <f t="shared" si="9"/>
        <v>12477.9</v>
      </c>
      <c r="K10" s="106">
        <f t="shared" si="10"/>
        <v>0.1907856227</v>
      </c>
    </row>
    <row r="11">
      <c r="A11" s="107" t="str">
        <f>IFERROR(__xludf.DUMMYFUNCTION("""COMPUTED_VALUE"""),"V")</f>
        <v>V</v>
      </c>
      <c r="B11" s="102" t="str">
        <f t="shared" si="1"/>
        <v>Visa Inc.</v>
      </c>
      <c r="C11" s="103" t="str">
        <f t="shared" si="2"/>
        <v>NYSE</v>
      </c>
      <c r="D11" s="103">
        <f t="shared" si="3"/>
        <v>220</v>
      </c>
      <c r="E11" s="49">
        <f t="shared" si="4"/>
        <v>0.05786363636</v>
      </c>
      <c r="F11" s="104">
        <f t="shared" si="5"/>
        <v>254.6</v>
      </c>
      <c r="G11" s="105">
        <f t="shared" si="6"/>
        <v>20</v>
      </c>
      <c r="H11" s="103">
        <f t="shared" si="7"/>
        <v>232.73</v>
      </c>
      <c r="I11" s="49">
        <f t="shared" si="8"/>
        <v>0.016244</v>
      </c>
      <c r="J11" s="103">
        <f t="shared" si="9"/>
        <v>4654.6</v>
      </c>
      <c r="K11" s="106">
        <f t="shared" si="10"/>
        <v>0.0711682863</v>
      </c>
    </row>
    <row r="12">
      <c r="A12" s="107" t="str">
        <f>IFERROR(__xludf.DUMMYFUNCTION("""COMPUTED_VALUE"""),"ETHUSD")</f>
        <v>ETHUSD</v>
      </c>
      <c r="B12" s="102" t="str">
        <f t="shared" si="1"/>
        <v>Ethereum USD</v>
      </c>
      <c r="C12" s="103" t="str">
        <f t="shared" si="2"/>
        <v>CRYPTO</v>
      </c>
      <c r="D12" s="103">
        <f t="shared" si="3"/>
        <v>1300</v>
      </c>
      <c r="E12" s="49">
        <f t="shared" si="4"/>
        <v>0.4660405385</v>
      </c>
      <c r="F12" s="104">
        <f t="shared" si="5"/>
        <v>6058.527</v>
      </c>
      <c r="G12" s="105">
        <f t="shared" si="6"/>
        <v>10</v>
      </c>
      <c r="H12" s="103">
        <f t="shared" si="7"/>
        <v>1905.8527</v>
      </c>
      <c r="I12" s="49">
        <f t="shared" si="8"/>
        <v>0.00755</v>
      </c>
      <c r="J12" s="103">
        <f t="shared" si="9"/>
        <v>19058.527</v>
      </c>
      <c r="K12" s="106">
        <f t="shared" si="10"/>
        <v>0.2914026352</v>
      </c>
    </row>
    <row r="13">
      <c r="A13" s="101"/>
      <c r="B13" s="102" t="str">
        <f t="shared" si="1"/>
        <v>--</v>
      </c>
      <c r="C13" s="103" t="str">
        <f t="shared" si="2"/>
        <v/>
      </c>
      <c r="D13" s="103" t="str">
        <f t="shared" si="3"/>
        <v>--</v>
      </c>
      <c r="E13" s="49" t="str">
        <f t="shared" si="4"/>
        <v>--</v>
      </c>
      <c r="F13" s="104" t="str">
        <f t="shared" si="5"/>
        <v>--</v>
      </c>
      <c r="G13" s="105">
        <f t="shared" si="6"/>
        <v>0</v>
      </c>
      <c r="H13" s="103" t="str">
        <f t="shared" si="7"/>
        <v>--</v>
      </c>
      <c r="I13" s="49" t="str">
        <f t="shared" si="8"/>
        <v>--</v>
      </c>
      <c r="J13" s="103" t="str">
        <f t="shared" si="9"/>
        <v>--</v>
      </c>
      <c r="K13" s="106" t="str">
        <f t="shared" si="10"/>
        <v/>
      </c>
    </row>
    <row r="14">
      <c r="A14" s="101"/>
      <c r="B14" s="102" t="str">
        <f t="shared" si="1"/>
        <v>--</v>
      </c>
      <c r="C14" s="103" t="str">
        <f t="shared" si="2"/>
        <v/>
      </c>
      <c r="D14" s="103" t="str">
        <f t="shared" si="3"/>
        <v>--</v>
      </c>
      <c r="E14" s="49" t="str">
        <f t="shared" si="4"/>
        <v>--</v>
      </c>
      <c r="F14" s="104" t="str">
        <f t="shared" si="5"/>
        <v>--</v>
      </c>
      <c r="G14" s="105">
        <f t="shared" si="6"/>
        <v>0</v>
      </c>
      <c r="H14" s="103" t="str">
        <f t="shared" si="7"/>
        <v>--</v>
      </c>
      <c r="I14" s="49" t="str">
        <f t="shared" si="8"/>
        <v>--</v>
      </c>
      <c r="J14" s="103" t="str">
        <f t="shared" si="9"/>
        <v>--</v>
      </c>
      <c r="K14" s="106" t="str">
        <f t="shared" si="10"/>
        <v/>
      </c>
    </row>
    <row r="15">
      <c r="A15" s="101"/>
      <c r="B15" s="102" t="str">
        <f t="shared" si="1"/>
        <v>--</v>
      </c>
      <c r="C15" s="103" t="str">
        <f t="shared" si="2"/>
        <v/>
      </c>
      <c r="D15" s="103" t="str">
        <f t="shared" si="3"/>
        <v>--</v>
      </c>
      <c r="E15" s="49" t="str">
        <f t="shared" si="4"/>
        <v>--</v>
      </c>
      <c r="F15" s="104" t="str">
        <f t="shared" si="5"/>
        <v>--</v>
      </c>
      <c r="G15" s="105">
        <f t="shared" si="6"/>
        <v>0</v>
      </c>
      <c r="H15" s="103" t="str">
        <f t="shared" si="7"/>
        <v>--</v>
      </c>
      <c r="I15" s="49" t="str">
        <f t="shared" si="8"/>
        <v>--</v>
      </c>
      <c r="J15" s="103" t="str">
        <f t="shared" si="9"/>
        <v>--</v>
      </c>
      <c r="K15" s="106" t="str">
        <f t="shared" si="10"/>
        <v/>
      </c>
    </row>
    <row r="16">
      <c r="A16" s="101"/>
      <c r="B16" s="102" t="str">
        <f t="shared" si="1"/>
        <v>--</v>
      </c>
      <c r="C16" s="103" t="str">
        <f t="shared" si="2"/>
        <v/>
      </c>
      <c r="D16" s="103" t="str">
        <f t="shared" si="3"/>
        <v>--</v>
      </c>
      <c r="E16" s="49" t="str">
        <f t="shared" si="4"/>
        <v>--</v>
      </c>
      <c r="F16" s="104" t="str">
        <f t="shared" si="5"/>
        <v>--</v>
      </c>
      <c r="G16" s="105">
        <f t="shared" si="6"/>
        <v>0</v>
      </c>
      <c r="H16" s="103" t="str">
        <f t="shared" si="7"/>
        <v>--</v>
      </c>
      <c r="I16" s="49" t="str">
        <f t="shared" si="8"/>
        <v>--</v>
      </c>
      <c r="J16" s="103" t="str">
        <f t="shared" si="9"/>
        <v>--</v>
      </c>
      <c r="K16" s="106" t="str">
        <f t="shared" si="10"/>
        <v/>
      </c>
    </row>
    <row r="17">
      <c r="A17" s="101"/>
      <c r="B17" s="102" t="str">
        <f t="shared" si="1"/>
        <v>--</v>
      </c>
      <c r="C17" s="103" t="str">
        <f t="shared" si="2"/>
        <v/>
      </c>
      <c r="D17" s="103" t="str">
        <f t="shared" si="3"/>
        <v>--</v>
      </c>
      <c r="E17" s="49" t="str">
        <f t="shared" si="4"/>
        <v>--</v>
      </c>
      <c r="F17" s="104" t="str">
        <f t="shared" si="5"/>
        <v>--</v>
      </c>
      <c r="G17" s="105">
        <f t="shared" si="6"/>
        <v>0</v>
      </c>
      <c r="H17" s="103" t="str">
        <f t="shared" si="7"/>
        <v>--</v>
      </c>
      <c r="I17" s="49" t="str">
        <f t="shared" si="8"/>
        <v>--</v>
      </c>
      <c r="J17" s="103" t="str">
        <f t="shared" si="9"/>
        <v>--</v>
      </c>
      <c r="K17" s="106" t="str">
        <f t="shared" si="10"/>
        <v/>
      </c>
    </row>
    <row r="18">
      <c r="A18" s="101"/>
      <c r="B18" s="102" t="str">
        <f t="shared" si="1"/>
        <v>--</v>
      </c>
      <c r="C18" s="103" t="str">
        <f t="shared" si="2"/>
        <v/>
      </c>
      <c r="D18" s="103" t="str">
        <f t="shared" si="3"/>
        <v>--</v>
      </c>
      <c r="E18" s="49" t="str">
        <f t="shared" si="4"/>
        <v>--</v>
      </c>
      <c r="F18" s="104" t="str">
        <f t="shared" si="5"/>
        <v>--</v>
      </c>
      <c r="G18" s="105">
        <f t="shared" si="6"/>
        <v>0</v>
      </c>
      <c r="H18" s="103" t="str">
        <f t="shared" si="7"/>
        <v>--</v>
      </c>
      <c r="I18" s="49" t="str">
        <f t="shared" si="8"/>
        <v>--</v>
      </c>
      <c r="J18" s="103" t="str">
        <f t="shared" si="9"/>
        <v>--</v>
      </c>
      <c r="K18" s="106" t="str">
        <f t="shared" si="10"/>
        <v/>
      </c>
    </row>
    <row r="19">
      <c r="A19" s="101"/>
      <c r="B19" s="102" t="str">
        <f t="shared" si="1"/>
        <v>--</v>
      </c>
      <c r="C19" s="103" t="str">
        <f t="shared" si="2"/>
        <v/>
      </c>
      <c r="D19" s="103" t="str">
        <f t="shared" si="3"/>
        <v>--</v>
      </c>
      <c r="E19" s="49" t="str">
        <f t="shared" si="4"/>
        <v>--</v>
      </c>
      <c r="F19" s="104" t="str">
        <f t="shared" si="5"/>
        <v>--</v>
      </c>
      <c r="G19" s="105">
        <f t="shared" si="6"/>
        <v>0</v>
      </c>
      <c r="H19" s="103" t="str">
        <f t="shared" si="7"/>
        <v>--</v>
      </c>
      <c r="I19" s="49" t="str">
        <f t="shared" si="8"/>
        <v>--</v>
      </c>
      <c r="J19" s="103" t="str">
        <f t="shared" si="9"/>
        <v>--</v>
      </c>
      <c r="K19" s="106" t="str">
        <f t="shared" si="10"/>
        <v/>
      </c>
    </row>
    <row r="20">
      <c r="A20" s="101"/>
      <c r="B20" s="102" t="str">
        <f t="shared" si="1"/>
        <v>--</v>
      </c>
      <c r="C20" s="103" t="str">
        <f t="shared" si="2"/>
        <v/>
      </c>
      <c r="D20" s="103" t="str">
        <f t="shared" si="3"/>
        <v>--</v>
      </c>
      <c r="E20" s="49" t="str">
        <f t="shared" si="4"/>
        <v>--</v>
      </c>
      <c r="F20" s="104" t="str">
        <f t="shared" si="5"/>
        <v>--</v>
      </c>
      <c r="G20" s="105">
        <f t="shared" si="6"/>
        <v>0</v>
      </c>
      <c r="H20" s="103" t="str">
        <f t="shared" si="7"/>
        <v>--</v>
      </c>
      <c r="I20" s="49" t="str">
        <f t="shared" si="8"/>
        <v>--</v>
      </c>
      <c r="J20" s="103" t="str">
        <f t="shared" si="9"/>
        <v>--</v>
      </c>
      <c r="K20" s="106" t="str">
        <f t="shared" si="10"/>
        <v/>
      </c>
    </row>
    <row r="21">
      <c r="A21" s="101"/>
      <c r="B21" s="102" t="str">
        <f t="shared" si="1"/>
        <v>--</v>
      </c>
      <c r="C21" s="103" t="str">
        <f t="shared" si="2"/>
        <v/>
      </c>
      <c r="D21" s="103" t="str">
        <f t="shared" si="3"/>
        <v>--</v>
      </c>
      <c r="E21" s="49" t="str">
        <f t="shared" si="4"/>
        <v>--</v>
      </c>
      <c r="F21" s="104" t="str">
        <f t="shared" si="5"/>
        <v>--</v>
      </c>
      <c r="G21" s="105">
        <f t="shared" si="6"/>
        <v>0</v>
      </c>
      <c r="H21" s="103" t="str">
        <f t="shared" si="7"/>
        <v>--</v>
      </c>
      <c r="I21" s="49" t="str">
        <f t="shared" si="8"/>
        <v>--</v>
      </c>
      <c r="J21" s="103" t="str">
        <f t="shared" si="9"/>
        <v>--</v>
      </c>
      <c r="K21" s="106" t="str">
        <f t="shared" si="10"/>
        <v/>
      </c>
    </row>
    <row r="22">
      <c r="A22" s="107" t="s">
        <v>140</v>
      </c>
      <c r="B22" s="102"/>
      <c r="C22" s="52"/>
      <c r="D22" s="52"/>
      <c r="E22" s="52"/>
      <c r="F22" s="105"/>
      <c r="G22" s="105"/>
      <c r="H22" s="52"/>
      <c r="I22" s="52"/>
      <c r="J22" s="108">
        <f>H4</f>
        <v>10000</v>
      </c>
      <c r="K22" s="106">
        <f t="shared" si="10"/>
        <v>0.1528988233</v>
      </c>
    </row>
    <row r="23">
      <c r="A23" s="109"/>
      <c r="B23" s="110"/>
      <c r="C23" s="111"/>
      <c r="D23" s="111"/>
      <c r="E23" s="111"/>
      <c r="F23" s="112">
        <f>SUM(F7:F21)</f>
        <v>8592.077</v>
      </c>
      <c r="G23" s="111"/>
      <c r="H23" s="111"/>
      <c r="I23" s="111"/>
      <c r="J23" s="111"/>
      <c r="K23" s="113"/>
    </row>
    <row r="24">
      <c r="F24" s="86"/>
    </row>
    <row r="25">
      <c r="A25" s="96" t="s">
        <v>150</v>
      </c>
      <c r="B25" s="97"/>
      <c r="J25" s="96" t="s">
        <v>35</v>
      </c>
      <c r="K25" s="97"/>
    </row>
    <row r="26">
      <c r="A26" s="98" t="s">
        <v>151</v>
      </c>
      <c r="B26" s="99" t="s">
        <v>152</v>
      </c>
      <c r="C26" s="99" t="s">
        <v>79</v>
      </c>
      <c r="D26" s="99" t="s">
        <v>147</v>
      </c>
      <c r="E26" s="99" t="s">
        <v>1</v>
      </c>
      <c r="F26" s="99" t="s">
        <v>153</v>
      </c>
      <c r="G26" s="98" t="s">
        <v>154</v>
      </c>
      <c r="H26" s="100" t="s">
        <v>155</v>
      </c>
      <c r="J26" s="114"/>
      <c r="K26" s="115" t="s">
        <v>142</v>
      </c>
      <c r="L26" s="115" t="s">
        <v>80</v>
      </c>
      <c r="M26" s="99" t="s">
        <v>81</v>
      </c>
      <c r="N26" s="99" t="s">
        <v>156</v>
      </c>
      <c r="O26" s="115" t="s">
        <v>16</v>
      </c>
      <c r="P26" s="115" t="s">
        <v>18</v>
      </c>
      <c r="Q26" s="115" t="s">
        <v>20</v>
      </c>
      <c r="R26" s="115" t="s">
        <v>157</v>
      </c>
      <c r="S26" s="115" t="s">
        <v>22</v>
      </c>
      <c r="T26" s="116" t="s">
        <v>24</v>
      </c>
    </row>
    <row r="27">
      <c r="A27" s="117">
        <v>44197.0</v>
      </c>
      <c r="B27" s="35" t="s">
        <v>158</v>
      </c>
      <c r="C27" s="35" t="s">
        <v>0</v>
      </c>
      <c r="D27" s="118">
        <v>20.0</v>
      </c>
      <c r="E27" s="119">
        <v>126.6</v>
      </c>
      <c r="F27" s="119">
        <v>2.0</v>
      </c>
      <c r="G27" s="120">
        <f>IF(D27="","",D27*E27)</f>
        <v>2532</v>
      </c>
      <c r="H27" s="121">
        <f t="shared" ref="H27:H127" si="11">IF(D27="","",D27*E27+F27)</f>
        <v>2534</v>
      </c>
      <c r="J27" s="122" t="str">
        <f>IFERROR(__xludf.DUMMYFUNCTION("UNIQUE(FILTER(OFFSET($C$27,0,0,$H$3),ArrayFormula(IF(SUMIF(OFFSET($C$27,0,0,$H$3)&amp;OFFSET($B$27,0,0,H3),OFFSET($C$27,0,0,H3)&amp;""buy"",OFFSET($D$27,0,0,H3))-SUMIF(OFFSET($C$27,0,0,$H$3)&amp;OFFSET($B$27,0,0,H3),OFFSET($C$27,0,0,$H$3)&amp;""sell"",OFFSET($D$27,0,0,$H"&amp;"$3))&gt;0,TRUE))))"),"AAPL")</f>
        <v>AAPL</v>
      </c>
      <c r="K27" s="123" t="str">
        <f t="shared" ref="K27:K40" si="12">IFERROR(SF(J27,"companyInfo","name","null"),"--")</f>
        <v>Apple Inc.</v>
      </c>
      <c r="L27" s="124" t="str">
        <f t="shared" ref="L27:L40" si="13">IFERROR(SF(J27,"companyInfo","country","null"),"--")</f>
        <v>US</v>
      </c>
      <c r="M27" s="123" t="str">
        <f t="shared" ref="M27:M40" si="14">IF(J27="","",IF(C7="CRYPTO","Crypto",IF(IFERROR(SF(J27,"companyInfo","sector","null"),"Other")="","Other",IFERROR(SF(J27,"companyInfo","sector","null"),"Other"))))</f>
        <v>Technology</v>
      </c>
      <c r="N27" s="123" t="str">
        <f t="shared" ref="N27:N40" si="15">IFERROR(SF(J27,"companyInfo","industry","null"),"")</f>
        <v>Consumer Electronics</v>
      </c>
      <c r="O27" s="125">
        <f t="shared" ref="O27:O40" si="16">IFERROR(SF(J27,"companyInfo","marketCap","null"),"--")</f>
        <v>2684659953992</v>
      </c>
      <c r="P27" s="125">
        <f t="shared" ref="P27:P40" si="17">IFERROR(SF(J27,"companyInfo","eps","null"),"--")</f>
        <v>5.9</v>
      </c>
      <c r="Q27" s="125">
        <f t="shared" ref="Q27:Q40" si="18">IFERROR(SF(J27,"companyInfo","pe","null"),"--")</f>
        <v>28.76</v>
      </c>
      <c r="R27" s="125">
        <f t="shared" ref="R27:R40" si="19">IFERROR(SF(J27,"companyInfo","lastDiv","null"),"--")</f>
        <v>0.92</v>
      </c>
      <c r="S27" s="125">
        <f t="shared" ref="S27:S40" si="20">IFERROR(SF(J27,"companyInfo","yearLow","null"),"--")</f>
        <v>124.17</v>
      </c>
      <c r="T27" s="126">
        <f t="shared" ref="T27:T40" si="21">IFERROR(SF(J27,"companyInfo","yearHigh","null"),"--")</f>
        <v>176.15</v>
      </c>
    </row>
    <row r="28">
      <c r="A28" s="117">
        <v>44228.0</v>
      </c>
      <c r="B28" s="35" t="s">
        <v>158</v>
      </c>
      <c r="C28" s="35" t="s">
        <v>90</v>
      </c>
      <c r="D28" s="118">
        <v>15.0</v>
      </c>
      <c r="E28" s="119">
        <v>239.65</v>
      </c>
      <c r="F28" s="119">
        <v>2.0</v>
      </c>
      <c r="G28" s="120">
        <f t="shared" ref="G28:G127" si="22">IF(D28="","",D28*E28+F28)</f>
        <v>3596.75</v>
      </c>
      <c r="H28" s="121">
        <f t="shared" si="11"/>
        <v>3596.75</v>
      </c>
      <c r="J28" s="127" t="str">
        <f>IFERROR(__xludf.DUMMYFUNCTION("""COMPUTED_VALUE"""),"MSFT")</f>
        <v>MSFT</v>
      </c>
      <c r="K28" s="123" t="str">
        <f t="shared" si="12"/>
        <v>Microsoft Corporation</v>
      </c>
      <c r="L28" s="124" t="str">
        <f t="shared" si="13"/>
        <v>US</v>
      </c>
      <c r="M28" s="123" t="str">
        <f t="shared" si="14"/>
        <v>Technology</v>
      </c>
      <c r="N28" s="123" t="str">
        <f t="shared" si="15"/>
        <v>Software—Infrastructure</v>
      </c>
      <c r="O28" s="125">
        <f t="shared" si="16"/>
        <v>2284628593490</v>
      </c>
      <c r="P28" s="125">
        <f t="shared" si="17"/>
        <v>9.24</v>
      </c>
      <c r="Q28" s="125">
        <f t="shared" si="18"/>
        <v>33.25</v>
      </c>
      <c r="R28" s="125">
        <f t="shared" si="19"/>
        <v>2.72</v>
      </c>
      <c r="S28" s="125">
        <f t="shared" si="20"/>
        <v>213.43</v>
      </c>
      <c r="T28" s="126">
        <f t="shared" si="21"/>
        <v>308.93</v>
      </c>
    </row>
    <row r="29">
      <c r="A29" s="117">
        <v>44256.0</v>
      </c>
      <c r="B29" s="35" t="s">
        <v>158</v>
      </c>
      <c r="C29" s="35" t="s">
        <v>108</v>
      </c>
      <c r="D29" s="118">
        <v>50.0</v>
      </c>
      <c r="E29" s="119">
        <v>35.79</v>
      </c>
      <c r="F29" s="119">
        <v>2.0</v>
      </c>
      <c r="G29" s="120">
        <f t="shared" si="22"/>
        <v>1791.5</v>
      </c>
      <c r="H29" s="121">
        <f t="shared" si="11"/>
        <v>1791.5</v>
      </c>
      <c r="J29" s="127" t="str">
        <f>IFERROR(__xludf.DUMMYFUNCTION("""COMPUTED_VALUE"""),"BAC")</f>
        <v>BAC</v>
      </c>
      <c r="K29" s="123" t="str">
        <f t="shared" si="12"/>
        <v>Bank of America Corporation</v>
      </c>
      <c r="L29" s="124" t="str">
        <f t="shared" si="13"/>
        <v>US</v>
      </c>
      <c r="M29" s="123" t="str">
        <f t="shared" si="14"/>
        <v>Financial Services</v>
      </c>
      <c r="N29" s="123" t="str">
        <f t="shared" si="15"/>
        <v>Banks—Diversified</v>
      </c>
      <c r="O29" s="125">
        <f t="shared" si="16"/>
        <v>233433045074</v>
      </c>
      <c r="P29" s="125">
        <f t="shared" si="17"/>
        <v>3.33</v>
      </c>
      <c r="Q29" s="125">
        <f t="shared" si="18"/>
        <v>8.79</v>
      </c>
      <c r="R29" s="125">
        <f t="shared" si="19"/>
        <v>0.88</v>
      </c>
      <c r="S29" s="125">
        <f t="shared" si="20"/>
        <v>26.32</v>
      </c>
      <c r="T29" s="126">
        <f t="shared" si="21"/>
        <v>38.75</v>
      </c>
    </row>
    <row r="30">
      <c r="A30" s="117">
        <v>44287.0</v>
      </c>
      <c r="B30" s="35" t="s">
        <v>158</v>
      </c>
      <c r="C30" s="35" t="s">
        <v>0</v>
      </c>
      <c r="D30" s="118">
        <v>10.0</v>
      </c>
      <c r="E30" s="119">
        <v>123.0</v>
      </c>
      <c r="F30" s="119">
        <v>2.0</v>
      </c>
      <c r="G30" s="120">
        <f t="shared" si="22"/>
        <v>1232</v>
      </c>
      <c r="H30" s="121">
        <f t="shared" si="11"/>
        <v>1232</v>
      </c>
      <c r="J30" s="127" t="str">
        <f>IFERROR(__xludf.DUMMYFUNCTION("""COMPUTED_VALUE"""),"SPY")</f>
        <v>SPY</v>
      </c>
      <c r="K30" s="123" t="str">
        <f t="shared" si="12"/>
        <v>SPDR S&amp;P 500 ETF Trust</v>
      </c>
      <c r="L30" s="124" t="str">
        <f t="shared" si="13"/>
        <v>US</v>
      </c>
      <c r="M30" s="123" t="str">
        <f t="shared" si="14"/>
        <v>Other</v>
      </c>
      <c r="N30" s="123" t="str">
        <f t="shared" si="15"/>
        <v/>
      </c>
      <c r="O30" s="125">
        <f t="shared" si="16"/>
        <v>381733082233</v>
      </c>
      <c r="P30" s="125">
        <f t="shared" si="17"/>
        <v>19.851322</v>
      </c>
      <c r="Q30" s="125">
        <f t="shared" si="18"/>
        <v>20.95</v>
      </c>
      <c r="R30" s="125">
        <f t="shared" si="19"/>
        <v>6.46</v>
      </c>
      <c r="S30" s="125">
        <f t="shared" si="20"/>
        <v>348.11</v>
      </c>
      <c r="T30" s="126">
        <f t="shared" si="21"/>
        <v>431.73</v>
      </c>
    </row>
    <row r="31">
      <c r="A31" s="117">
        <v>44319.0</v>
      </c>
      <c r="B31" s="35" t="s">
        <v>158</v>
      </c>
      <c r="C31" s="35" t="s">
        <v>90</v>
      </c>
      <c r="D31" s="118">
        <v>40.0</v>
      </c>
      <c r="E31" s="119">
        <v>251.86</v>
      </c>
      <c r="F31" s="119">
        <v>2.0</v>
      </c>
      <c r="G31" s="120">
        <f t="shared" si="22"/>
        <v>10076.4</v>
      </c>
      <c r="H31" s="121">
        <f t="shared" si="11"/>
        <v>10076.4</v>
      </c>
      <c r="J31" s="127" t="str">
        <f>IFERROR(__xludf.DUMMYFUNCTION("""COMPUTED_VALUE"""),"V")</f>
        <v>V</v>
      </c>
      <c r="K31" s="123" t="str">
        <f t="shared" si="12"/>
        <v>Visa Inc.</v>
      </c>
      <c r="L31" s="124" t="str">
        <f t="shared" si="13"/>
        <v>US</v>
      </c>
      <c r="M31" s="123" t="str">
        <f t="shared" si="14"/>
        <v>Financial Services</v>
      </c>
      <c r="N31" s="123" t="str">
        <f t="shared" si="15"/>
        <v>Credit Services</v>
      </c>
      <c r="O31" s="125">
        <f t="shared" si="16"/>
        <v>487809043980</v>
      </c>
      <c r="P31" s="125">
        <f t="shared" si="17"/>
        <v>7.48</v>
      </c>
      <c r="Q31" s="125">
        <f t="shared" si="18"/>
        <v>31.11</v>
      </c>
      <c r="R31" s="125">
        <f t="shared" si="19"/>
        <v>1.8</v>
      </c>
      <c r="S31" s="125">
        <f t="shared" si="20"/>
        <v>174.6</v>
      </c>
      <c r="T31" s="126">
        <f t="shared" si="21"/>
        <v>235.57</v>
      </c>
    </row>
    <row r="32">
      <c r="A32" s="117">
        <v>44348.0</v>
      </c>
      <c r="B32" s="35" t="s">
        <v>158</v>
      </c>
      <c r="C32" s="35" t="s">
        <v>159</v>
      </c>
      <c r="D32" s="118">
        <v>30.0</v>
      </c>
      <c r="E32" s="119">
        <v>450.0</v>
      </c>
      <c r="F32" s="119">
        <v>2.0</v>
      </c>
      <c r="G32" s="120">
        <f t="shared" si="22"/>
        <v>13502</v>
      </c>
      <c r="H32" s="121">
        <f t="shared" si="11"/>
        <v>13502</v>
      </c>
      <c r="J32" s="127" t="str">
        <f>IFERROR(__xludf.DUMMYFUNCTION("""COMPUTED_VALUE"""),"ETHUSD")</f>
        <v>ETHUSD</v>
      </c>
      <c r="K32" s="123" t="str">
        <f t="shared" si="12"/>
        <v>Ethereum USD</v>
      </c>
      <c r="L32" s="124" t="str">
        <f t="shared" si="13"/>
        <v>--</v>
      </c>
      <c r="M32" s="123" t="str">
        <f t="shared" si="14"/>
        <v>Crypto</v>
      </c>
      <c r="N32" s="123" t="str">
        <f t="shared" si="15"/>
        <v/>
      </c>
      <c r="O32" s="125">
        <f t="shared" si="16"/>
        <v>229408802570</v>
      </c>
      <c r="P32" s="125" t="str">
        <f t="shared" si="17"/>
        <v/>
      </c>
      <c r="Q32" s="125" t="str">
        <f t="shared" si="18"/>
        <v/>
      </c>
      <c r="R32" s="125" t="str">
        <f t="shared" si="19"/>
        <v>--</v>
      </c>
      <c r="S32" s="125">
        <f t="shared" si="20"/>
        <v>896.109</v>
      </c>
      <c r="T32" s="126">
        <f t="shared" si="21"/>
        <v>2956.6868</v>
      </c>
    </row>
    <row r="33">
      <c r="A33" s="117">
        <v>44368.0</v>
      </c>
      <c r="B33" s="35" t="s">
        <v>160</v>
      </c>
      <c r="C33" s="35" t="s">
        <v>0</v>
      </c>
      <c r="D33" s="118">
        <v>20.0</v>
      </c>
      <c r="E33" s="119">
        <v>130.0</v>
      </c>
      <c r="F33" s="119">
        <v>2.0</v>
      </c>
      <c r="G33" s="120">
        <f t="shared" si="22"/>
        <v>2602</v>
      </c>
      <c r="H33" s="121">
        <f t="shared" si="11"/>
        <v>2602</v>
      </c>
      <c r="J33" s="122"/>
      <c r="K33" s="123" t="str">
        <f t="shared" si="12"/>
        <v>--</v>
      </c>
      <c r="L33" s="124" t="str">
        <f t="shared" si="13"/>
        <v>--</v>
      </c>
      <c r="M33" s="123" t="str">
        <f t="shared" si="14"/>
        <v/>
      </c>
      <c r="N33" s="123" t="str">
        <f t="shared" si="15"/>
        <v/>
      </c>
      <c r="O33" s="125" t="str">
        <f t="shared" si="16"/>
        <v>--</v>
      </c>
      <c r="P33" s="125" t="str">
        <f t="shared" si="17"/>
        <v>--</v>
      </c>
      <c r="Q33" s="125" t="str">
        <f t="shared" si="18"/>
        <v>--</v>
      </c>
      <c r="R33" s="125" t="str">
        <f t="shared" si="19"/>
        <v>--</v>
      </c>
      <c r="S33" s="125" t="str">
        <f t="shared" si="20"/>
        <v>--</v>
      </c>
      <c r="T33" s="126" t="str">
        <f t="shared" si="21"/>
        <v>--</v>
      </c>
    </row>
    <row r="34">
      <c r="A34" s="117">
        <v>44370.0</v>
      </c>
      <c r="B34" s="35" t="s">
        <v>160</v>
      </c>
      <c r="C34" s="35" t="s">
        <v>0</v>
      </c>
      <c r="D34" s="118">
        <v>5.0</v>
      </c>
      <c r="E34" s="119">
        <v>140.0</v>
      </c>
      <c r="F34" s="119">
        <v>2.0</v>
      </c>
      <c r="G34" s="120">
        <f t="shared" si="22"/>
        <v>702</v>
      </c>
      <c r="H34" s="121">
        <f t="shared" si="11"/>
        <v>702</v>
      </c>
      <c r="J34" s="122"/>
      <c r="K34" s="123" t="str">
        <f t="shared" si="12"/>
        <v>--</v>
      </c>
      <c r="L34" s="124" t="str">
        <f t="shared" si="13"/>
        <v>--</v>
      </c>
      <c r="M34" s="123" t="str">
        <f t="shared" si="14"/>
        <v/>
      </c>
      <c r="N34" s="123" t="str">
        <f t="shared" si="15"/>
        <v/>
      </c>
      <c r="O34" s="125" t="str">
        <f t="shared" si="16"/>
        <v>--</v>
      </c>
      <c r="P34" s="125" t="str">
        <f t="shared" si="17"/>
        <v>--</v>
      </c>
      <c r="Q34" s="125" t="str">
        <f t="shared" si="18"/>
        <v>--</v>
      </c>
      <c r="R34" s="125" t="str">
        <f t="shared" si="19"/>
        <v>--</v>
      </c>
      <c r="S34" s="125" t="str">
        <f t="shared" si="20"/>
        <v>--</v>
      </c>
      <c r="T34" s="126" t="str">
        <f t="shared" si="21"/>
        <v>--</v>
      </c>
    </row>
    <row r="35">
      <c r="A35" s="117">
        <v>44370.0</v>
      </c>
      <c r="B35" s="35" t="s">
        <v>158</v>
      </c>
      <c r="C35" s="35" t="s">
        <v>161</v>
      </c>
      <c r="D35" s="118">
        <v>20.0</v>
      </c>
      <c r="E35" s="119">
        <v>220.0</v>
      </c>
      <c r="F35" s="119">
        <v>2.0</v>
      </c>
      <c r="G35" s="120">
        <f t="shared" si="22"/>
        <v>4402</v>
      </c>
      <c r="H35" s="121">
        <f t="shared" si="11"/>
        <v>4402</v>
      </c>
      <c r="J35" s="122"/>
      <c r="K35" s="123" t="str">
        <f t="shared" si="12"/>
        <v>--</v>
      </c>
      <c r="L35" s="124" t="str">
        <f t="shared" si="13"/>
        <v>--</v>
      </c>
      <c r="M35" s="123" t="str">
        <f t="shared" si="14"/>
        <v/>
      </c>
      <c r="N35" s="123" t="str">
        <f t="shared" si="15"/>
        <v/>
      </c>
      <c r="O35" s="125" t="str">
        <f t="shared" si="16"/>
        <v>--</v>
      </c>
      <c r="P35" s="125" t="str">
        <f t="shared" si="17"/>
        <v>--</v>
      </c>
      <c r="Q35" s="125" t="str">
        <f t="shared" si="18"/>
        <v>--</v>
      </c>
      <c r="R35" s="125" t="str">
        <f t="shared" si="19"/>
        <v>--</v>
      </c>
      <c r="S35" s="125" t="str">
        <f t="shared" si="20"/>
        <v>--</v>
      </c>
      <c r="T35" s="126" t="str">
        <f t="shared" si="21"/>
        <v>--</v>
      </c>
    </row>
    <row r="36">
      <c r="A36" s="117">
        <v>44370.0</v>
      </c>
      <c r="B36" s="35" t="s">
        <v>158</v>
      </c>
      <c r="C36" s="35" t="s">
        <v>162</v>
      </c>
      <c r="D36" s="118">
        <v>10.0</v>
      </c>
      <c r="E36" s="119">
        <v>1300.0</v>
      </c>
      <c r="F36" s="119">
        <v>2.0</v>
      </c>
      <c r="G36" s="120">
        <f t="shared" si="22"/>
        <v>13002</v>
      </c>
      <c r="H36" s="121">
        <f t="shared" si="11"/>
        <v>13002</v>
      </c>
      <c r="J36" s="122"/>
      <c r="K36" s="123" t="str">
        <f t="shared" si="12"/>
        <v>--</v>
      </c>
      <c r="L36" s="124" t="str">
        <f t="shared" si="13"/>
        <v>--</v>
      </c>
      <c r="M36" s="123" t="str">
        <f t="shared" si="14"/>
        <v/>
      </c>
      <c r="N36" s="123" t="str">
        <f t="shared" si="15"/>
        <v/>
      </c>
      <c r="O36" s="125" t="str">
        <f t="shared" si="16"/>
        <v>--</v>
      </c>
      <c r="P36" s="125" t="str">
        <f t="shared" si="17"/>
        <v>--</v>
      </c>
      <c r="Q36" s="125" t="str">
        <f t="shared" si="18"/>
        <v>--</v>
      </c>
      <c r="R36" s="125" t="str">
        <f t="shared" si="19"/>
        <v>--</v>
      </c>
      <c r="S36" s="125" t="str">
        <f t="shared" si="20"/>
        <v>--</v>
      </c>
      <c r="T36" s="126" t="str">
        <f t="shared" si="21"/>
        <v>--</v>
      </c>
    </row>
    <row r="37">
      <c r="A37" s="128"/>
      <c r="B37" s="35" t="s">
        <v>158</v>
      </c>
      <c r="D37" s="118"/>
      <c r="E37" s="119"/>
      <c r="F37" s="119"/>
      <c r="G37" s="120" t="str">
        <f t="shared" si="22"/>
        <v/>
      </c>
      <c r="H37" s="129" t="str">
        <f t="shared" si="11"/>
        <v/>
      </c>
      <c r="J37" s="122"/>
      <c r="K37" s="123" t="str">
        <f t="shared" si="12"/>
        <v>--</v>
      </c>
      <c r="L37" s="124" t="str">
        <f t="shared" si="13"/>
        <v>--</v>
      </c>
      <c r="M37" s="123" t="str">
        <f t="shared" si="14"/>
        <v/>
      </c>
      <c r="N37" s="123" t="str">
        <f t="shared" si="15"/>
        <v/>
      </c>
      <c r="O37" s="125" t="str">
        <f t="shared" si="16"/>
        <v>--</v>
      </c>
      <c r="P37" s="125" t="str">
        <f t="shared" si="17"/>
        <v>--</v>
      </c>
      <c r="Q37" s="125" t="str">
        <f t="shared" si="18"/>
        <v>--</v>
      </c>
      <c r="R37" s="125" t="str">
        <f t="shared" si="19"/>
        <v>--</v>
      </c>
      <c r="S37" s="125" t="str">
        <f t="shared" si="20"/>
        <v>--</v>
      </c>
      <c r="T37" s="126" t="str">
        <f t="shared" si="21"/>
        <v>--</v>
      </c>
    </row>
    <row r="38">
      <c r="A38" s="128"/>
      <c r="B38" s="35" t="s">
        <v>158</v>
      </c>
      <c r="D38" s="118"/>
      <c r="E38" s="119"/>
      <c r="F38" s="119"/>
      <c r="G38" s="120" t="str">
        <f t="shared" si="22"/>
        <v/>
      </c>
      <c r="H38" s="129" t="str">
        <f t="shared" si="11"/>
        <v/>
      </c>
      <c r="J38" s="122"/>
      <c r="K38" s="123" t="str">
        <f t="shared" si="12"/>
        <v>--</v>
      </c>
      <c r="L38" s="124" t="str">
        <f t="shared" si="13"/>
        <v>--</v>
      </c>
      <c r="M38" s="123" t="str">
        <f t="shared" si="14"/>
        <v/>
      </c>
      <c r="N38" s="123" t="str">
        <f t="shared" si="15"/>
        <v/>
      </c>
      <c r="O38" s="125" t="str">
        <f t="shared" si="16"/>
        <v>--</v>
      </c>
      <c r="P38" s="125" t="str">
        <f t="shared" si="17"/>
        <v>--</v>
      </c>
      <c r="Q38" s="125" t="str">
        <f t="shared" si="18"/>
        <v>--</v>
      </c>
      <c r="R38" s="125" t="str">
        <f t="shared" si="19"/>
        <v>--</v>
      </c>
      <c r="S38" s="125" t="str">
        <f t="shared" si="20"/>
        <v>--</v>
      </c>
      <c r="T38" s="126" t="str">
        <f t="shared" si="21"/>
        <v>--</v>
      </c>
    </row>
    <row r="39">
      <c r="A39" s="128"/>
      <c r="B39" s="35" t="s">
        <v>158</v>
      </c>
      <c r="D39" s="118"/>
      <c r="E39" s="119"/>
      <c r="F39" s="119"/>
      <c r="G39" s="120" t="str">
        <f t="shared" si="22"/>
        <v/>
      </c>
      <c r="H39" s="129" t="str">
        <f t="shared" si="11"/>
        <v/>
      </c>
      <c r="J39" s="122"/>
      <c r="K39" s="123" t="str">
        <f t="shared" si="12"/>
        <v>--</v>
      </c>
      <c r="L39" s="124" t="str">
        <f t="shared" si="13"/>
        <v>--</v>
      </c>
      <c r="M39" s="123" t="str">
        <f t="shared" si="14"/>
        <v/>
      </c>
      <c r="N39" s="123" t="str">
        <f t="shared" si="15"/>
        <v/>
      </c>
      <c r="O39" s="125" t="str">
        <f t="shared" si="16"/>
        <v>--</v>
      </c>
      <c r="P39" s="125" t="str">
        <f t="shared" si="17"/>
        <v>--</v>
      </c>
      <c r="Q39" s="125" t="str">
        <f t="shared" si="18"/>
        <v>--</v>
      </c>
      <c r="R39" s="125" t="str">
        <f t="shared" si="19"/>
        <v>--</v>
      </c>
      <c r="S39" s="125" t="str">
        <f t="shared" si="20"/>
        <v>--</v>
      </c>
      <c r="T39" s="126" t="str">
        <f t="shared" si="21"/>
        <v>--</v>
      </c>
    </row>
    <row r="40">
      <c r="A40" s="128"/>
      <c r="B40" s="35" t="s">
        <v>158</v>
      </c>
      <c r="D40" s="118"/>
      <c r="E40" s="119"/>
      <c r="F40" s="119"/>
      <c r="G40" s="120" t="str">
        <f t="shared" si="22"/>
        <v/>
      </c>
      <c r="H40" s="129" t="str">
        <f t="shared" si="11"/>
        <v/>
      </c>
      <c r="J40" s="130"/>
      <c r="K40" s="131" t="str">
        <f t="shared" si="12"/>
        <v>--</v>
      </c>
      <c r="L40" s="132" t="str">
        <f t="shared" si="13"/>
        <v>--</v>
      </c>
      <c r="M40" s="131" t="str">
        <f t="shared" si="14"/>
        <v/>
      </c>
      <c r="N40" s="131" t="str">
        <f t="shared" si="15"/>
        <v/>
      </c>
      <c r="O40" s="133" t="str">
        <f t="shared" si="16"/>
        <v>--</v>
      </c>
      <c r="P40" s="133" t="str">
        <f t="shared" si="17"/>
        <v>--</v>
      </c>
      <c r="Q40" s="133" t="str">
        <f t="shared" si="18"/>
        <v>--</v>
      </c>
      <c r="R40" s="133" t="str">
        <f t="shared" si="19"/>
        <v>--</v>
      </c>
      <c r="S40" s="133" t="str">
        <f t="shared" si="20"/>
        <v>--</v>
      </c>
      <c r="T40" s="134" t="str">
        <f t="shared" si="21"/>
        <v>--</v>
      </c>
    </row>
    <row r="41">
      <c r="A41" s="128"/>
      <c r="B41" s="35" t="s">
        <v>158</v>
      </c>
      <c r="D41" s="118"/>
      <c r="E41" s="119"/>
      <c r="F41" s="119"/>
      <c r="G41" s="120" t="str">
        <f t="shared" si="22"/>
        <v/>
      </c>
      <c r="H41" s="129" t="str">
        <f t="shared" si="11"/>
        <v/>
      </c>
    </row>
    <row r="42">
      <c r="A42" s="128"/>
      <c r="B42" s="35" t="s">
        <v>158</v>
      </c>
      <c r="D42" s="118"/>
      <c r="E42" s="119"/>
      <c r="F42" s="119"/>
      <c r="G42" s="120" t="str">
        <f t="shared" si="22"/>
        <v/>
      </c>
      <c r="H42" s="129" t="str">
        <f t="shared" si="11"/>
        <v/>
      </c>
      <c r="J42" s="96" t="s">
        <v>163</v>
      </c>
      <c r="K42" s="135"/>
      <c r="L42" s="97"/>
    </row>
    <row r="43">
      <c r="A43" s="128"/>
      <c r="B43" s="35" t="s">
        <v>158</v>
      </c>
      <c r="D43" s="118"/>
      <c r="E43" s="119"/>
      <c r="F43" s="119"/>
      <c r="G43" s="120" t="str">
        <f t="shared" si="22"/>
        <v/>
      </c>
      <c r="H43" s="129" t="str">
        <f t="shared" si="11"/>
        <v/>
      </c>
      <c r="J43" s="114"/>
      <c r="K43" s="115" t="s">
        <v>142</v>
      </c>
      <c r="L43" s="99" t="s">
        <v>164</v>
      </c>
      <c r="M43" s="99" t="s">
        <v>165</v>
      </c>
      <c r="N43" s="99" t="s">
        <v>166</v>
      </c>
      <c r="O43" s="99" t="s">
        <v>167</v>
      </c>
      <c r="P43" s="99" t="s">
        <v>168</v>
      </c>
      <c r="Q43" s="99" t="s">
        <v>169</v>
      </c>
      <c r="R43" s="99" t="s">
        <v>170</v>
      </c>
      <c r="S43" s="99" t="s">
        <v>171</v>
      </c>
      <c r="T43" s="100" t="s">
        <v>172</v>
      </c>
    </row>
    <row r="44">
      <c r="A44" s="128"/>
      <c r="B44" s="35" t="s">
        <v>158</v>
      </c>
      <c r="D44" s="118"/>
      <c r="E44" s="119"/>
      <c r="F44" s="119"/>
      <c r="G44" s="120" t="str">
        <f t="shared" si="22"/>
        <v/>
      </c>
      <c r="H44" s="129" t="str">
        <f t="shared" si="11"/>
        <v/>
      </c>
      <c r="J44" s="136" t="str">
        <f>IFERROR(__xludf.DUMMYFUNCTION("UNIQUE(OFFSET($C$27,0,0,$H$3,1))"),"AAPL")</f>
        <v>AAPL</v>
      </c>
      <c r="K44" s="137" t="str">
        <f t="shared" ref="K44:K61" si="23">IFERROR(SF(J44,"companyInfo","name","null"),"--")</f>
        <v>Apple Inc.</v>
      </c>
      <c r="L44" s="138">
        <f t="shared" ref="L44:L61" si="24">(SUMIFS(OFFSET($G$27,0,0,$H$3),OFFSET($C$27,0,0,$H$3),J44,OFFSET($B$27,0,0,$H$3),"buy"))</f>
        <v>3764</v>
      </c>
      <c r="M44" s="124">
        <f t="shared" ref="M44:M61" si="25">(SUMIFS(OFFSET($G$27,0,0,$H$3),OFFSET($C$27,0,0,$H$3),J44,OFFSET($B$27,0,0,$H$3),"sell"))</f>
        <v>3304</v>
      </c>
      <c r="N44" s="124">
        <f t="shared" ref="N44:N49" si="26">VLOOKUP(J44,$A$6:$K$23,10,FALSE)</f>
        <v>848.4</v>
      </c>
      <c r="O44" s="124">
        <f t="shared" ref="O44:O49" si="27">M44+N44</f>
        <v>4152.4</v>
      </c>
      <c r="P44" s="124">
        <f t="shared" ref="P44:P49" si="28">SUMIF(OFFSET($C$27,0,0,$H$3),J44,OFFSET($F$27,0,0,$H$3))</f>
        <v>8</v>
      </c>
      <c r="Q44" s="124">
        <f t="shared" ref="Q44:Q49" si="29">O44-P44-L44</f>
        <v>380.4</v>
      </c>
      <c r="R44" s="139">
        <f t="shared" ref="R44:R49" si="30">(O44-P44-L44)/L44</f>
        <v>0.1010626993</v>
      </c>
      <c r="S44" s="139">
        <f t="shared" ref="S44:S61" si="31">IFERROR(O44/SUM($O$44:$O$61),0)</f>
        <v>0.07073124686</v>
      </c>
      <c r="T44" s="140">
        <f t="shared" ref="T44:T49" si="32">S44*R44</f>
        <v>0.00714829073</v>
      </c>
    </row>
    <row r="45">
      <c r="A45" s="128"/>
      <c r="B45" s="35" t="s">
        <v>158</v>
      </c>
      <c r="D45" s="118"/>
      <c r="E45" s="119"/>
      <c r="F45" s="119"/>
      <c r="G45" s="120" t="str">
        <f t="shared" si="22"/>
        <v/>
      </c>
      <c r="H45" s="129" t="str">
        <f t="shared" si="11"/>
        <v/>
      </c>
      <c r="J45" s="136" t="str">
        <f>IFERROR(__xludf.DUMMYFUNCTION("""COMPUTED_VALUE"""),"MSFT")</f>
        <v>MSFT</v>
      </c>
      <c r="K45" s="137" t="str">
        <f t="shared" si="23"/>
        <v>Microsoft Corporation</v>
      </c>
      <c r="L45" s="138">
        <f t="shared" si="24"/>
        <v>13673.15</v>
      </c>
      <c r="M45" s="124">
        <f t="shared" si="25"/>
        <v>0</v>
      </c>
      <c r="N45" s="124">
        <f t="shared" si="26"/>
        <v>16899.3</v>
      </c>
      <c r="O45" s="124">
        <f t="shared" si="27"/>
        <v>16899.3</v>
      </c>
      <c r="P45" s="124">
        <f t="shared" si="28"/>
        <v>4</v>
      </c>
      <c r="Q45" s="124">
        <f t="shared" si="29"/>
        <v>3222.15</v>
      </c>
      <c r="R45" s="139">
        <f t="shared" si="30"/>
        <v>0.2356552806</v>
      </c>
      <c r="S45" s="139">
        <f t="shared" si="31"/>
        <v>0.287859686</v>
      </c>
      <c r="T45" s="140">
        <f t="shared" si="32"/>
        <v>0.06783565508</v>
      </c>
    </row>
    <row r="46">
      <c r="A46" s="128"/>
      <c r="B46" s="35" t="s">
        <v>158</v>
      </c>
      <c r="D46" s="118"/>
      <c r="E46" s="119"/>
      <c r="F46" s="119"/>
      <c r="G46" s="120" t="str">
        <f t="shared" si="22"/>
        <v/>
      </c>
      <c r="H46" s="129" t="str">
        <f t="shared" si="11"/>
        <v/>
      </c>
      <c r="J46" s="136" t="str">
        <f>IFERROR(__xludf.DUMMYFUNCTION("""COMPUTED_VALUE"""),"BAC")</f>
        <v>BAC</v>
      </c>
      <c r="K46" s="137" t="str">
        <f t="shared" si="23"/>
        <v>Bank of America Corporation</v>
      </c>
      <c r="L46" s="138">
        <f t="shared" si="24"/>
        <v>1791.5</v>
      </c>
      <c r="M46" s="124">
        <f t="shared" si="25"/>
        <v>0</v>
      </c>
      <c r="N46" s="124">
        <f t="shared" si="26"/>
        <v>1464</v>
      </c>
      <c r="O46" s="124">
        <f t="shared" si="27"/>
        <v>1464</v>
      </c>
      <c r="P46" s="124">
        <f t="shared" si="28"/>
        <v>2</v>
      </c>
      <c r="Q46" s="124">
        <f t="shared" si="29"/>
        <v>-329.5</v>
      </c>
      <c r="R46" s="139">
        <f t="shared" si="30"/>
        <v>-0.183924086</v>
      </c>
      <c r="S46" s="139">
        <f t="shared" si="31"/>
        <v>0.02493751696</v>
      </c>
      <c r="T46" s="140">
        <f t="shared" si="32"/>
        <v>-0.004586610012</v>
      </c>
    </row>
    <row r="47">
      <c r="A47" s="128"/>
      <c r="B47" s="35" t="s">
        <v>158</v>
      </c>
      <c r="D47" s="118"/>
      <c r="E47" s="119"/>
      <c r="F47" s="119"/>
      <c r="G47" s="120" t="str">
        <f t="shared" si="22"/>
        <v/>
      </c>
      <c r="H47" s="129" t="str">
        <f t="shared" si="11"/>
        <v/>
      </c>
      <c r="J47" s="136" t="str">
        <f>IFERROR(__xludf.DUMMYFUNCTION("""COMPUTED_VALUE"""),"SPY")</f>
        <v>SPY</v>
      </c>
      <c r="K47" s="137" t="str">
        <f t="shared" si="23"/>
        <v>SPDR S&amp;P 500 ETF Trust</v>
      </c>
      <c r="L47" s="138">
        <f t="shared" si="24"/>
        <v>13502</v>
      </c>
      <c r="M47" s="124">
        <f t="shared" si="25"/>
        <v>0</v>
      </c>
      <c r="N47" s="124">
        <f t="shared" si="26"/>
        <v>12477.9</v>
      </c>
      <c r="O47" s="124">
        <f t="shared" si="27"/>
        <v>12477.9</v>
      </c>
      <c r="P47" s="124">
        <f t="shared" si="28"/>
        <v>2</v>
      </c>
      <c r="Q47" s="124">
        <f t="shared" si="29"/>
        <v>-1026.1</v>
      </c>
      <c r="R47" s="139">
        <f t="shared" si="30"/>
        <v>-0.07599614872</v>
      </c>
      <c r="S47" s="139">
        <f t="shared" si="31"/>
        <v>0.2125463407</v>
      </c>
      <c r="T47" s="140">
        <f t="shared" si="32"/>
        <v>-0.01615270332</v>
      </c>
    </row>
    <row r="48">
      <c r="A48" s="128"/>
      <c r="B48" s="35" t="s">
        <v>158</v>
      </c>
      <c r="D48" s="118"/>
      <c r="E48" s="119"/>
      <c r="F48" s="119"/>
      <c r="G48" s="120" t="str">
        <f t="shared" si="22"/>
        <v/>
      </c>
      <c r="H48" s="129" t="str">
        <f t="shared" si="11"/>
        <v/>
      </c>
      <c r="J48" s="136" t="str">
        <f>IFERROR(__xludf.DUMMYFUNCTION("""COMPUTED_VALUE"""),"V")</f>
        <v>V</v>
      </c>
      <c r="K48" s="137" t="str">
        <f t="shared" si="23"/>
        <v>Visa Inc.</v>
      </c>
      <c r="L48" s="138">
        <f t="shared" si="24"/>
        <v>4402</v>
      </c>
      <c r="M48" s="124">
        <f t="shared" si="25"/>
        <v>0</v>
      </c>
      <c r="N48" s="124">
        <f t="shared" si="26"/>
        <v>4654.6</v>
      </c>
      <c r="O48" s="124">
        <f t="shared" si="27"/>
        <v>4654.6</v>
      </c>
      <c r="P48" s="124">
        <f t="shared" si="28"/>
        <v>2</v>
      </c>
      <c r="Q48" s="124">
        <f t="shared" si="29"/>
        <v>250.6</v>
      </c>
      <c r="R48" s="139">
        <f t="shared" si="30"/>
        <v>0.05692866879</v>
      </c>
      <c r="S48" s="139">
        <f t="shared" si="31"/>
        <v>0.0792856328</v>
      </c>
      <c r="T48" s="140">
        <f t="shared" si="32"/>
        <v>0.004513625529</v>
      </c>
    </row>
    <row r="49">
      <c r="A49" s="128"/>
      <c r="B49" s="35" t="s">
        <v>158</v>
      </c>
      <c r="D49" s="118"/>
      <c r="E49" s="119"/>
      <c r="F49" s="119"/>
      <c r="G49" s="120" t="str">
        <f t="shared" si="22"/>
        <v/>
      </c>
      <c r="H49" s="129" t="str">
        <f t="shared" si="11"/>
        <v/>
      </c>
      <c r="J49" s="136" t="str">
        <f>IFERROR(__xludf.DUMMYFUNCTION("""COMPUTED_VALUE"""),"ETHUSD")</f>
        <v>ETHUSD</v>
      </c>
      <c r="K49" s="137" t="str">
        <f t="shared" si="23"/>
        <v>Ethereum USD</v>
      </c>
      <c r="L49" s="138">
        <f t="shared" si="24"/>
        <v>13002</v>
      </c>
      <c r="M49" s="124">
        <f t="shared" si="25"/>
        <v>0</v>
      </c>
      <c r="N49" s="124">
        <f t="shared" si="26"/>
        <v>19058.527</v>
      </c>
      <c r="O49" s="124">
        <f t="shared" si="27"/>
        <v>19058.527</v>
      </c>
      <c r="P49" s="124">
        <f t="shared" si="28"/>
        <v>2</v>
      </c>
      <c r="Q49" s="124">
        <f t="shared" si="29"/>
        <v>6054.527</v>
      </c>
      <c r="R49" s="139">
        <f t="shared" si="30"/>
        <v>0.465661206</v>
      </c>
      <c r="S49" s="139">
        <f t="shared" si="31"/>
        <v>0.3246395767</v>
      </c>
      <c r="T49" s="140">
        <f t="shared" si="32"/>
        <v>0.1511720568</v>
      </c>
    </row>
    <row r="50">
      <c r="A50" s="128"/>
      <c r="B50" s="35" t="s">
        <v>158</v>
      </c>
      <c r="D50" s="118"/>
      <c r="E50" s="119"/>
      <c r="F50" s="119"/>
      <c r="G50" s="120" t="str">
        <f t="shared" si="22"/>
        <v/>
      </c>
      <c r="H50" s="129" t="str">
        <f t="shared" si="11"/>
        <v/>
      </c>
      <c r="J50" s="136"/>
      <c r="K50" s="137" t="str">
        <f t="shared" si="23"/>
        <v>--</v>
      </c>
      <c r="L50" s="138">
        <f t="shared" si="24"/>
        <v>0</v>
      </c>
      <c r="M50" s="124">
        <f t="shared" si="25"/>
        <v>0</v>
      </c>
      <c r="N50" s="141" t="str">
        <f t="shared" ref="N50:N61" si="33">IFERROR(VLOOKUP(J50,$A$6:$K$23,10,FALSE),"--")</f>
        <v>--</v>
      </c>
      <c r="O50" s="141" t="str">
        <f t="shared" ref="O50:O61" si="34">IFERROR(M50+N50,"--")</f>
        <v>--</v>
      </c>
      <c r="P50" s="124">
        <f t="shared" ref="P50:P61" si="35">IFERROR(SUMIF(OFFSET($C$27,0,0,$H$3),J50,OFFSET($F$27,0,0,$H$3)),"--")</f>
        <v>0</v>
      </c>
      <c r="Q50" s="141" t="str">
        <f t="shared" ref="Q50:Q61" si="36">IFERROR(O50-P50-L50,"--")</f>
        <v>--</v>
      </c>
      <c r="R50" s="139" t="str">
        <f t="shared" ref="R50:R61" si="37">IFERROR((O50-P50-L50)/L50,"--")</f>
        <v>--</v>
      </c>
      <c r="S50" s="139">
        <f t="shared" si="31"/>
        <v>0</v>
      </c>
      <c r="T50" s="140">
        <f t="shared" ref="T50:T61" si="38">IFERROR(S50*R50,0)</f>
        <v>0</v>
      </c>
    </row>
    <row r="51">
      <c r="A51" s="128"/>
      <c r="B51" s="35" t="s">
        <v>158</v>
      </c>
      <c r="D51" s="118"/>
      <c r="E51" s="119"/>
      <c r="F51" s="119"/>
      <c r="G51" s="120" t="str">
        <f t="shared" si="22"/>
        <v/>
      </c>
      <c r="H51" s="129" t="str">
        <f t="shared" si="11"/>
        <v/>
      </c>
      <c r="J51" s="136"/>
      <c r="K51" s="137" t="str">
        <f t="shared" si="23"/>
        <v>--</v>
      </c>
      <c r="L51" s="138">
        <f t="shared" si="24"/>
        <v>0</v>
      </c>
      <c r="M51" s="124">
        <f t="shared" si="25"/>
        <v>0</v>
      </c>
      <c r="N51" s="141" t="str">
        <f t="shared" si="33"/>
        <v>--</v>
      </c>
      <c r="O51" s="141" t="str">
        <f t="shared" si="34"/>
        <v>--</v>
      </c>
      <c r="P51" s="124">
        <f t="shared" si="35"/>
        <v>0</v>
      </c>
      <c r="Q51" s="141" t="str">
        <f t="shared" si="36"/>
        <v>--</v>
      </c>
      <c r="R51" s="139" t="str">
        <f t="shared" si="37"/>
        <v>--</v>
      </c>
      <c r="S51" s="139">
        <f t="shared" si="31"/>
        <v>0</v>
      </c>
      <c r="T51" s="140">
        <f t="shared" si="38"/>
        <v>0</v>
      </c>
    </row>
    <row r="52">
      <c r="A52" s="128"/>
      <c r="B52" s="35" t="s">
        <v>158</v>
      </c>
      <c r="D52" s="118"/>
      <c r="E52" s="119"/>
      <c r="F52" s="119"/>
      <c r="G52" s="120" t="str">
        <f t="shared" si="22"/>
        <v/>
      </c>
      <c r="H52" s="129" t="str">
        <f t="shared" si="11"/>
        <v/>
      </c>
      <c r="J52" s="136"/>
      <c r="K52" s="137" t="str">
        <f t="shared" si="23"/>
        <v>--</v>
      </c>
      <c r="L52" s="138">
        <f t="shared" si="24"/>
        <v>0</v>
      </c>
      <c r="M52" s="124">
        <f t="shared" si="25"/>
        <v>0</v>
      </c>
      <c r="N52" s="141" t="str">
        <f t="shared" si="33"/>
        <v>--</v>
      </c>
      <c r="O52" s="141" t="str">
        <f t="shared" si="34"/>
        <v>--</v>
      </c>
      <c r="P52" s="124">
        <f t="shared" si="35"/>
        <v>0</v>
      </c>
      <c r="Q52" s="141" t="str">
        <f t="shared" si="36"/>
        <v>--</v>
      </c>
      <c r="R52" s="139" t="str">
        <f t="shared" si="37"/>
        <v>--</v>
      </c>
      <c r="S52" s="139">
        <f t="shared" si="31"/>
        <v>0</v>
      </c>
      <c r="T52" s="140">
        <f t="shared" si="38"/>
        <v>0</v>
      </c>
    </row>
    <row r="53">
      <c r="A53" s="128"/>
      <c r="B53" s="35" t="s">
        <v>158</v>
      </c>
      <c r="D53" s="118"/>
      <c r="E53" s="119"/>
      <c r="F53" s="119"/>
      <c r="G53" s="120" t="str">
        <f t="shared" si="22"/>
        <v/>
      </c>
      <c r="H53" s="129" t="str">
        <f t="shared" si="11"/>
        <v/>
      </c>
      <c r="J53" s="136"/>
      <c r="K53" s="137" t="str">
        <f t="shared" si="23"/>
        <v>--</v>
      </c>
      <c r="L53" s="138">
        <f t="shared" si="24"/>
        <v>0</v>
      </c>
      <c r="M53" s="124">
        <f t="shared" si="25"/>
        <v>0</v>
      </c>
      <c r="N53" s="141" t="str">
        <f t="shared" si="33"/>
        <v>--</v>
      </c>
      <c r="O53" s="141" t="str">
        <f t="shared" si="34"/>
        <v>--</v>
      </c>
      <c r="P53" s="124">
        <f t="shared" si="35"/>
        <v>0</v>
      </c>
      <c r="Q53" s="141" t="str">
        <f t="shared" si="36"/>
        <v>--</v>
      </c>
      <c r="R53" s="139" t="str">
        <f t="shared" si="37"/>
        <v>--</v>
      </c>
      <c r="S53" s="139">
        <f t="shared" si="31"/>
        <v>0</v>
      </c>
      <c r="T53" s="140">
        <f t="shared" si="38"/>
        <v>0</v>
      </c>
    </row>
    <row r="54">
      <c r="A54" s="128"/>
      <c r="B54" s="35" t="s">
        <v>158</v>
      </c>
      <c r="D54" s="118"/>
      <c r="E54" s="119"/>
      <c r="F54" s="119"/>
      <c r="G54" s="120" t="str">
        <f t="shared" si="22"/>
        <v/>
      </c>
      <c r="H54" s="129" t="str">
        <f t="shared" si="11"/>
        <v/>
      </c>
      <c r="J54" s="136"/>
      <c r="K54" s="137" t="str">
        <f t="shared" si="23"/>
        <v>--</v>
      </c>
      <c r="L54" s="138">
        <f t="shared" si="24"/>
        <v>0</v>
      </c>
      <c r="M54" s="124">
        <f t="shared" si="25"/>
        <v>0</v>
      </c>
      <c r="N54" s="141" t="str">
        <f t="shared" si="33"/>
        <v>--</v>
      </c>
      <c r="O54" s="141" t="str">
        <f t="shared" si="34"/>
        <v>--</v>
      </c>
      <c r="P54" s="124">
        <f t="shared" si="35"/>
        <v>0</v>
      </c>
      <c r="Q54" s="141" t="str">
        <f t="shared" si="36"/>
        <v>--</v>
      </c>
      <c r="R54" s="139" t="str">
        <f t="shared" si="37"/>
        <v>--</v>
      </c>
      <c r="S54" s="139">
        <f t="shared" si="31"/>
        <v>0</v>
      </c>
      <c r="T54" s="140">
        <f t="shared" si="38"/>
        <v>0</v>
      </c>
    </row>
    <row r="55">
      <c r="A55" s="128"/>
      <c r="B55" s="35" t="s">
        <v>158</v>
      </c>
      <c r="D55" s="118"/>
      <c r="E55" s="119"/>
      <c r="F55" s="119"/>
      <c r="G55" s="120" t="str">
        <f t="shared" si="22"/>
        <v/>
      </c>
      <c r="H55" s="129" t="str">
        <f t="shared" si="11"/>
        <v/>
      </c>
      <c r="J55" s="136"/>
      <c r="K55" s="137" t="str">
        <f t="shared" si="23"/>
        <v>--</v>
      </c>
      <c r="L55" s="138">
        <f t="shared" si="24"/>
        <v>0</v>
      </c>
      <c r="M55" s="124">
        <f t="shared" si="25"/>
        <v>0</v>
      </c>
      <c r="N55" s="141" t="str">
        <f t="shared" si="33"/>
        <v>--</v>
      </c>
      <c r="O55" s="141" t="str">
        <f t="shared" si="34"/>
        <v>--</v>
      </c>
      <c r="P55" s="124">
        <f t="shared" si="35"/>
        <v>0</v>
      </c>
      <c r="Q55" s="141" t="str">
        <f t="shared" si="36"/>
        <v>--</v>
      </c>
      <c r="R55" s="139" t="str">
        <f t="shared" si="37"/>
        <v>--</v>
      </c>
      <c r="S55" s="139">
        <f t="shared" si="31"/>
        <v>0</v>
      </c>
      <c r="T55" s="140">
        <f t="shared" si="38"/>
        <v>0</v>
      </c>
    </row>
    <row r="56">
      <c r="A56" s="128"/>
      <c r="B56" s="35" t="s">
        <v>158</v>
      </c>
      <c r="D56" s="118"/>
      <c r="E56" s="119"/>
      <c r="F56" s="119"/>
      <c r="G56" s="120" t="str">
        <f t="shared" si="22"/>
        <v/>
      </c>
      <c r="H56" s="129" t="str">
        <f t="shared" si="11"/>
        <v/>
      </c>
      <c r="J56" s="136"/>
      <c r="K56" s="137" t="str">
        <f t="shared" si="23"/>
        <v>--</v>
      </c>
      <c r="L56" s="138">
        <f t="shared" si="24"/>
        <v>0</v>
      </c>
      <c r="M56" s="124">
        <f t="shared" si="25"/>
        <v>0</v>
      </c>
      <c r="N56" s="141" t="str">
        <f t="shared" si="33"/>
        <v>--</v>
      </c>
      <c r="O56" s="141" t="str">
        <f t="shared" si="34"/>
        <v>--</v>
      </c>
      <c r="P56" s="124">
        <f t="shared" si="35"/>
        <v>0</v>
      </c>
      <c r="Q56" s="141" t="str">
        <f t="shared" si="36"/>
        <v>--</v>
      </c>
      <c r="R56" s="139" t="str">
        <f t="shared" si="37"/>
        <v>--</v>
      </c>
      <c r="S56" s="139">
        <f t="shared" si="31"/>
        <v>0</v>
      </c>
      <c r="T56" s="140">
        <f t="shared" si="38"/>
        <v>0</v>
      </c>
    </row>
    <row r="57">
      <c r="A57" s="128"/>
      <c r="B57" s="35" t="s">
        <v>158</v>
      </c>
      <c r="D57" s="118"/>
      <c r="E57" s="119"/>
      <c r="F57" s="119"/>
      <c r="G57" s="120" t="str">
        <f t="shared" si="22"/>
        <v/>
      </c>
      <c r="H57" s="129" t="str">
        <f t="shared" si="11"/>
        <v/>
      </c>
      <c r="J57" s="136"/>
      <c r="K57" s="137" t="str">
        <f t="shared" si="23"/>
        <v>--</v>
      </c>
      <c r="L57" s="138">
        <f t="shared" si="24"/>
        <v>0</v>
      </c>
      <c r="M57" s="124">
        <f t="shared" si="25"/>
        <v>0</v>
      </c>
      <c r="N57" s="141" t="str">
        <f t="shared" si="33"/>
        <v>--</v>
      </c>
      <c r="O57" s="141" t="str">
        <f t="shared" si="34"/>
        <v>--</v>
      </c>
      <c r="P57" s="124">
        <f t="shared" si="35"/>
        <v>0</v>
      </c>
      <c r="Q57" s="141" t="str">
        <f t="shared" si="36"/>
        <v>--</v>
      </c>
      <c r="R57" s="139" t="str">
        <f t="shared" si="37"/>
        <v>--</v>
      </c>
      <c r="S57" s="139">
        <f t="shared" si="31"/>
        <v>0</v>
      </c>
      <c r="T57" s="140">
        <f t="shared" si="38"/>
        <v>0</v>
      </c>
    </row>
    <row r="58">
      <c r="A58" s="128"/>
      <c r="B58" s="35" t="s">
        <v>158</v>
      </c>
      <c r="D58" s="118"/>
      <c r="E58" s="119"/>
      <c r="F58" s="119"/>
      <c r="G58" s="120" t="str">
        <f t="shared" si="22"/>
        <v/>
      </c>
      <c r="H58" s="129" t="str">
        <f t="shared" si="11"/>
        <v/>
      </c>
      <c r="J58" s="136"/>
      <c r="K58" s="137" t="str">
        <f t="shared" si="23"/>
        <v>--</v>
      </c>
      <c r="L58" s="138">
        <f t="shared" si="24"/>
        <v>0</v>
      </c>
      <c r="M58" s="124">
        <f t="shared" si="25"/>
        <v>0</v>
      </c>
      <c r="N58" s="141" t="str">
        <f t="shared" si="33"/>
        <v>--</v>
      </c>
      <c r="O58" s="141" t="str">
        <f t="shared" si="34"/>
        <v>--</v>
      </c>
      <c r="P58" s="124">
        <f t="shared" si="35"/>
        <v>0</v>
      </c>
      <c r="Q58" s="141" t="str">
        <f t="shared" si="36"/>
        <v>--</v>
      </c>
      <c r="R58" s="139" t="str">
        <f t="shared" si="37"/>
        <v>--</v>
      </c>
      <c r="S58" s="139">
        <f t="shared" si="31"/>
        <v>0</v>
      </c>
      <c r="T58" s="140">
        <f t="shared" si="38"/>
        <v>0</v>
      </c>
    </row>
    <row r="59">
      <c r="A59" s="128"/>
      <c r="B59" s="35" t="s">
        <v>158</v>
      </c>
      <c r="D59" s="118"/>
      <c r="E59" s="119"/>
      <c r="F59" s="119"/>
      <c r="G59" s="120" t="str">
        <f t="shared" si="22"/>
        <v/>
      </c>
      <c r="H59" s="129" t="str">
        <f t="shared" si="11"/>
        <v/>
      </c>
      <c r="J59" s="136"/>
      <c r="K59" s="137" t="str">
        <f t="shared" si="23"/>
        <v>--</v>
      </c>
      <c r="L59" s="138">
        <f t="shared" si="24"/>
        <v>0</v>
      </c>
      <c r="M59" s="124">
        <f t="shared" si="25"/>
        <v>0</v>
      </c>
      <c r="N59" s="141" t="str">
        <f t="shared" si="33"/>
        <v>--</v>
      </c>
      <c r="O59" s="141" t="str">
        <f t="shared" si="34"/>
        <v>--</v>
      </c>
      <c r="P59" s="124">
        <f t="shared" si="35"/>
        <v>0</v>
      </c>
      <c r="Q59" s="141" t="str">
        <f t="shared" si="36"/>
        <v>--</v>
      </c>
      <c r="R59" s="139" t="str">
        <f t="shared" si="37"/>
        <v>--</v>
      </c>
      <c r="S59" s="139">
        <f t="shared" si="31"/>
        <v>0</v>
      </c>
      <c r="T59" s="140">
        <f t="shared" si="38"/>
        <v>0</v>
      </c>
    </row>
    <row r="60">
      <c r="A60" s="128"/>
      <c r="B60" s="35" t="s">
        <v>158</v>
      </c>
      <c r="D60" s="118"/>
      <c r="E60" s="119"/>
      <c r="F60" s="119"/>
      <c r="G60" s="120" t="str">
        <f t="shared" si="22"/>
        <v/>
      </c>
      <c r="H60" s="129" t="str">
        <f t="shared" si="11"/>
        <v/>
      </c>
      <c r="J60" s="136"/>
      <c r="K60" s="137" t="str">
        <f t="shared" si="23"/>
        <v>--</v>
      </c>
      <c r="L60" s="138">
        <f t="shared" si="24"/>
        <v>0</v>
      </c>
      <c r="M60" s="124">
        <f t="shared" si="25"/>
        <v>0</v>
      </c>
      <c r="N60" s="141" t="str">
        <f t="shared" si="33"/>
        <v>--</v>
      </c>
      <c r="O60" s="141" t="str">
        <f t="shared" si="34"/>
        <v>--</v>
      </c>
      <c r="P60" s="124">
        <f t="shared" si="35"/>
        <v>0</v>
      </c>
      <c r="Q60" s="141" t="str">
        <f t="shared" si="36"/>
        <v>--</v>
      </c>
      <c r="R60" s="139" t="str">
        <f t="shared" si="37"/>
        <v>--</v>
      </c>
      <c r="S60" s="139">
        <f t="shared" si="31"/>
        <v>0</v>
      </c>
      <c r="T60" s="140">
        <f t="shared" si="38"/>
        <v>0</v>
      </c>
    </row>
    <row r="61">
      <c r="A61" s="128"/>
      <c r="B61" s="35" t="s">
        <v>158</v>
      </c>
      <c r="D61" s="118"/>
      <c r="E61" s="119"/>
      <c r="F61" s="119"/>
      <c r="G61" s="120" t="str">
        <f t="shared" si="22"/>
        <v/>
      </c>
      <c r="H61" s="129" t="str">
        <f t="shared" si="11"/>
        <v/>
      </c>
      <c r="J61" s="142"/>
      <c r="K61" s="143" t="str">
        <f t="shared" si="23"/>
        <v>--</v>
      </c>
      <c r="L61" s="144">
        <f t="shared" si="24"/>
        <v>0</v>
      </c>
      <c r="M61" s="132">
        <f t="shared" si="25"/>
        <v>0</v>
      </c>
      <c r="N61" s="145" t="str">
        <f t="shared" si="33"/>
        <v>--</v>
      </c>
      <c r="O61" s="145" t="str">
        <f t="shared" si="34"/>
        <v>--</v>
      </c>
      <c r="P61" s="132">
        <f t="shared" si="35"/>
        <v>0</v>
      </c>
      <c r="Q61" s="145" t="str">
        <f t="shared" si="36"/>
        <v>--</v>
      </c>
      <c r="R61" s="146" t="str">
        <f t="shared" si="37"/>
        <v>--</v>
      </c>
      <c r="S61" s="146">
        <f t="shared" si="31"/>
        <v>0</v>
      </c>
      <c r="T61" s="147">
        <f t="shared" si="38"/>
        <v>0</v>
      </c>
    </row>
    <row r="62">
      <c r="A62" s="128"/>
      <c r="B62" s="35" t="s">
        <v>158</v>
      </c>
      <c r="D62" s="118"/>
      <c r="E62" s="119"/>
      <c r="F62" s="119"/>
      <c r="G62" s="120" t="str">
        <f t="shared" si="22"/>
        <v/>
      </c>
      <c r="H62" s="129" t="str">
        <f t="shared" si="11"/>
        <v/>
      </c>
    </row>
    <row r="63">
      <c r="A63" s="128"/>
      <c r="B63" s="35" t="s">
        <v>158</v>
      </c>
      <c r="D63" s="118"/>
      <c r="E63" s="119"/>
      <c r="F63" s="119"/>
      <c r="G63" s="120" t="str">
        <f t="shared" si="22"/>
        <v/>
      </c>
      <c r="H63" s="129" t="str">
        <f t="shared" si="11"/>
        <v/>
      </c>
    </row>
    <row r="64">
      <c r="A64" s="128"/>
      <c r="B64" s="35" t="s">
        <v>158</v>
      </c>
      <c r="D64" s="118"/>
      <c r="E64" s="119"/>
      <c r="F64" s="119"/>
      <c r="G64" s="120" t="str">
        <f t="shared" si="22"/>
        <v/>
      </c>
      <c r="H64" s="129" t="str">
        <f t="shared" si="11"/>
        <v/>
      </c>
    </row>
    <row r="65">
      <c r="A65" s="128"/>
      <c r="B65" s="35" t="s">
        <v>158</v>
      </c>
      <c r="D65" s="118"/>
      <c r="E65" s="119"/>
      <c r="F65" s="119"/>
      <c r="G65" s="120" t="str">
        <f t="shared" si="22"/>
        <v/>
      </c>
      <c r="H65" s="129" t="str">
        <f t="shared" si="11"/>
        <v/>
      </c>
    </row>
    <row r="66">
      <c r="A66" s="128"/>
      <c r="B66" s="35" t="s">
        <v>158</v>
      </c>
      <c r="D66" s="118"/>
      <c r="E66" s="119"/>
      <c r="F66" s="119"/>
      <c r="G66" s="120" t="str">
        <f t="shared" si="22"/>
        <v/>
      </c>
      <c r="H66" s="129" t="str">
        <f t="shared" si="11"/>
        <v/>
      </c>
    </row>
    <row r="67">
      <c r="A67" s="128"/>
      <c r="B67" s="35" t="s">
        <v>158</v>
      </c>
      <c r="D67" s="118"/>
      <c r="E67" s="119"/>
      <c r="F67" s="119"/>
      <c r="G67" s="120" t="str">
        <f t="shared" si="22"/>
        <v/>
      </c>
      <c r="H67" s="129" t="str">
        <f t="shared" si="11"/>
        <v/>
      </c>
    </row>
    <row r="68">
      <c r="A68" s="128"/>
      <c r="B68" s="35" t="s">
        <v>158</v>
      </c>
      <c r="D68" s="118"/>
      <c r="E68" s="119"/>
      <c r="F68" s="119"/>
      <c r="G68" s="120" t="str">
        <f t="shared" si="22"/>
        <v/>
      </c>
      <c r="H68" s="129" t="str">
        <f t="shared" si="11"/>
        <v/>
      </c>
    </row>
    <row r="69">
      <c r="A69" s="128"/>
      <c r="B69" s="35" t="s">
        <v>158</v>
      </c>
      <c r="D69" s="118"/>
      <c r="E69" s="119"/>
      <c r="F69" s="119"/>
      <c r="G69" s="120" t="str">
        <f t="shared" si="22"/>
        <v/>
      </c>
      <c r="H69" s="129" t="str">
        <f t="shared" si="11"/>
        <v/>
      </c>
    </row>
    <row r="70">
      <c r="A70" s="128"/>
      <c r="B70" s="35" t="s">
        <v>158</v>
      </c>
      <c r="D70" s="118"/>
      <c r="E70" s="119"/>
      <c r="F70" s="119"/>
      <c r="G70" s="120" t="str">
        <f t="shared" si="22"/>
        <v/>
      </c>
      <c r="H70" s="129" t="str">
        <f t="shared" si="11"/>
        <v/>
      </c>
    </row>
    <row r="71">
      <c r="A71" s="128"/>
      <c r="B71" s="35" t="s">
        <v>158</v>
      </c>
      <c r="D71" s="118"/>
      <c r="E71" s="119"/>
      <c r="F71" s="119"/>
      <c r="G71" s="120" t="str">
        <f t="shared" si="22"/>
        <v/>
      </c>
      <c r="H71" s="129" t="str">
        <f t="shared" si="11"/>
        <v/>
      </c>
    </row>
    <row r="72">
      <c r="A72" s="128"/>
      <c r="B72" s="35" t="s">
        <v>158</v>
      </c>
      <c r="D72" s="118"/>
      <c r="E72" s="119"/>
      <c r="F72" s="119"/>
      <c r="G72" s="120" t="str">
        <f t="shared" si="22"/>
        <v/>
      </c>
      <c r="H72" s="129" t="str">
        <f t="shared" si="11"/>
        <v/>
      </c>
    </row>
    <row r="73">
      <c r="A73" s="128"/>
      <c r="B73" s="35" t="s">
        <v>158</v>
      </c>
      <c r="D73" s="118"/>
      <c r="E73" s="119"/>
      <c r="F73" s="119"/>
      <c r="G73" s="120" t="str">
        <f t="shared" si="22"/>
        <v/>
      </c>
      <c r="H73" s="129" t="str">
        <f t="shared" si="11"/>
        <v/>
      </c>
    </row>
    <row r="74">
      <c r="A74" s="128"/>
      <c r="B74" s="35" t="s">
        <v>158</v>
      </c>
      <c r="D74" s="118"/>
      <c r="E74" s="119"/>
      <c r="F74" s="119"/>
      <c r="G74" s="120" t="str">
        <f t="shared" si="22"/>
        <v/>
      </c>
      <c r="H74" s="129" t="str">
        <f t="shared" si="11"/>
        <v/>
      </c>
    </row>
    <row r="75">
      <c r="A75" s="128"/>
      <c r="B75" s="35" t="s">
        <v>158</v>
      </c>
      <c r="D75" s="118"/>
      <c r="E75" s="119"/>
      <c r="F75" s="119"/>
      <c r="G75" s="120" t="str">
        <f t="shared" si="22"/>
        <v/>
      </c>
      <c r="H75" s="129" t="str">
        <f t="shared" si="11"/>
        <v/>
      </c>
    </row>
    <row r="76">
      <c r="A76" s="128"/>
      <c r="B76" s="35" t="s">
        <v>158</v>
      </c>
      <c r="D76" s="118"/>
      <c r="E76" s="119"/>
      <c r="F76" s="119"/>
      <c r="G76" s="120" t="str">
        <f t="shared" si="22"/>
        <v/>
      </c>
      <c r="H76" s="129" t="str">
        <f t="shared" si="11"/>
        <v/>
      </c>
    </row>
    <row r="77">
      <c r="A77" s="128"/>
      <c r="B77" s="35" t="s">
        <v>158</v>
      </c>
      <c r="D77" s="118"/>
      <c r="E77" s="119"/>
      <c r="F77" s="119"/>
      <c r="G77" s="120" t="str">
        <f t="shared" si="22"/>
        <v/>
      </c>
      <c r="H77" s="129" t="str">
        <f t="shared" si="11"/>
        <v/>
      </c>
    </row>
    <row r="78">
      <c r="A78" s="128"/>
      <c r="B78" s="35" t="s">
        <v>158</v>
      </c>
      <c r="D78" s="118"/>
      <c r="E78" s="119"/>
      <c r="F78" s="119"/>
      <c r="G78" s="120" t="str">
        <f t="shared" si="22"/>
        <v/>
      </c>
      <c r="H78" s="129" t="str">
        <f t="shared" si="11"/>
        <v/>
      </c>
    </row>
    <row r="79">
      <c r="A79" s="128"/>
      <c r="B79" s="35" t="s">
        <v>158</v>
      </c>
      <c r="D79" s="118"/>
      <c r="E79" s="119"/>
      <c r="F79" s="119"/>
      <c r="G79" s="120" t="str">
        <f t="shared" si="22"/>
        <v/>
      </c>
      <c r="H79" s="129" t="str">
        <f t="shared" si="11"/>
        <v/>
      </c>
    </row>
    <row r="80">
      <c r="A80" s="128"/>
      <c r="B80" s="35" t="s">
        <v>158</v>
      </c>
      <c r="D80" s="118"/>
      <c r="E80" s="119"/>
      <c r="F80" s="119"/>
      <c r="G80" s="120" t="str">
        <f t="shared" si="22"/>
        <v/>
      </c>
      <c r="H80" s="129" t="str">
        <f t="shared" si="11"/>
        <v/>
      </c>
    </row>
    <row r="81">
      <c r="A81" s="128"/>
      <c r="B81" s="35" t="s">
        <v>158</v>
      </c>
      <c r="D81" s="118"/>
      <c r="E81" s="119"/>
      <c r="F81" s="119"/>
      <c r="G81" s="120" t="str">
        <f t="shared" si="22"/>
        <v/>
      </c>
      <c r="H81" s="129" t="str">
        <f t="shared" si="11"/>
        <v/>
      </c>
    </row>
    <row r="82">
      <c r="A82" s="128"/>
      <c r="B82" s="35" t="s">
        <v>158</v>
      </c>
      <c r="D82" s="118"/>
      <c r="E82" s="119"/>
      <c r="F82" s="119"/>
      <c r="G82" s="120" t="str">
        <f t="shared" si="22"/>
        <v/>
      </c>
      <c r="H82" s="129" t="str">
        <f t="shared" si="11"/>
        <v/>
      </c>
    </row>
    <row r="83">
      <c r="A83" s="128"/>
      <c r="B83" s="35" t="s">
        <v>158</v>
      </c>
      <c r="D83" s="118"/>
      <c r="E83" s="119"/>
      <c r="F83" s="119"/>
      <c r="G83" s="120" t="str">
        <f t="shared" si="22"/>
        <v/>
      </c>
      <c r="H83" s="129" t="str">
        <f t="shared" si="11"/>
        <v/>
      </c>
    </row>
    <row r="84">
      <c r="A84" s="128"/>
      <c r="B84" s="35" t="s">
        <v>158</v>
      </c>
      <c r="D84" s="118"/>
      <c r="E84" s="119"/>
      <c r="F84" s="119"/>
      <c r="G84" s="120" t="str">
        <f t="shared" si="22"/>
        <v/>
      </c>
      <c r="H84" s="129" t="str">
        <f t="shared" si="11"/>
        <v/>
      </c>
    </row>
    <row r="85">
      <c r="A85" s="128"/>
      <c r="B85" s="35" t="s">
        <v>158</v>
      </c>
      <c r="D85" s="118"/>
      <c r="E85" s="119"/>
      <c r="F85" s="119"/>
      <c r="G85" s="120" t="str">
        <f t="shared" si="22"/>
        <v/>
      </c>
      <c r="H85" s="129" t="str">
        <f t="shared" si="11"/>
        <v/>
      </c>
    </row>
    <row r="86">
      <c r="A86" s="128"/>
      <c r="B86" s="35" t="s">
        <v>158</v>
      </c>
      <c r="D86" s="118"/>
      <c r="E86" s="119"/>
      <c r="F86" s="119"/>
      <c r="G86" s="120" t="str">
        <f t="shared" si="22"/>
        <v/>
      </c>
      <c r="H86" s="129" t="str">
        <f t="shared" si="11"/>
        <v/>
      </c>
    </row>
    <row r="87">
      <c r="A87" s="128"/>
      <c r="B87" s="35" t="s">
        <v>158</v>
      </c>
      <c r="D87" s="118"/>
      <c r="E87" s="119"/>
      <c r="F87" s="119"/>
      <c r="G87" s="120" t="str">
        <f t="shared" si="22"/>
        <v/>
      </c>
      <c r="H87" s="129" t="str">
        <f t="shared" si="11"/>
        <v/>
      </c>
    </row>
    <row r="88">
      <c r="A88" s="128"/>
      <c r="B88" s="35" t="s">
        <v>158</v>
      </c>
      <c r="D88" s="118"/>
      <c r="E88" s="119"/>
      <c r="F88" s="119"/>
      <c r="G88" s="120" t="str">
        <f t="shared" si="22"/>
        <v/>
      </c>
      <c r="H88" s="129" t="str">
        <f t="shared" si="11"/>
        <v/>
      </c>
    </row>
    <row r="89">
      <c r="A89" s="128"/>
      <c r="B89" s="35" t="s">
        <v>158</v>
      </c>
      <c r="D89" s="118"/>
      <c r="E89" s="119"/>
      <c r="F89" s="119"/>
      <c r="G89" s="120" t="str">
        <f t="shared" si="22"/>
        <v/>
      </c>
      <c r="H89" s="129" t="str">
        <f t="shared" si="11"/>
        <v/>
      </c>
    </row>
    <row r="90">
      <c r="A90" s="128"/>
      <c r="B90" s="35" t="s">
        <v>158</v>
      </c>
      <c r="D90" s="118"/>
      <c r="E90" s="119"/>
      <c r="F90" s="119"/>
      <c r="G90" s="120" t="str">
        <f t="shared" si="22"/>
        <v/>
      </c>
      <c r="H90" s="129" t="str">
        <f t="shared" si="11"/>
        <v/>
      </c>
    </row>
    <row r="91">
      <c r="A91" s="128"/>
      <c r="B91" s="35" t="s">
        <v>158</v>
      </c>
      <c r="D91" s="118"/>
      <c r="E91" s="119"/>
      <c r="F91" s="119"/>
      <c r="G91" s="120" t="str">
        <f t="shared" si="22"/>
        <v/>
      </c>
      <c r="H91" s="129" t="str">
        <f t="shared" si="11"/>
        <v/>
      </c>
    </row>
    <row r="92">
      <c r="A92" s="128"/>
      <c r="B92" s="35" t="s">
        <v>158</v>
      </c>
      <c r="D92" s="118"/>
      <c r="E92" s="119"/>
      <c r="F92" s="119"/>
      <c r="G92" s="120" t="str">
        <f t="shared" si="22"/>
        <v/>
      </c>
      <c r="H92" s="129" t="str">
        <f t="shared" si="11"/>
        <v/>
      </c>
    </row>
    <row r="93">
      <c r="A93" s="128"/>
      <c r="B93" s="35" t="s">
        <v>158</v>
      </c>
      <c r="D93" s="118"/>
      <c r="E93" s="119"/>
      <c r="F93" s="119"/>
      <c r="G93" s="120" t="str">
        <f t="shared" si="22"/>
        <v/>
      </c>
      <c r="H93" s="129" t="str">
        <f t="shared" si="11"/>
        <v/>
      </c>
    </row>
    <row r="94">
      <c r="A94" s="128"/>
      <c r="B94" s="35" t="s">
        <v>158</v>
      </c>
      <c r="D94" s="118"/>
      <c r="E94" s="119"/>
      <c r="F94" s="119"/>
      <c r="G94" s="120" t="str">
        <f t="shared" si="22"/>
        <v/>
      </c>
      <c r="H94" s="129" t="str">
        <f t="shared" si="11"/>
        <v/>
      </c>
    </row>
    <row r="95">
      <c r="A95" s="128"/>
      <c r="B95" s="35" t="s">
        <v>158</v>
      </c>
      <c r="D95" s="118"/>
      <c r="E95" s="119"/>
      <c r="F95" s="119"/>
      <c r="G95" s="120" t="str">
        <f t="shared" si="22"/>
        <v/>
      </c>
      <c r="H95" s="129" t="str">
        <f t="shared" si="11"/>
        <v/>
      </c>
    </row>
    <row r="96">
      <c r="A96" s="128"/>
      <c r="B96" s="35" t="s">
        <v>158</v>
      </c>
      <c r="D96" s="118"/>
      <c r="E96" s="119"/>
      <c r="F96" s="119"/>
      <c r="G96" s="120" t="str">
        <f t="shared" si="22"/>
        <v/>
      </c>
      <c r="H96" s="129" t="str">
        <f t="shared" si="11"/>
        <v/>
      </c>
    </row>
    <row r="97">
      <c r="A97" s="128"/>
      <c r="B97" s="35" t="s">
        <v>158</v>
      </c>
      <c r="D97" s="118"/>
      <c r="E97" s="119"/>
      <c r="F97" s="119"/>
      <c r="G97" s="120" t="str">
        <f t="shared" si="22"/>
        <v/>
      </c>
      <c r="H97" s="129" t="str">
        <f t="shared" si="11"/>
        <v/>
      </c>
    </row>
    <row r="98">
      <c r="A98" s="128"/>
      <c r="B98" s="35" t="s">
        <v>158</v>
      </c>
      <c r="D98" s="118"/>
      <c r="E98" s="119"/>
      <c r="F98" s="119"/>
      <c r="G98" s="120" t="str">
        <f t="shared" si="22"/>
        <v/>
      </c>
      <c r="H98" s="129" t="str">
        <f t="shared" si="11"/>
        <v/>
      </c>
    </row>
    <row r="99">
      <c r="A99" s="128"/>
      <c r="B99" s="35" t="s">
        <v>158</v>
      </c>
      <c r="D99" s="118"/>
      <c r="E99" s="119"/>
      <c r="F99" s="119"/>
      <c r="G99" s="120" t="str">
        <f t="shared" si="22"/>
        <v/>
      </c>
      <c r="H99" s="129" t="str">
        <f t="shared" si="11"/>
        <v/>
      </c>
    </row>
    <row r="100">
      <c r="A100" s="128"/>
      <c r="B100" s="35" t="s">
        <v>158</v>
      </c>
      <c r="D100" s="118"/>
      <c r="E100" s="119"/>
      <c r="F100" s="119"/>
      <c r="G100" s="120" t="str">
        <f t="shared" si="22"/>
        <v/>
      </c>
      <c r="H100" s="129" t="str">
        <f t="shared" si="11"/>
        <v/>
      </c>
    </row>
    <row r="101">
      <c r="A101" s="128"/>
      <c r="B101" s="35" t="s">
        <v>158</v>
      </c>
      <c r="D101" s="118"/>
      <c r="E101" s="119"/>
      <c r="F101" s="119"/>
      <c r="G101" s="120" t="str">
        <f t="shared" si="22"/>
        <v/>
      </c>
      <c r="H101" s="129" t="str">
        <f t="shared" si="11"/>
        <v/>
      </c>
    </row>
    <row r="102">
      <c r="A102" s="128"/>
      <c r="B102" s="35" t="s">
        <v>158</v>
      </c>
      <c r="D102" s="118"/>
      <c r="E102" s="119"/>
      <c r="F102" s="119"/>
      <c r="G102" s="120" t="str">
        <f t="shared" si="22"/>
        <v/>
      </c>
      <c r="H102" s="129" t="str">
        <f t="shared" si="11"/>
        <v/>
      </c>
    </row>
    <row r="103">
      <c r="A103" s="128"/>
      <c r="B103" s="35" t="s">
        <v>158</v>
      </c>
      <c r="D103" s="118"/>
      <c r="E103" s="119"/>
      <c r="F103" s="119"/>
      <c r="G103" s="120" t="str">
        <f t="shared" si="22"/>
        <v/>
      </c>
      <c r="H103" s="129" t="str">
        <f t="shared" si="11"/>
        <v/>
      </c>
    </row>
    <row r="104">
      <c r="A104" s="128"/>
      <c r="B104" s="35" t="s">
        <v>158</v>
      </c>
      <c r="D104" s="118"/>
      <c r="E104" s="119"/>
      <c r="F104" s="119"/>
      <c r="G104" s="120" t="str">
        <f t="shared" si="22"/>
        <v/>
      </c>
      <c r="H104" s="129" t="str">
        <f t="shared" si="11"/>
        <v/>
      </c>
    </row>
    <row r="105">
      <c r="A105" s="128"/>
      <c r="B105" s="35" t="s">
        <v>158</v>
      </c>
      <c r="D105" s="118"/>
      <c r="E105" s="119"/>
      <c r="F105" s="119"/>
      <c r="G105" s="120" t="str">
        <f t="shared" si="22"/>
        <v/>
      </c>
      <c r="H105" s="129" t="str">
        <f t="shared" si="11"/>
        <v/>
      </c>
    </row>
    <row r="106">
      <c r="A106" s="128"/>
      <c r="B106" s="35" t="s">
        <v>158</v>
      </c>
      <c r="D106" s="118"/>
      <c r="E106" s="119"/>
      <c r="F106" s="119"/>
      <c r="G106" s="120" t="str">
        <f t="shared" si="22"/>
        <v/>
      </c>
      <c r="H106" s="129" t="str">
        <f t="shared" si="11"/>
        <v/>
      </c>
    </row>
    <row r="107">
      <c r="A107" s="128"/>
      <c r="B107" s="35" t="s">
        <v>158</v>
      </c>
      <c r="D107" s="118"/>
      <c r="E107" s="119"/>
      <c r="F107" s="119"/>
      <c r="G107" s="120" t="str">
        <f t="shared" si="22"/>
        <v/>
      </c>
      <c r="H107" s="129" t="str">
        <f t="shared" si="11"/>
        <v/>
      </c>
    </row>
    <row r="108">
      <c r="A108" s="128"/>
      <c r="B108" s="35" t="s">
        <v>158</v>
      </c>
      <c r="D108" s="118"/>
      <c r="E108" s="119"/>
      <c r="F108" s="119"/>
      <c r="G108" s="120" t="str">
        <f t="shared" si="22"/>
        <v/>
      </c>
      <c r="H108" s="129" t="str">
        <f t="shared" si="11"/>
        <v/>
      </c>
    </row>
    <row r="109">
      <c r="A109" s="128"/>
      <c r="B109" s="35" t="s">
        <v>158</v>
      </c>
      <c r="D109" s="118"/>
      <c r="E109" s="119"/>
      <c r="F109" s="119"/>
      <c r="G109" s="120" t="str">
        <f t="shared" si="22"/>
        <v/>
      </c>
      <c r="H109" s="129" t="str">
        <f t="shared" si="11"/>
        <v/>
      </c>
    </row>
    <row r="110">
      <c r="A110" s="128"/>
      <c r="B110" s="35" t="s">
        <v>158</v>
      </c>
      <c r="D110" s="118"/>
      <c r="E110" s="119"/>
      <c r="F110" s="119"/>
      <c r="G110" s="120" t="str">
        <f t="shared" si="22"/>
        <v/>
      </c>
      <c r="H110" s="129" t="str">
        <f t="shared" si="11"/>
        <v/>
      </c>
    </row>
    <row r="111">
      <c r="A111" s="128"/>
      <c r="B111" s="35" t="s">
        <v>158</v>
      </c>
      <c r="D111" s="118"/>
      <c r="E111" s="119"/>
      <c r="F111" s="119"/>
      <c r="G111" s="120" t="str">
        <f t="shared" si="22"/>
        <v/>
      </c>
      <c r="H111" s="129" t="str">
        <f t="shared" si="11"/>
        <v/>
      </c>
    </row>
    <row r="112">
      <c r="A112" s="128"/>
      <c r="B112" s="35" t="s">
        <v>158</v>
      </c>
      <c r="D112" s="118"/>
      <c r="E112" s="119"/>
      <c r="F112" s="119"/>
      <c r="G112" s="120" t="str">
        <f t="shared" si="22"/>
        <v/>
      </c>
      <c r="H112" s="129" t="str">
        <f t="shared" si="11"/>
        <v/>
      </c>
    </row>
    <row r="113">
      <c r="A113" s="128"/>
      <c r="B113" s="35" t="s">
        <v>158</v>
      </c>
      <c r="D113" s="118"/>
      <c r="E113" s="119"/>
      <c r="F113" s="119"/>
      <c r="G113" s="120" t="str">
        <f t="shared" si="22"/>
        <v/>
      </c>
      <c r="H113" s="129" t="str">
        <f t="shared" si="11"/>
        <v/>
      </c>
    </row>
    <row r="114">
      <c r="A114" s="128"/>
      <c r="B114" s="35" t="s">
        <v>158</v>
      </c>
      <c r="D114" s="118"/>
      <c r="E114" s="119"/>
      <c r="F114" s="119"/>
      <c r="G114" s="120" t="str">
        <f t="shared" si="22"/>
        <v/>
      </c>
      <c r="H114" s="129" t="str">
        <f t="shared" si="11"/>
        <v/>
      </c>
    </row>
    <row r="115">
      <c r="A115" s="128"/>
      <c r="B115" s="35" t="s">
        <v>158</v>
      </c>
      <c r="D115" s="118"/>
      <c r="E115" s="119"/>
      <c r="F115" s="119"/>
      <c r="G115" s="120" t="str">
        <f t="shared" si="22"/>
        <v/>
      </c>
      <c r="H115" s="129" t="str">
        <f t="shared" si="11"/>
        <v/>
      </c>
    </row>
    <row r="116">
      <c r="A116" s="128"/>
      <c r="B116" s="35" t="s">
        <v>158</v>
      </c>
      <c r="D116" s="118"/>
      <c r="E116" s="119"/>
      <c r="F116" s="119"/>
      <c r="G116" s="120" t="str">
        <f t="shared" si="22"/>
        <v/>
      </c>
      <c r="H116" s="129" t="str">
        <f t="shared" si="11"/>
        <v/>
      </c>
    </row>
    <row r="117">
      <c r="A117" s="128"/>
      <c r="B117" s="35" t="s">
        <v>158</v>
      </c>
      <c r="D117" s="118"/>
      <c r="E117" s="119"/>
      <c r="F117" s="119"/>
      <c r="G117" s="120" t="str">
        <f t="shared" si="22"/>
        <v/>
      </c>
      <c r="H117" s="129" t="str">
        <f t="shared" si="11"/>
        <v/>
      </c>
    </row>
    <row r="118">
      <c r="A118" s="128"/>
      <c r="B118" s="35" t="s">
        <v>158</v>
      </c>
      <c r="D118" s="118"/>
      <c r="E118" s="119"/>
      <c r="F118" s="119"/>
      <c r="G118" s="120" t="str">
        <f t="shared" si="22"/>
        <v/>
      </c>
      <c r="H118" s="129" t="str">
        <f t="shared" si="11"/>
        <v/>
      </c>
    </row>
    <row r="119">
      <c r="A119" s="128"/>
      <c r="B119" s="35" t="s">
        <v>158</v>
      </c>
      <c r="D119" s="118"/>
      <c r="E119" s="119"/>
      <c r="F119" s="119"/>
      <c r="G119" s="120" t="str">
        <f t="shared" si="22"/>
        <v/>
      </c>
      <c r="H119" s="129" t="str">
        <f t="shared" si="11"/>
        <v/>
      </c>
    </row>
    <row r="120">
      <c r="A120" s="128"/>
      <c r="B120" s="35" t="s">
        <v>158</v>
      </c>
      <c r="D120" s="118"/>
      <c r="E120" s="119"/>
      <c r="F120" s="119"/>
      <c r="G120" s="120" t="str">
        <f t="shared" si="22"/>
        <v/>
      </c>
      <c r="H120" s="129" t="str">
        <f t="shared" si="11"/>
        <v/>
      </c>
    </row>
    <row r="121">
      <c r="A121" s="128"/>
      <c r="B121" s="35" t="s">
        <v>158</v>
      </c>
      <c r="D121" s="118"/>
      <c r="E121" s="119"/>
      <c r="F121" s="119"/>
      <c r="G121" s="120" t="str">
        <f t="shared" si="22"/>
        <v/>
      </c>
      <c r="H121" s="129" t="str">
        <f t="shared" si="11"/>
        <v/>
      </c>
    </row>
    <row r="122">
      <c r="A122" s="128"/>
      <c r="B122" s="35" t="s">
        <v>158</v>
      </c>
      <c r="D122" s="118"/>
      <c r="E122" s="119"/>
      <c r="F122" s="119"/>
      <c r="G122" s="120" t="str">
        <f t="shared" si="22"/>
        <v/>
      </c>
      <c r="H122" s="129" t="str">
        <f t="shared" si="11"/>
        <v/>
      </c>
    </row>
    <row r="123">
      <c r="A123" s="128"/>
      <c r="B123" s="35" t="s">
        <v>158</v>
      </c>
      <c r="D123" s="118"/>
      <c r="E123" s="119"/>
      <c r="F123" s="119"/>
      <c r="G123" s="120" t="str">
        <f t="shared" si="22"/>
        <v/>
      </c>
      <c r="H123" s="129" t="str">
        <f t="shared" si="11"/>
        <v/>
      </c>
    </row>
    <row r="124">
      <c r="A124" s="128"/>
      <c r="B124" s="35" t="s">
        <v>158</v>
      </c>
      <c r="D124" s="118"/>
      <c r="E124" s="119"/>
      <c r="F124" s="119"/>
      <c r="G124" s="120" t="str">
        <f t="shared" si="22"/>
        <v/>
      </c>
      <c r="H124" s="129" t="str">
        <f t="shared" si="11"/>
        <v/>
      </c>
    </row>
    <row r="125">
      <c r="A125" s="128"/>
      <c r="B125" s="35" t="s">
        <v>158</v>
      </c>
      <c r="D125" s="118"/>
      <c r="E125" s="119"/>
      <c r="F125" s="119"/>
      <c r="G125" s="120" t="str">
        <f t="shared" si="22"/>
        <v/>
      </c>
      <c r="H125" s="129" t="str">
        <f t="shared" si="11"/>
        <v/>
      </c>
    </row>
    <row r="126">
      <c r="A126" s="128"/>
      <c r="B126" s="35" t="s">
        <v>158</v>
      </c>
      <c r="D126" s="118"/>
      <c r="E126" s="119"/>
      <c r="F126" s="119"/>
      <c r="G126" s="120" t="str">
        <f t="shared" si="22"/>
        <v/>
      </c>
      <c r="H126" s="129" t="str">
        <f t="shared" si="11"/>
        <v/>
      </c>
    </row>
    <row r="127">
      <c r="A127" s="148"/>
      <c r="B127" s="149" t="s">
        <v>158</v>
      </c>
      <c r="C127" s="150"/>
      <c r="D127" s="150"/>
      <c r="E127" s="150"/>
      <c r="F127" s="150"/>
      <c r="G127" s="151" t="str">
        <f t="shared" si="22"/>
        <v/>
      </c>
      <c r="H127" s="152" t="str">
        <f t="shared" si="11"/>
        <v/>
      </c>
    </row>
  </sheetData>
  <mergeCells count="5">
    <mergeCell ref="B2:C2"/>
    <mergeCell ref="A5:B5"/>
    <mergeCell ref="A25:B25"/>
    <mergeCell ref="J25:K25"/>
    <mergeCell ref="J42:L42"/>
  </mergeCells>
  <conditionalFormatting sqref="E5:E21 F5:F23 I5:I21">
    <cfRule type="cellIs" dxfId="4" priority="1" operator="greaterThan">
      <formula>0</formula>
    </cfRule>
  </conditionalFormatting>
  <conditionalFormatting sqref="E5:E21 F5:F23 I5:I21">
    <cfRule type="cellIs" dxfId="5" priority="2" operator="lessThan">
      <formula>0</formula>
    </cfRule>
  </conditionalFormatting>
  <conditionalFormatting sqref="D2:E2">
    <cfRule type="cellIs" dxfId="0" priority="3" operator="greaterThan">
      <formula>0</formula>
    </cfRule>
  </conditionalFormatting>
  <conditionalFormatting sqref="D2:E2">
    <cfRule type="cellIs" dxfId="2" priority="4" operator="lessThan">
      <formula>0</formula>
    </cfRule>
  </conditionalFormatting>
  <dataValidations>
    <dataValidation type="list" allowBlank="1" showErrorMessage="1" sqref="B27:B127">
      <formula1>"buy,sell"</formula1>
    </dataValidation>
  </dataValidations>
  <drawing r:id="rId1"/>
</worksheet>
</file>